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206"/>
  <workbookPr autoCompressPictures="0"/>
  <bookViews>
    <workbookView xWindow="0" yWindow="0" windowWidth="25600" windowHeight="14180" tabRatio="835" activeTab="10"/>
  </bookViews>
  <sheets>
    <sheet name="FT- H2S" sheetId="8" r:id="rId1"/>
    <sheet name="FT- CO2" sheetId="9" r:id="rId2"/>
    <sheet name="FT- HSH" sheetId="21" r:id="rId3"/>
    <sheet name="COCOCHCO" sheetId="24" r:id="rId4"/>
    <sheet name="CAR-HAR" sheetId="25" r:id="rId5"/>
    <sheet name="Tchn" sheetId="29" r:id="rId6"/>
    <sheet name="Tcch" sheetId="31" r:id="rId7"/>
    <sheet name="Tnca" sheetId="32" r:id="rId8"/>
    <sheet name="Tnha" sheetId="33" r:id="rId9"/>
    <sheet name="input" sheetId="15" r:id="rId10"/>
    <sheet name="Info" sheetId="34" r:id="rId11"/>
    <sheet name="Ggrid" sheetId="11" state="hidden" r:id="rId12"/>
    <sheet name="Tgrid" sheetId="28" state="hidden" r:id="rId13"/>
    <sheet name="Ref" sheetId="30" state="hidden" r:id="rId1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8" i="11" l="1"/>
  <c r="C8" i="11"/>
  <c r="D8" i="11"/>
  <c r="E8" i="11"/>
  <c r="F8" i="11"/>
  <c r="G8" i="11"/>
  <c r="H8" i="11"/>
  <c r="I8" i="11"/>
  <c r="J8" i="11"/>
  <c r="K8" i="11"/>
  <c r="L8" i="11"/>
  <c r="M8" i="11"/>
  <c r="B9" i="11"/>
  <c r="C9" i="11"/>
  <c r="D9" i="11"/>
  <c r="E9" i="11"/>
  <c r="F9" i="11"/>
  <c r="G9" i="11"/>
  <c r="H9" i="11"/>
  <c r="I9" i="11"/>
  <c r="J9" i="11"/>
  <c r="K9" i="11"/>
  <c r="L9" i="11"/>
  <c r="M9" i="11"/>
  <c r="B10" i="11"/>
  <c r="C10" i="11"/>
  <c r="D10" i="11"/>
  <c r="E10" i="11"/>
  <c r="F10" i="11"/>
  <c r="G10" i="11"/>
  <c r="H10" i="11"/>
  <c r="I10" i="11"/>
  <c r="J10" i="11"/>
  <c r="K10" i="11"/>
  <c r="L10" i="11"/>
  <c r="M10" i="11"/>
  <c r="B11" i="11"/>
  <c r="C11" i="11"/>
  <c r="D11" i="11"/>
  <c r="E11" i="11"/>
  <c r="F11" i="11"/>
  <c r="G11" i="11"/>
  <c r="H11" i="11"/>
  <c r="I11" i="11"/>
  <c r="J11" i="11"/>
  <c r="K11" i="11"/>
  <c r="L11" i="11"/>
  <c r="M11" i="11"/>
  <c r="B12" i="11"/>
  <c r="C12" i="11"/>
  <c r="D12" i="11"/>
  <c r="E12" i="11"/>
  <c r="F12" i="11"/>
  <c r="G12" i="11"/>
  <c r="H12" i="11"/>
  <c r="I12" i="11"/>
  <c r="J12" i="11"/>
  <c r="K12" i="11"/>
  <c r="L12" i="11"/>
  <c r="M12" i="11"/>
  <c r="B13" i="11"/>
  <c r="C13" i="11"/>
  <c r="D13" i="11"/>
  <c r="E13" i="11"/>
  <c r="F13" i="11"/>
  <c r="G13" i="11"/>
  <c r="H13" i="11"/>
  <c r="I13" i="11"/>
  <c r="J13" i="11"/>
  <c r="K13" i="11"/>
  <c r="L13" i="11"/>
  <c r="M13" i="11"/>
  <c r="B14" i="11"/>
  <c r="C14" i="11"/>
  <c r="D14" i="11"/>
  <c r="E14" i="11"/>
  <c r="F14" i="11"/>
  <c r="G14" i="11"/>
  <c r="H14" i="11"/>
  <c r="I14" i="11"/>
  <c r="J14" i="11"/>
  <c r="K14" i="11"/>
  <c r="L14" i="11"/>
  <c r="M14" i="11"/>
  <c r="G27" i="11"/>
  <c r="H27" i="11"/>
  <c r="I27" i="11"/>
  <c r="J27" i="11"/>
  <c r="K27" i="11"/>
  <c r="L27" i="11"/>
  <c r="B28" i="11"/>
  <c r="C28" i="11"/>
  <c r="D28" i="11"/>
  <c r="E28" i="11"/>
  <c r="F28" i="11"/>
  <c r="G28" i="11"/>
  <c r="H28" i="11"/>
  <c r="I28" i="11"/>
  <c r="J28" i="11"/>
  <c r="K28" i="11"/>
  <c r="L28" i="11"/>
  <c r="B29" i="11"/>
  <c r="C29" i="11"/>
  <c r="D29" i="11"/>
  <c r="E29" i="11"/>
  <c r="F29" i="11"/>
  <c r="G29" i="11"/>
  <c r="H29" i="11"/>
  <c r="I29" i="11"/>
  <c r="J29" i="11"/>
  <c r="K29" i="11"/>
  <c r="L29" i="11"/>
  <c r="B30" i="11"/>
  <c r="C30" i="11"/>
  <c r="D30" i="11"/>
  <c r="E30" i="11"/>
  <c r="F30" i="11"/>
  <c r="G30" i="11"/>
  <c r="H30" i="11"/>
  <c r="I30" i="11"/>
  <c r="J30" i="11"/>
  <c r="K30" i="11"/>
  <c r="L30" i="11"/>
  <c r="B31" i="11"/>
  <c r="C31" i="11"/>
  <c r="D31" i="11"/>
  <c r="E31" i="11"/>
  <c r="F31" i="11"/>
  <c r="G31" i="11"/>
  <c r="H31" i="11"/>
  <c r="I31" i="11"/>
  <c r="J31" i="11"/>
  <c r="K31" i="11"/>
  <c r="L31" i="11"/>
  <c r="B32" i="11"/>
  <c r="C32" i="11"/>
  <c r="D32" i="11"/>
  <c r="E32" i="11"/>
  <c r="F32" i="11"/>
  <c r="G32" i="11"/>
  <c r="H32" i="11"/>
  <c r="I32" i="11"/>
  <c r="J32" i="11"/>
  <c r="K32" i="11"/>
  <c r="L32" i="11"/>
  <c r="B33" i="11"/>
  <c r="C33" i="11"/>
  <c r="D33" i="11"/>
  <c r="E33" i="11"/>
  <c r="F33" i="11"/>
  <c r="G33" i="11"/>
  <c r="H33" i="11"/>
  <c r="I33" i="11"/>
  <c r="J33" i="11"/>
  <c r="K33" i="11"/>
  <c r="L33" i="11"/>
  <c r="B34" i="11"/>
  <c r="C34" i="11"/>
  <c r="D34" i="11"/>
  <c r="E34" i="11"/>
  <c r="F34" i="11"/>
  <c r="G34" i="11"/>
  <c r="H34" i="11"/>
  <c r="I34" i="11"/>
  <c r="J34" i="11"/>
  <c r="K34" i="11"/>
  <c r="L34" i="11"/>
  <c r="G47" i="11"/>
  <c r="H47" i="11"/>
  <c r="I47" i="11"/>
  <c r="J47" i="11"/>
  <c r="K47" i="11"/>
  <c r="L47" i="11"/>
  <c r="B48" i="11"/>
  <c r="C48" i="11"/>
  <c r="F48" i="11"/>
  <c r="G48" i="11"/>
  <c r="H48" i="11"/>
  <c r="I48" i="11"/>
  <c r="J48" i="11"/>
  <c r="K48" i="11"/>
  <c r="L48" i="11"/>
  <c r="B49" i="11"/>
  <c r="C49" i="11"/>
  <c r="F49" i="11"/>
  <c r="G49" i="11"/>
  <c r="H49" i="11"/>
  <c r="I49" i="11"/>
  <c r="J49" i="11"/>
  <c r="K49" i="11"/>
  <c r="L49" i="11"/>
  <c r="B50" i="11"/>
  <c r="C50" i="11"/>
  <c r="F50" i="11"/>
  <c r="G50" i="11"/>
  <c r="H50" i="11"/>
  <c r="I50" i="11"/>
  <c r="J50" i="11"/>
  <c r="K50" i="11"/>
  <c r="L50" i="11"/>
  <c r="B51" i="11"/>
  <c r="C51" i="11"/>
  <c r="F51" i="11"/>
  <c r="G51" i="11"/>
  <c r="H51" i="11"/>
  <c r="I51" i="11"/>
  <c r="J51" i="11"/>
  <c r="K51" i="11"/>
  <c r="L51" i="11"/>
  <c r="B52" i="11"/>
  <c r="C52" i="11"/>
  <c r="F52" i="11"/>
  <c r="G52" i="11"/>
  <c r="H52" i="11"/>
  <c r="I52" i="11"/>
  <c r="J52" i="11"/>
  <c r="K52" i="11"/>
  <c r="L52" i="11"/>
  <c r="B53" i="11"/>
  <c r="C53" i="11"/>
  <c r="F53" i="11"/>
  <c r="G53" i="11"/>
  <c r="H53" i="11"/>
  <c r="I53" i="11"/>
  <c r="J53" i="11"/>
  <c r="K53" i="11"/>
  <c r="L53" i="11"/>
  <c r="B54" i="11"/>
  <c r="C54" i="11"/>
  <c r="F54" i="11"/>
  <c r="G54" i="11"/>
  <c r="H54" i="11"/>
  <c r="I54" i="11"/>
  <c r="J54" i="11"/>
  <c r="K54" i="11"/>
  <c r="L54" i="11"/>
  <c r="G67" i="11"/>
  <c r="H67" i="11"/>
  <c r="I67" i="11"/>
  <c r="J67" i="11"/>
  <c r="K67" i="11"/>
  <c r="L67" i="11"/>
  <c r="B68" i="11"/>
  <c r="C68" i="11"/>
  <c r="F68" i="11"/>
  <c r="G68" i="11"/>
  <c r="H68" i="11"/>
  <c r="I68" i="11"/>
  <c r="J68" i="11"/>
  <c r="K68" i="11"/>
  <c r="L68" i="11"/>
  <c r="B69" i="11"/>
  <c r="C69" i="11"/>
  <c r="F69" i="11"/>
  <c r="G69" i="11"/>
  <c r="H69" i="11"/>
  <c r="I69" i="11"/>
  <c r="J69" i="11"/>
  <c r="K69" i="11"/>
  <c r="L69" i="11"/>
  <c r="B70" i="11"/>
  <c r="C70" i="11"/>
  <c r="F70" i="11"/>
  <c r="G70" i="11"/>
  <c r="H70" i="11"/>
  <c r="I70" i="11"/>
  <c r="J70" i="11"/>
  <c r="K70" i="11"/>
  <c r="L70" i="11"/>
  <c r="B71" i="11"/>
  <c r="C71" i="11"/>
  <c r="F71" i="11"/>
  <c r="G71" i="11"/>
  <c r="H71" i="11"/>
  <c r="I71" i="11"/>
  <c r="J71" i="11"/>
  <c r="K71" i="11"/>
  <c r="L71" i="11"/>
  <c r="B72" i="11"/>
  <c r="C72" i="11"/>
  <c r="F72" i="11"/>
  <c r="G72" i="11"/>
  <c r="H72" i="11"/>
  <c r="I72" i="11"/>
  <c r="J72" i="11"/>
  <c r="K72" i="11"/>
  <c r="L72" i="11"/>
  <c r="B73" i="11"/>
  <c r="C73" i="11"/>
  <c r="F73" i="11"/>
  <c r="G73" i="11"/>
  <c r="H73" i="11"/>
  <c r="I73" i="11"/>
  <c r="J73" i="11"/>
  <c r="K73" i="11"/>
  <c r="L73" i="11"/>
  <c r="B74" i="11"/>
  <c r="C74" i="11"/>
  <c r="F74" i="11"/>
  <c r="G74" i="11"/>
  <c r="H74" i="11"/>
  <c r="I74" i="11"/>
  <c r="J74" i="11"/>
  <c r="K74" i="11"/>
  <c r="L74" i="11"/>
  <c r="G87" i="11"/>
  <c r="H87" i="11"/>
  <c r="I87" i="11"/>
  <c r="J87" i="11"/>
  <c r="K87" i="11"/>
  <c r="L87" i="11"/>
  <c r="B88" i="11"/>
  <c r="C88" i="11"/>
  <c r="D88" i="11"/>
  <c r="F88" i="11"/>
  <c r="G88" i="11"/>
  <c r="H88" i="11"/>
  <c r="I88" i="11"/>
  <c r="J88" i="11"/>
  <c r="K88" i="11"/>
  <c r="L88" i="11"/>
  <c r="B89" i="11"/>
  <c r="C89" i="11"/>
  <c r="D89" i="11"/>
  <c r="F89" i="11"/>
  <c r="G89" i="11"/>
  <c r="H89" i="11"/>
  <c r="I89" i="11"/>
  <c r="J89" i="11"/>
  <c r="K89" i="11"/>
  <c r="L89" i="11"/>
  <c r="B90" i="11"/>
  <c r="C90" i="11"/>
  <c r="D90" i="11"/>
  <c r="F90" i="11"/>
  <c r="G90" i="11"/>
  <c r="H90" i="11"/>
  <c r="I90" i="11"/>
  <c r="J90" i="11"/>
  <c r="K90" i="11"/>
  <c r="L90" i="11"/>
  <c r="B91" i="11"/>
  <c r="C91" i="11"/>
  <c r="D91" i="11"/>
  <c r="F91" i="11"/>
  <c r="G91" i="11"/>
  <c r="H91" i="11"/>
  <c r="I91" i="11"/>
  <c r="J91" i="11"/>
  <c r="K91" i="11"/>
  <c r="L91" i="11"/>
  <c r="B92" i="11"/>
  <c r="C92" i="11"/>
  <c r="D92" i="11"/>
  <c r="F92" i="11"/>
  <c r="G92" i="11"/>
  <c r="H92" i="11"/>
  <c r="I92" i="11"/>
  <c r="J92" i="11"/>
  <c r="K92" i="11"/>
  <c r="L92" i="11"/>
  <c r="B93" i="11"/>
  <c r="C93" i="11"/>
  <c r="D93" i="11"/>
  <c r="F93" i="11"/>
  <c r="G93" i="11"/>
  <c r="H93" i="11"/>
  <c r="I93" i="11"/>
  <c r="J93" i="11"/>
  <c r="K93" i="11"/>
  <c r="L93" i="11"/>
  <c r="B94" i="11"/>
  <c r="C94" i="11"/>
  <c r="D94" i="11"/>
  <c r="F94" i="11"/>
  <c r="G94" i="11"/>
  <c r="H94" i="11"/>
  <c r="I94" i="11"/>
  <c r="J94" i="11"/>
  <c r="K94" i="11"/>
  <c r="L94" i="11"/>
  <c r="J105" i="11"/>
  <c r="F105" i="11"/>
  <c r="G105" i="11"/>
  <c r="H105" i="11"/>
  <c r="I105" i="11"/>
  <c r="K105" i="11"/>
  <c r="L105" i="11"/>
  <c r="M105" i="11"/>
  <c r="N105" i="11"/>
  <c r="O105" i="11"/>
  <c r="P105" i="11"/>
  <c r="B108" i="11"/>
  <c r="C108" i="11"/>
  <c r="D108" i="11"/>
  <c r="E108" i="11"/>
  <c r="F108" i="11"/>
  <c r="G108" i="11"/>
  <c r="H108" i="11"/>
  <c r="I108" i="11"/>
  <c r="J108" i="11"/>
  <c r="K108" i="11"/>
  <c r="L108" i="11"/>
  <c r="M108" i="11"/>
  <c r="N108" i="11"/>
  <c r="O108" i="11"/>
  <c r="P108" i="11"/>
  <c r="B109" i="11"/>
  <c r="C109" i="11"/>
  <c r="D109" i="11"/>
  <c r="E109" i="11"/>
  <c r="F109" i="11"/>
  <c r="G109" i="11"/>
  <c r="H109" i="11"/>
  <c r="I109" i="11"/>
  <c r="J109" i="11"/>
  <c r="K109" i="11"/>
  <c r="L109" i="11"/>
  <c r="M109" i="11"/>
  <c r="N109" i="11"/>
  <c r="O109" i="11"/>
  <c r="P109" i="11"/>
  <c r="B110" i="11"/>
  <c r="C110" i="11"/>
  <c r="D110" i="11"/>
  <c r="E110" i="11"/>
  <c r="F110" i="11"/>
  <c r="G110" i="11"/>
  <c r="H110" i="11"/>
  <c r="I110" i="11"/>
  <c r="J110" i="11"/>
  <c r="K110" i="11"/>
  <c r="L110" i="11"/>
  <c r="M110" i="11"/>
  <c r="N110" i="11"/>
  <c r="O110" i="11"/>
  <c r="P110" i="11"/>
  <c r="B111" i="11"/>
  <c r="C111" i="11"/>
  <c r="D111" i="11"/>
  <c r="E111" i="11"/>
  <c r="F111" i="11"/>
  <c r="G111" i="11"/>
  <c r="H111" i="11"/>
  <c r="I111" i="11"/>
  <c r="J111" i="11"/>
  <c r="K111" i="11"/>
  <c r="L111" i="11"/>
  <c r="M111" i="11"/>
  <c r="N111" i="11"/>
  <c r="O111" i="11"/>
  <c r="P111" i="11"/>
  <c r="B112" i="11"/>
  <c r="C112" i="11"/>
  <c r="D112" i="11"/>
  <c r="E112" i="11"/>
  <c r="F112" i="11"/>
  <c r="G112" i="11"/>
  <c r="H112" i="11"/>
  <c r="I112" i="11"/>
  <c r="J112" i="11"/>
  <c r="K112" i="11"/>
  <c r="L112" i="11"/>
  <c r="M112" i="11"/>
  <c r="N112" i="11"/>
  <c r="O112" i="11"/>
  <c r="P112" i="11"/>
  <c r="B113" i="11"/>
  <c r="C113" i="11"/>
  <c r="D113" i="11"/>
  <c r="E113" i="11"/>
  <c r="F113" i="11"/>
  <c r="G113" i="11"/>
  <c r="H113" i="11"/>
  <c r="I113" i="11"/>
  <c r="J113" i="11"/>
  <c r="K113" i="11"/>
  <c r="L113" i="11"/>
  <c r="M113" i="11"/>
  <c r="N113" i="11"/>
  <c r="O113" i="11"/>
  <c r="P113" i="11"/>
  <c r="B114" i="11"/>
  <c r="C114" i="11"/>
  <c r="D114" i="11"/>
  <c r="E114" i="11"/>
  <c r="F114" i="11"/>
  <c r="G114" i="11"/>
  <c r="H114" i="11"/>
  <c r="I114" i="11"/>
  <c r="J114" i="11"/>
  <c r="K114" i="11"/>
  <c r="L114" i="11"/>
  <c r="M114" i="11"/>
  <c r="N114" i="11"/>
  <c r="O114" i="11"/>
  <c r="P114" i="11"/>
  <c r="F125" i="11"/>
  <c r="G125" i="11"/>
  <c r="H125" i="11"/>
  <c r="I125" i="11"/>
  <c r="J125" i="11"/>
  <c r="K125" i="11"/>
  <c r="L125" i="11"/>
  <c r="M125" i="11"/>
  <c r="N125" i="11"/>
  <c r="O125" i="11"/>
  <c r="P125" i="11"/>
  <c r="B128" i="11"/>
  <c r="C128" i="11"/>
  <c r="E128" i="11"/>
  <c r="F128" i="11"/>
  <c r="G128" i="11"/>
  <c r="H128" i="11"/>
  <c r="I128" i="11"/>
  <c r="J128" i="11"/>
  <c r="K128" i="11"/>
  <c r="L128" i="11"/>
  <c r="M128" i="11"/>
  <c r="N128" i="11"/>
  <c r="O128" i="11"/>
  <c r="P128" i="11"/>
  <c r="B129" i="11"/>
  <c r="C129" i="11"/>
  <c r="E129" i="11"/>
  <c r="F129" i="11"/>
  <c r="G129" i="11"/>
  <c r="H129" i="11"/>
  <c r="I129" i="11"/>
  <c r="J129" i="11"/>
  <c r="K129" i="11"/>
  <c r="L129" i="11"/>
  <c r="M129" i="11"/>
  <c r="N129" i="11"/>
  <c r="O129" i="11"/>
  <c r="P129" i="11"/>
  <c r="B130" i="11"/>
  <c r="C130" i="11"/>
  <c r="E130" i="11"/>
  <c r="F130" i="11"/>
  <c r="G130" i="11"/>
  <c r="H130" i="11"/>
  <c r="I130" i="11"/>
  <c r="J130" i="11"/>
  <c r="K130" i="11"/>
  <c r="L130" i="11"/>
  <c r="M130" i="11"/>
  <c r="N130" i="11"/>
  <c r="O130" i="11"/>
  <c r="P130" i="11"/>
  <c r="B131" i="11"/>
  <c r="C131" i="11"/>
  <c r="E131" i="11"/>
  <c r="F131" i="11"/>
  <c r="G131" i="11"/>
  <c r="H131" i="11"/>
  <c r="I131" i="11"/>
  <c r="J131" i="11"/>
  <c r="K131" i="11"/>
  <c r="L131" i="11"/>
  <c r="M131" i="11"/>
  <c r="N131" i="11"/>
  <c r="O131" i="11"/>
  <c r="P131" i="11"/>
  <c r="B132" i="11"/>
  <c r="C132" i="11"/>
  <c r="E132" i="11"/>
  <c r="F132" i="11"/>
  <c r="G132" i="11"/>
  <c r="H132" i="11"/>
  <c r="I132" i="11"/>
  <c r="J132" i="11"/>
  <c r="K132" i="11"/>
  <c r="L132" i="11"/>
  <c r="M132" i="11"/>
  <c r="N132" i="11"/>
  <c r="O132" i="11"/>
  <c r="P132" i="11"/>
  <c r="B133" i="11"/>
  <c r="C133" i="11"/>
  <c r="E133" i="11"/>
  <c r="F133" i="11"/>
  <c r="G133" i="11"/>
  <c r="H133" i="11"/>
  <c r="I133" i="11"/>
  <c r="J133" i="11"/>
  <c r="K133" i="11"/>
  <c r="L133" i="11"/>
  <c r="M133" i="11"/>
  <c r="N133" i="11"/>
  <c r="O133" i="11"/>
  <c r="P133" i="11"/>
  <c r="B134" i="11"/>
  <c r="C134" i="11"/>
  <c r="E134" i="11"/>
  <c r="F134" i="11"/>
  <c r="G134" i="11"/>
  <c r="H134" i="11"/>
  <c r="I134" i="11"/>
  <c r="J134" i="11"/>
  <c r="K134" i="11"/>
  <c r="L134" i="11"/>
  <c r="M134" i="11"/>
  <c r="N134" i="11"/>
  <c r="O134" i="11"/>
  <c r="P134" i="11"/>
  <c r="E145" i="11"/>
  <c r="N146" i="11"/>
  <c r="O146" i="11"/>
  <c r="P146" i="11"/>
  <c r="U146" i="11"/>
  <c r="V146" i="11"/>
  <c r="W146" i="11"/>
  <c r="B148" i="11"/>
  <c r="C148" i="11"/>
  <c r="D148" i="11"/>
  <c r="E148" i="11"/>
  <c r="F148" i="11"/>
  <c r="G148" i="11"/>
  <c r="H148" i="11"/>
  <c r="I148" i="11"/>
  <c r="J148" i="11"/>
  <c r="K148" i="11"/>
  <c r="L148" i="11"/>
  <c r="M148" i="11"/>
  <c r="N148" i="11"/>
  <c r="O148" i="11"/>
  <c r="P148" i="11"/>
  <c r="Q148" i="11"/>
  <c r="R148" i="11"/>
  <c r="S148" i="11"/>
  <c r="T148" i="11"/>
  <c r="U148" i="11"/>
  <c r="V148" i="11"/>
  <c r="W148" i="11"/>
  <c r="X148" i="11"/>
  <c r="Y148" i="11"/>
  <c r="B149" i="11"/>
  <c r="C149" i="11"/>
  <c r="D149" i="11"/>
  <c r="E149" i="11"/>
  <c r="F149" i="11"/>
  <c r="G149" i="11"/>
  <c r="H149" i="11"/>
  <c r="I149" i="11"/>
  <c r="J149" i="11"/>
  <c r="K149" i="11"/>
  <c r="L149" i="11"/>
  <c r="M149" i="11"/>
  <c r="N149" i="11"/>
  <c r="O149" i="11"/>
  <c r="P149" i="11"/>
  <c r="Q149" i="11"/>
  <c r="R149" i="11"/>
  <c r="S149" i="11"/>
  <c r="T149" i="11"/>
  <c r="U149" i="11"/>
  <c r="V149" i="11"/>
  <c r="W149" i="11"/>
  <c r="X149" i="11"/>
  <c r="Y149" i="11"/>
  <c r="B150" i="11"/>
  <c r="C150" i="11"/>
  <c r="D150" i="11"/>
  <c r="E150" i="11"/>
  <c r="F150" i="11"/>
  <c r="G150" i="11"/>
  <c r="H150" i="11"/>
  <c r="I150" i="11"/>
  <c r="J150" i="11"/>
  <c r="K150" i="11"/>
  <c r="L150" i="11"/>
  <c r="M150" i="11"/>
  <c r="N150" i="11"/>
  <c r="O150" i="11"/>
  <c r="P150" i="11"/>
  <c r="Q150" i="11"/>
  <c r="R150" i="11"/>
  <c r="S150" i="11"/>
  <c r="T150" i="11"/>
  <c r="U150" i="11"/>
  <c r="V150" i="11"/>
  <c r="W150" i="11"/>
  <c r="X150" i="11"/>
  <c r="Y150" i="11"/>
  <c r="B151" i="11"/>
  <c r="C151" i="11"/>
  <c r="D151" i="11"/>
  <c r="E151" i="11"/>
  <c r="F151" i="11"/>
  <c r="G151" i="11"/>
  <c r="H151" i="11"/>
  <c r="I151" i="11"/>
  <c r="J151" i="11"/>
  <c r="K151" i="11"/>
  <c r="L151" i="11"/>
  <c r="M151" i="11"/>
  <c r="N151" i="11"/>
  <c r="O151" i="11"/>
  <c r="P151" i="11"/>
  <c r="Q151" i="11"/>
  <c r="R151" i="11"/>
  <c r="S151" i="11"/>
  <c r="T151" i="11"/>
  <c r="U151" i="11"/>
  <c r="V151" i="11"/>
  <c r="W151" i="11"/>
  <c r="X151" i="11"/>
  <c r="Y151" i="11"/>
  <c r="B152" i="11"/>
  <c r="C152" i="11"/>
  <c r="D152" i="11"/>
  <c r="E152" i="11"/>
  <c r="F152" i="11"/>
  <c r="G152" i="11"/>
  <c r="H152" i="11"/>
  <c r="I152" i="11"/>
  <c r="J152" i="11"/>
  <c r="K152" i="11"/>
  <c r="L152" i="11"/>
  <c r="M152" i="11"/>
  <c r="N152" i="11"/>
  <c r="O152" i="11"/>
  <c r="P152" i="11"/>
  <c r="Q152" i="11"/>
  <c r="R152" i="11"/>
  <c r="S152" i="11"/>
  <c r="T152" i="11"/>
  <c r="U152" i="11"/>
  <c r="V152" i="11"/>
  <c r="W152" i="11"/>
  <c r="X152" i="11"/>
  <c r="Y152" i="11"/>
  <c r="B153" i="11"/>
  <c r="C153" i="11"/>
  <c r="D153" i="11"/>
  <c r="E153" i="11"/>
  <c r="F153" i="11"/>
  <c r="G153" i="11"/>
  <c r="H153" i="11"/>
  <c r="I153" i="11"/>
  <c r="J153" i="11"/>
  <c r="K153" i="11"/>
  <c r="L153" i="11"/>
  <c r="M153" i="11"/>
  <c r="N153" i="11"/>
  <c r="O153" i="11"/>
  <c r="P153" i="11"/>
  <c r="Q153" i="11"/>
  <c r="R153" i="11"/>
  <c r="S153" i="11"/>
  <c r="T153" i="11"/>
  <c r="U153" i="11"/>
  <c r="V153" i="11"/>
  <c r="W153" i="11"/>
  <c r="X153" i="11"/>
  <c r="Y153" i="11"/>
  <c r="B154" i="11"/>
  <c r="C154" i="11"/>
  <c r="D154" i="11"/>
  <c r="E154" i="11"/>
  <c r="F154" i="11"/>
  <c r="G154" i="11"/>
  <c r="H154" i="11"/>
  <c r="I154" i="11"/>
  <c r="J154" i="11"/>
  <c r="K154" i="11"/>
  <c r="L154" i="11"/>
  <c r="M154" i="11"/>
  <c r="N154" i="11"/>
  <c r="O154" i="11"/>
  <c r="P154" i="11"/>
  <c r="Q154" i="11"/>
  <c r="R154" i="11"/>
  <c r="S154" i="11"/>
  <c r="T154" i="11"/>
  <c r="U154" i="11"/>
  <c r="V154" i="11"/>
  <c r="W154" i="11"/>
  <c r="X154" i="11"/>
  <c r="Y154" i="11"/>
  <c r="B155" i="11"/>
  <c r="C155" i="11"/>
  <c r="D155" i="11"/>
  <c r="E155" i="11"/>
  <c r="F155" i="11"/>
  <c r="G155" i="11"/>
  <c r="H155" i="11"/>
  <c r="I155" i="11"/>
  <c r="J155" i="11"/>
  <c r="K155" i="11"/>
  <c r="L155" i="11"/>
  <c r="M155" i="11"/>
  <c r="N155" i="11"/>
  <c r="O155" i="11"/>
  <c r="P155" i="11"/>
  <c r="Q155" i="11"/>
  <c r="R155" i="11"/>
  <c r="S155" i="11"/>
  <c r="T155" i="11"/>
  <c r="U155" i="11"/>
  <c r="V155" i="11"/>
  <c r="W155" i="11"/>
  <c r="X155" i="11"/>
  <c r="Y155" i="11"/>
  <c r="B156" i="11"/>
  <c r="C156" i="11"/>
  <c r="D156" i="11"/>
  <c r="E156" i="11"/>
  <c r="F156" i="11"/>
  <c r="G156" i="11"/>
  <c r="H156" i="11"/>
  <c r="I156" i="11"/>
  <c r="J156" i="11"/>
  <c r="K156" i="11"/>
  <c r="L156" i="11"/>
  <c r="M156" i="11"/>
  <c r="N156" i="11"/>
  <c r="O156" i="11"/>
  <c r="P156" i="11"/>
  <c r="Q156" i="11"/>
  <c r="R156" i="11"/>
  <c r="S156" i="11"/>
  <c r="T156" i="11"/>
  <c r="U156" i="11"/>
  <c r="V156" i="11"/>
  <c r="W156" i="11"/>
  <c r="X156" i="11"/>
  <c r="Y156" i="11"/>
  <c r="A158" i="11"/>
  <c r="B158" i="11"/>
  <c r="C158" i="11"/>
  <c r="D158" i="11"/>
  <c r="E158" i="11"/>
  <c r="F158" i="11"/>
  <c r="G158" i="11"/>
  <c r="H158" i="11"/>
  <c r="I158" i="11"/>
  <c r="J158" i="11"/>
  <c r="K158" i="11"/>
  <c r="L158" i="11"/>
  <c r="M158" i="11"/>
  <c r="N158" i="11"/>
  <c r="O158" i="11"/>
  <c r="P158" i="11"/>
  <c r="Q158" i="11"/>
  <c r="R158" i="11"/>
  <c r="S158" i="11"/>
  <c r="T158" i="11"/>
  <c r="U158" i="11"/>
  <c r="V158" i="11"/>
  <c r="W158" i="11"/>
  <c r="X158" i="11"/>
  <c r="Y158" i="11"/>
  <c r="E165" i="11"/>
  <c r="F165" i="11"/>
  <c r="K165" i="11"/>
  <c r="L165" i="11"/>
  <c r="B167" i="11"/>
  <c r="E167" i="11"/>
  <c r="F167" i="11"/>
  <c r="K167" i="11"/>
  <c r="L167" i="11"/>
  <c r="B168" i="11"/>
  <c r="E168" i="11"/>
  <c r="F168" i="11"/>
  <c r="K168" i="11"/>
  <c r="L168" i="11"/>
  <c r="B169" i="11"/>
  <c r="E169" i="11"/>
  <c r="F169" i="11"/>
  <c r="K169" i="11"/>
  <c r="L169" i="11"/>
  <c r="B170" i="11"/>
  <c r="E170" i="11"/>
  <c r="F170" i="11"/>
  <c r="K170" i="11"/>
  <c r="L170" i="11"/>
  <c r="B171" i="11"/>
  <c r="E171" i="11"/>
  <c r="F171" i="11"/>
  <c r="K171" i="11"/>
  <c r="L171" i="11"/>
  <c r="B172" i="11"/>
  <c r="E172" i="11"/>
  <c r="F172" i="11"/>
  <c r="K172" i="11"/>
  <c r="L172" i="11"/>
  <c r="B173" i="11"/>
  <c r="E173" i="11"/>
  <c r="F173" i="11"/>
  <c r="K173" i="11"/>
  <c r="L173" i="11"/>
  <c r="B174" i="11"/>
  <c r="E174" i="11"/>
  <c r="F174" i="11"/>
  <c r="K174" i="11"/>
  <c r="L174" i="11"/>
  <c r="B175" i="11"/>
  <c r="E175" i="11"/>
  <c r="F175" i="11"/>
  <c r="K175" i="11"/>
  <c r="L175" i="11"/>
  <c r="B176" i="11"/>
  <c r="E176" i="11"/>
  <c r="F176" i="11"/>
  <c r="K176" i="11"/>
  <c r="L176" i="11"/>
  <c r="B177" i="11"/>
  <c r="E177" i="11"/>
  <c r="F177" i="11"/>
  <c r="K177" i="11"/>
  <c r="L177" i="11"/>
  <c r="BL9" i="15"/>
  <c r="BM9" i="15"/>
  <c r="BN9" i="15"/>
  <c r="BQ9" i="15"/>
  <c r="BR9" i="15"/>
  <c r="BS9" i="15"/>
  <c r="BV9" i="15"/>
  <c r="BW9" i="15"/>
  <c r="BX9" i="15"/>
  <c r="CA9" i="15"/>
  <c r="CB9" i="15"/>
  <c r="CC9" i="15"/>
  <c r="BL10" i="15"/>
  <c r="BM10" i="15"/>
  <c r="BN10" i="15"/>
  <c r="BQ10" i="15"/>
  <c r="BR10" i="15"/>
  <c r="BS10" i="15"/>
  <c r="BV10" i="15"/>
  <c r="BW10" i="15"/>
  <c r="BX10" i="15"/>
  <c r="CA10" i="15"/>
  <c r="CB10" i="15"/>
  <c r="CC10" i="15"/>
  <c r="T11" i="15"/>
  <c r="U11" i="15"/>
  <c r="V11" i="15"/>
  <c r="W11" i="15"/>
  <c r="X11" i="15"/>
  <c r="Y11" i="15"/>
  <c r="Z11" i="15"/>
  <c r="AA11" i="15"/>
  <c r="AB11" i="15"/>
  <c r="AC11" i="15"/>
  <c r="AD11" i="15"/>
  <c r="AE11" i="15"/>
  <c r="AF11" i="15"/>
  <c r="AG11" i="15"/>
  <c r="AH11" i="15"/>
  <c r="AI11" i="15"/>
  <c r="AJ11" i="15"/>
  <c r="AL11" i="15"/>
  <c r="AM11" i="15"/>
  <c r="AK11" i="15"/>
  <c r="AN11" i="15"/>
  <c r="AO11" i="15"/>
  <c r="AP11" i="15"/>
  <c r="AQ11" i="15"/>
  <c r="AR11" i="15"/>
  <c r="AS11" i="15"/>
  <c r="AT11" i="15"/>
  <c r="AU11" i="15"/>
  <c r="AV11" i="15"/>
  <c r="AW11" i="15"/>
  <c r="AX11" i="15"/>
  <c r="AY11" i="15"/>
  <c r="AZ11" i="15"/>
  <c r="BB11" i="15"/>
  <c r="BC11" i="15"/>
  <c r="BD11" i="15"/>
  <c r="BE11" i="15"/>
  <c r="BF11" i="15"/>
  <c r="BG11" i="15"/>
  <c r="BH11" i="15"/>
  <c r="BI11" i="15"/>
  <c r="BJ11" i="15"/>
  <c r="BL11" i="15"/>
  <c r="BM11" i="15"/>
  <c r="BN11" i="15"/>
  <c r="BO11" i="15"/>
  <c r="BP11" i="15"/>
  <c r="BQ11" i="15"/>
  <c r="BR11" i="15"/>
  <c r="BS11" i="15"/>
  <c r="BT11" i="15"/>
  <c r="BU11" i="15"/>
  <c r="BV11" i="15"/>
  <c r="BW11" i="15"/>
  <c r="BX11" i="15"/>
  <c r="BY11" i="15"/>
  <c r="BZ11" i="15"/>
  <c r="CA11" i="15"/>
  <c r="CB11" i="15"/>
  <c r="CC11" i="15"/>
  <c r="CD11" i="15"/>
  <c r="CE11" i="15"/>
  <c r="T12" i="15"/>
  <c r="U12" i="15"/>
  <c r="V12" i="15"/>
  <c r="W12" i="15"/>
  <c r="X12" i="15"/>
  <c r="Y12" i="15"/>
  <c r="Z12" i="15"/>
  <c r="AA12" i="15"/>
  <c r="AB12" i="15"/>
  <c r="AC12" i="15"/>
  <c r="AD12" i="15"/>
  <c r="AE12" i="15"/>
  <c r="AF12" i="15"/>
  <c r="AG12" i="15"/>
  <c r="AH12" i="15"/>
  <c r="AI12" i="15"/>
  <c r="AJ12" i="15"/>
  <c r="AL12" i="15"/>
  <c r="AM12" i="15"/>
  <c r="AK12" i="15"/>
  <c r="AN12" i="15"/>
  <c r="AO12" i="15"/>
  <c r="AP12" i="15"/>
  <c r="AQ12" i="15"/>
  <c r="AR12" i="15"/>
  <c r="AS12" i="15"/>
  <c r="AT12" i="15"/>
  <c r="AU12" i="15"/>
  <c r="AV12" i="15"/>
  <c r="AW12" i="15"/>
  <c r="AX12" i="15"/>
  <c r="AY12" i="15"/>
  <c r="AZ12" i="15"/>
  <c r="BB12" i="15"/>
  <c r="BC12" i="15"/>
  <c r="BD12" i="15"/>
  <c r="BE12" i="15"/>
  <c r="BF12" i="15"/>
  <c r="BG12" i="15"/>
  <c r="BH12" i="15"/>
  <c r="BI12" i="15"/>
  <c r="BJ12" i="15"/>
  <c r="BL12" i="15"/>
  <c r="BM12" i="15"/>
  <c r="BN12" i="15"/>
  <c r="BO12" i="15"/>
  <c r="BP12" i="15"/>
  <c r="BQ12" i="15"/>
  <c r="BR12" i="15"/>
  <c r="BS12" i="15"/>
  <c r="BT12" i="15"/>
  <c r="BU12" i="15"/>
  <c r="BV12" i="15"/>
  <c r="BW12" i="15"/>
  <c r="BX12" i="15"/>
  <c r="BY12" i="15"/>
  <c r="BZ12" i="15"/>
  <c r="CA12" i="15"/>
  <c r="CB12" i="15"/>
  <c r="CC12" i="15"/>
  <c r="CD12" i="15"/>
  <c r="CE12" i="15"/>
  <c r="T13" i="15"/>
  <c r="U13" i="15"/>
  <c r="V13" i="15"/>
  <c r="W13" i="15"/>
  <c r="X13" i="15"/>
  <c r="Y13" i="15"/>
  <c r="Z13" i="15"/>
  <c r="AA13" i="15"/>
  <c r="AB13" i="15"/>
  <c r="AC13" i="15"/>
  <c r="AD13" i="15"/>
  <c r="AE13" i="15"/>
  <c r="AF13" i="15"/>
  <c r="AG13" i="15"/>
  <c r="AH13" i="15"/>
  <c r="AI13" i="15"/>
  <c r="AJ13" i="15"/>
  <c r="AL13" i="15"/>
  <c r="AM13" i="15"/>
  <c r="AK13" i="15"/>
  <c r="AN13" i="15"/>
  <c r="AO13" i="15"/>
  <c r="AP13" i="15"/>
  <c r="AQ13" i="15"/>
  <c r="AR13" i="15"/>
  <c r="AS13" i="15"/>
  <c r="AT13" i="15"/>
  <c r="AU13" i="15"/>
  <c r="AV13" i="15"/>
  <c r="AW13" i="15"/>
  <c r="AX13" i="15"/>
  <c r="AY13" i="15"/>
  <c r="AZ13" i="15"/>
  <c r="BB13" i="15"/>
  <c r="BC13" i="15"/>
  <c r="BD13" i="15"/>
  <c r="BE13" i="15"/>
  <c r="BF13" i="15"/>
  <c r="BG13" i="15"/>
  <c r="BH13" i="15"/>
  <c r="BI13" i="15"/>
  <c r="BJ13" i="15"/>
  <c r="BL13" i="15"/>
  <c r="BM13" i="15"/>
  <c r="BN13" i="15"/>
  <c r="BO13" i="15"/>
  <c r="BP13" i="15"/>
  <c r="BQ13" i="15"/>
  <c r="BR13" i="15"/>
  <c r="BS13" i="15"/>
  <c r="BT13" i="15"/>
  <c r="BU13" i="15"/>
  <c r="BV13" i="15"/>
  <c r="BW13" i="15"/>
  <c r="BX13" i="15"/>
  <c r="BY13" i="15"/>
  <c r="BZ13" i="15"/>
  <c r="CA13" i="15"/>
  <c r="CB13" i="15"/>
  <c r="CC13" i="15"/>
  <c r="CD13" i="15"/>
  <c r="CE13" i="15"/>
  <c r="T14" i="15"/>
  <c r="U14" i="15"/>
  <c r="V14" i="15"/>
  <c r="W14" i="15"/>
  <c r="X14" i="15"/>
  <c r="Y14" i="15"/>
  <c r="Z14" i="15"/>
  <c r="AA14" i="15"/>
  <c r="AB14" i="15"/>
  <c r="AC14" i="15"/>
  <c r="AD14" i="15"/>
  <c r="AE14" i="15"/>
  <c r="AF14" i="15"/>
  <c r="AG14" i="15"/>
  <c r="AH14" i="15"/>
  <c r="AI14" i="15"/>
  <c r="AJ14" i="15"/>
  <c r="AL14" i="15"/>
  <c r="AM14" i="15"/>
  <c r="AK14" i="15"/>
  <c r="AN14" i="15"/>
  <c r="AO14" i="15"/>
  <c r="AP14" i="15"/>
  <c r="AQ14" i="15"/>
  <c r="AR14" i="15"/>
  <c r="AS14" i="15"/>
  <c r="AT14" i="15"/>
  <c r="AU14" i="15"/>
  <c r="AV14" i="15"/>
  <c r="AW14" i="15"/>
  <c r="AX14" i="15"/>
  <c r="AY14" i="15"/>
  <c r="AZ14" i="15"/>
  <c r="BB14" i="15"/>
  <c r="BC14" i="15"/>
  <c r="BD14" i="15"/>
  <c r="BE14" i="15"/>
  <c r="BF14" i="15"/>
  <c r="BG14" i="15"/>
  <c r="BH14" i="15"/>
  <c r="BI14" i="15"/>
  <c r="BJ14" i="15"/>
  <c r="BL14" i="15"/>
  <c r="BM14" i="15"/>
  <c r="BN14" i="15"/>
  <c r="BO14" i="15"/>
  <c r="BP14" i="15"/>
  <c r="BQ14" i="15"/>
  <c r="BR14" i="15"/>
  <c r="BS14" i="15"/>
  <c r="BT14" i="15"/>
  <c r="BU14" i="15"/>
  <c r="BV14" i="15"/>
  <c r="BW14" i="15"/>
  <c r="BX14" i="15"/>
  <c r="BY14" i="15"/>
  <c r="BZ14" i="15"/>
  <c r="CA14" i="15"/>
  <c r="CB14" i="15"/>
  <c r="CC14" i="15"/>
  <c r="CD14" i="15"/>
  <c r="CE14" i="15"/>
  <c r="T15" i="15"/>
  <c r="U15" i="15"/>
  <c r="V15" i="15"/>
  <c r="W15" i="15"/>
  <c r="X15" i="15"/>
  <c r="Y15" i="15"/>
  <c r="Z15" i="15"/>
  <c r="AA15" i="15"/>
  <c r="AB15" i="15"/>
  <c r="AC15" i="15"/>
  <c r="AD15" i="15"/>
  <c r="AE15" i="15"/>
  <c r="AF15" i="15"/>
  <c r="AG15" i="15"/>
  <c r="AH15" i="15"/>
  <c r="AI15" i="15"/>
  <c r="AJ15" i="15"/>
  <c r="AL15" i="15"/>
  <c r="AM15" i="15"/>
  <c r="AK15" i="15"/>
  <c r="AN15" i="15"/>
  <c r="AO15" i="15"/>
  <c r="AP15" i="15"/>
  <c r="AQ15" i="15"/>
  <c r="AR15" i="15"/>
  <c r="AS15" i="15"/>
  <c r="AT15" i="15"/>
  <c r="AU15" i="15"/>
  <c r="AV15" i="15"/>
  <c r="AW15" i="15"/>
  <c r="AX15" i="15"/>
  <c r="AY15" i="15"/>
  <c r="AZ15" i="15"/>
  <c r="BB15" i="15"/>
  <c r="BC15" i="15"/>
  <c r="BD15" i="15"/>
  <c r="BE15" i="15"/>
  <c r="BF15" i="15"/>
  <c r="BG15" i="15"/>
  <c r="BH15" i="15"/>
  <c r="BI15" i="15"/>
  <c r="BJ15" i="15"/>
  <c r="BL15" i="15"/>
  <c r="BM15" i="15"/>
  <c r="BN15" i="15"/>
  <c r="BO15" i="15"/>
  <c r="BP15" i="15"/>
  <c r="BQ15" i="15"/>
  <c r="BR15" i="15"/>
  <c r="BS15" i="15"/>
  <c r="BT15" i="15"/>
  <c r="BU15" i="15"/>
  <c r="BV15" i="15"/>
  <c r="BW15" i="15"/>
  <c r="BX15" i="15"/>
  <c r="BY15" i="15"/>
  <c r="BZ15" i="15"/>
  <c r="CA15" i="15"/>
  <c r="CB15" i="15"/>
  <c r="CC15" i="15"/>
  <c r="CD15" i="15"/>
  <c r="CE15" i="15"/>
  <c r="T16" i="15"/>
  <c r="U16" i="15"/>
  <c r="V16" i="15"/>
  <c r="W16" i="15"/>
  <c r="X16" i="15"/>
  <c r="Y16" i="15"/>
  <c r="Z16" i="15"/>
  <c r="AA16" i="15"/>
  <c r="AB16" i="15"/>
  <c r="AC16" i="15"/>
  <c r="AD16" i="15"/>
  <c r="AE16" i="15"/>
  <c r="AF16" i="15"/>
  <c r="AG16" i="15"/>
  <c r="AH16" i="15"/>
  <c r="AI16" i="15"/>
  <c r="AJ16" i="15"/>
  <c r="AL16" i="15"/>
  <c r="AM16" i="15"/>
  <c r="AK16" i="15"/>
  <c r="AN16" i="15"/>
  <c r="AO16" i="15"/>
  <c r="AP16" i="15"/>
  <c r="AQ16" i="15"/>
  <c r="AR16" i="15"/>
  <c r="AS16" i="15"/>
  <c r="AT16" i="15"/>
  <c r="AU16" i="15"/>
  <c r="AV16" i="15"/>
  <c r="AW16" i="15"/>
  <c r="AX16" i="15"/>
  <c r="AY16" i="15"/>
  <c r="AZ16" i="15"/>
  <c r="BB16" i="15"/>
  <c r="BC16" i="15"/>
  <c r="BD16" i="15"/>
  <c r="BE16" i="15"/>
  <c r="BF16" i="15"/>
  <c r="BG16" i="15"/>
  <c r="BH16" i="15"/>
  <c r="BI16" i="15"/>
  <c r="BJ16" i="15"/>
  <c r="BL16" i="15"/>
  <c r="BM16" i="15"/>
  <c r="BN16" i="15"/>
  <c r="BO16" i="15"/>
  <c r="BP16" i="15"/>
  <c r="BQ16" i="15"/>
  <c r="BR16" i="15"/>
  <c r="BS16" i="15"/>
  <c r="BT16" i="15"/>
  <c r="BU16" i="15"/>
  <c r="BV16" i="15"/>
  <c r="BW16" i="15"/>
  <c r="BX16" i="15"/>
  <c r="BY16" i="15"/>
  <c r="BZ16" i="15"/>
  <c r="CA16" i="15"/>
  <c r="CB16" i="15"/>
  <c r="CC16" i="15"/>
  <c r="CD16" i="15"/>
  <c r="CE16" i="15"/>
  <c r="T17" i="15"/>
  <c r="U17" i="15"/>
  <c r="V17" i="15"/>
  <c r="W17" i="15"/>
  <c r="X17" i="15"/>
  <c r="Y17" i="15"/>
  <c r="Z17" i="15"/>
  <c r="AA17" i="15"/>
  <c r="AB17" i="15"/>
  <c r="AC17" i="15"/>
  <c r="AD17" i="15"/>
  <c r="AE17" i="15"/>
  <c r="AF17" i="15"/>
  <c r="AG17" i="15"/>
  <c r="AH17" i="15"/>
  <c r="AI17" i="15"/>
  <c r="AJ17" i="15"/>
  <c r="AL17" i="15"/>
  <c r="AM17" i="15"/>
  <c r="AK17" i="15"/>
  <c r="AN17" i="15"/>
  <c r="AO17" i="15"/>
  <c r="AP17" i="15"/>
  <c r="AQ17" i="15"/>
  <c r="AR17" i="15"/>
  <c r="AS17" i="15"/>
  <c r="AT17" i="15"/>
  <c r="AU17" i="15"/>
  <c r="AV17" i="15"/>
  <c r="AW17" i="15"/>
  <c r="AX17" i="15"/>
  <c r="AY17" i="15"/>
  <c r="AZ17" i="15"/>
  <c r="BB17" i="15"/>
  <c r="BC17" i="15"/>
  <c r="BD17" i="15"/>
  <c r="BE17" i="15"/>
  <c r="BF17" i="15"/>
  <c r="BG17" i="15"/>
  <c r="BH17" i="15"/>
  <c r="BI17" i="15"/>
  <c r="BJ17" i="15"/>
  <c r="BL17" i="15"/>
  <c r="BM17" i="15"/>
  <c r="BN17" i="15"/>
  <c r="BO17" i="15"/>
  <c r="BP17" i="15"/>
  <c r="BQ17" i="15"/>
  <c r="BR17" i="15"/>
  <c r="BS17" i="15"/>
  <c r="BT17" i="15"/>
  <c r="BU17" i="15"/>
  <c r="BV17" i="15"/>
  <c r="BW17" i="15"/>
  <c r="BX17" i="15"/>
  <c r="BY17" i="15"/>
  <c r="BZ17" i="15"/>
  <c r="CA17" i="15"/>
  <c r="CB17" i="15"/>
  <c r="CC17" i="15"/>
  <c r="CD17" i="15"/>
  <c r="CE17" i="15"/>
  <c r="T18" i="15"/>
  <c r="U18" i="15"/>
  <c r="V18" i="15"/>
  <c r="W18" i="15"/>
  <c r="X18" i="15"/>
  <c r="Y18" i="15"/>
  <c r="Z18" i="15"/>
  <c r="AA18" i="15"/>
  <c r="AB18" i="15"/>
  <c r="AC18" i="15"/>
  <c r="AD18" i="15"/>
  <c r="AE18" i="15"/>
  <c r="AF18" i="15"/>
  <c r="AG18" i="15"/>
  <c r="AH18" i="15"/>
  <c r="AI18" i="15"/>
  <c r="AJ18" i="15"/>
  <c r="AL18" i="15"/>
  <c r="AM18" i="15"/>
  <c r="AK18" i="15"/>
  <c r="AN18" i="15"/>
  <c r="AO18" i="15"/>
  <c r="AP18" i="15"/>
  <c r="AQ18" i="15"/>
  <c r="AR18" i="15"/>
  <c r="AS18" i="15"/>
  <c r="AT18" i="15"/>
  <c r="AU18" i="15"/>
  <c r="AV18" i="15"/>
  <c r="AW18" i="15"/>
  <c r="AX18" i="15"/>
  <c r="AY18" i="15"/>
  <c r="AZ18" i="15"/>
  <c r="BB18" i="15"/>
  <c r="BC18" i="15"/>
  <c r="BD18" i="15"/>
  <c r="BE18" i="15"/>
  <c r="BF18" i="15"/>
  <c r="BG18" i="15"/>
  <c r="BH18" i="15"/>
  <c r="BI18" i="15"/>
  <c r="BJ18" i="15"/>
  <c r="BL18" i="15"/>
  <c r="BM18" i="15"/>
  <c r="BN18" i="15"/>
  <c r="BO18" i="15"/>
  <c r="BP18" i="15"/>
  <c r="BQ18" i="15"/>
  <c r="BR18" i="15"/>
  <c r="BS18" i="15"/>
  <c r="BT18" i="15"/>
  <c r="BU18" i="15"/>
  <c r="BV18" i="15"/>
  <c r="BW18" i="15"/>
  <c r="BX18" i="15"/>
  <c r="BY18" i="15"/>
  <c r="BZ18" i="15"/>
  <c r="CA18" i="15"/>
  <c r="CB18" i="15"/>
  <c r="CC18" i="15"/>
  <c r="CD18" i="15"/>
  <c r="CE18" i="15"/>
  <c r="T19" i="15"/>
  <c r="U19" i="15"/>
  <c r="V19" i="15"/>
  <c r="W19" i="15"/>
  <c r="X19" i="15"/>
  <c r="Y19" i="15"/>
  <c r="Z19" i="15"/>
  <c r="AA19" i="15"/>
  <c r="AB19" i="15"/>
  <c r="AC19" i="15"/>
  <c r="AD19" i="15"/>
  <c r="AE19" i="15"/>
  <c r="AF19" i="15"/>
  <c r="AG19" i="15"/>
  <c r="AH19" i="15"/>
  <c r="AI19" i="15"/>
  <c r="AJ19" i="15"/>
  <c r="AL19" i="15"/>
  <c r="AM19" i="15"/>
  <c r="AK19" i="15"/>
  <c r="AN19" i="15"/>
  <c r="AO19" i="15"/>
  <c r="AP19" i="15"/>
  <c r="AQ19" i="15"/>
  <c r="AR19" i="15"/>
  <c r="AS19" i="15"/>
  <c r="AT19" i="15"/>
  <c r="AU19" i="15"/>
  <c r="AV19" i="15"/>
  <c r="AW19" i="15"/>
  <c r="AX19" i="15"/>
  <c r="AY19" i="15"/>
  <c r="AZ19" i="15"/>
  <c r="BB19" i="15"/>
  <c r="BC19" i="15"/>
  <c r="BD19" i="15"/>
  <c r="BE19" i="15"/>
  <c r="BF19" i="15"/>
  <c r="BG19" i="15"/>
  <c r="BH19" i="15"/>
  <c r="BI19" i="15"/>
  <c r="BJ19" i="15"/>
  <c r="BL19" i="15"/>
  <c r="BM19" i="15"/>
  <c r="BN19" i="15"/>
  <c r="BO19" i="15"/>
  <c r="BP19" i="15"/>
  <c r="BQ19" i="15"/>
  <c r="BR19" i="15"/>
  <c r="BS19" i="15"/>
  <c r="BT19" i="15"/>
  <c r="BU19" i="15"/>
  <c r="BV19" i="15"/>
  <c r="BW19" i="15"/>
  <c r="BX19" i="15"/>
  <c r="BY19" i="15"/>
  <c r="BZ19" i="15"/>
  <c r="CA19" i="15"/>
  <c r="CB19" i="15"/>
  <c r="CC19" i="15"/>
  <c r="CD19" i="15"/>
  <c r="CE19" i="15"/>
  <c r="T20" i="15"/>
  <c r="U20" i="15"/>
  <c r="V20" i="15"/>
  <c r="W20" i="15"/>
  <c r="X20" i="15"/>
  <c r="Y20" i="15"/>
  <c r="Z20" i="15"/>
  <c r="AA20" i="15"/>
  <c r="AB20" i="15"/>
  <c r="AC20" i="15"/>
  <c r="AD20" i="15"/>
  <c r="AE20" i="15"/>
  <c r="AF20" i="15"/>
  <c r="AG20" i="15"/>
  <c r="AH20" i="15"/>
  <c r="AI20" i="15"/>
  <c r="AJ20" i="15"/>
  <c r="AL20" i="15"/>
  <c r="AM20" i="15"/>
  <c r="AK20" i="15"/>
  <c r="AN20" i="15"/>
  <c r="AO20" i="15"/>
  <c r="AP20" i="15"/>
  <c r="AQ20" i="15"/>
  <c r="AR20" i="15"/>
  <c r="AS20" i="15"/>
  <c r="AT20" i="15"/>
  <c r="AU20" i="15"/>
  <c r="AV20" i="15"/>
  <c r="AW20" i="15"/>
  <c r="AX20" i="15"/>
  <c r="AY20" i="15"/>
  <c r="AZ20" i="15"/>
  <c r="BB20" i="15"/>
  <c r="BC20" i="15"/>
  <c r="BD20" i="15"/>
  <c r="BE20" i="15"/>
  <c r="BF20" i="15"/>
  <c r="BG20" i="15"/>
  <c r="BH20" i="15"/>
  <c r="BI20" i="15"/>
  <c r="BJ20" i="15"/>
  <c r="BL20" i="15"/>
  <c r="BM20" i="15"/>
  <c r="BN20" i="15"/>
  <c r="BO20" i="15"/>
  <c r="BP20" i="15"/>
  <c r="BQ20" i="15"/>
  <c r="BR20" i="15"/>
  <c r="BS20" i="15"/>
  <c r="BT20" i="15"/>
  <c r="BU20" i="15"/>
  <c r="BV20" i="15"/>
  <c r="BW20" i="15"/>
  <c r="BX20" i="15"/>
  <c r="BY20" i="15"/>
  <c r="BZ20" i="15"/>
  <c r="CA20" i="15"/>
  <c r="CB20" i="15"/>
  <c r="CC20" i="15"/>
  <c r="CD20" i="15"/>
  <c r="CE20" i="15"/>
  <c r="T21" i="15"/>
  <c r="U21" i="15"/>
  <c r="V21" i="15"/>
  <c r="W21" i="15"/>
  <c r="X21" i="15"/>
  <c r="Y21" i="15"/>
  <c r="Z21" i="15"/>
  <c r="AA21" i="15"/>
  <c r="AB21" i="15"/>
  <c r="AC21" i="15"/>
  <c r="AD21" i="15"/>
  <c r="AE21" i="15"/>
  <c r="AF21" i="15"/>
  <c r="AG21" i="15"/>
  <c r="AH21" i="15"/>
  <c r="AI21" i="15"/>
  <c r="AJ21" i="15"/>
  <c r="AL21" i="15"/>
  <c r="AM21" i="15"/>
  <c r="AK21" i="15"/>
  <c r="AN21" i="15"/>
  <c r="AO21" i="15"/>
  <c r="AP21" i="15"/>
  <c r="AQ21" i="15"/>
  <c r="AR21" i="15"/>
  <c r="AS21" i="15"/>
  <c r="AT21" i="15"/>
  <c r="AU21" i="15"/>
  <c r="AV21" i="15"/>
  <c r="AW21" i="15"/>
  <c r="AX21" i="15"/>
  <c r="AY21" i="15"/>
  <c r="AZ21" i="15"/>
  <c r="BB21" i="15"/>
  <c r="BC21" i="15"/>
  <c r="BD21" i="15"/>
  <c r="BE21" i="15"/>
  <c r="BF21" i="15"/>
  <c r="BG21" i="15"/>
  <c r="BH21" i="15"/>
  <c r="BI21" i="15"/>
  <c r="BJ21" i="15"/>
  <c r="BL21" i="15"/>
  <c r="BM21" i="15"/>
  <c r="BN21" i="15"/>
  <c r="BO21" i="15"/>
  <c r="BP21" i="15"/>
  <c r="BQ21" i="15"/>
  <c r="BR21" i="15"/>
  <c r="BS21" i="15"/>
  <c r="BT21" i="15"/>
  <c r="BU21" i="15"/>
  <c r="BV21" i="15"/>
  <c r="BW21" i="15"/>
  <c r="BX21" i="15"/>
  <c r="BY21" i="15"/>
  <c r="BZ21" i="15"/>
  <c r="CA21" i="15"/>
  <c r="CB21" i="15"/>
  <c r="CC21" i="15"/>
  <c r="CD21" i="15"/>
  <c r="CE21" i="15"/>
  <c r="T22" i="15"/>
  <c r="U22" i="15"/>
  <c r="V22" i="15"/>
  <c r="W22" i="15"/>
  <c r="X22" i="15"/>
  <c r="Y22" i="15"/>
  <c r="Z22" i="15"/>
  <c r="AA22" i="15"/>
  <c r="AB22" i="15"/>
  <c r="AC22" i="15"/>
  <c r="AD22" i="15"/>
  <c r="AE22" i="15"/>
  <c r="AF22" i="15"/>
  <c r="AG22" i="15"/>
  <c r="AH22" i="15"/>
  <c r="AI22" i="15"/>
  <c r="AJ22" i="15"/>
  <c r="AL22" i="15"/>
  <c r="AM22" i="15"/>
  <c r="AK22" i="15"/>
  <c r="AN22" i="15"/>
  <c r="AO22" i="15"/>
  <c r="AP22" i="15"/>
  <c r="AQ22" i="15"/>
  <c r="AR22" i="15"/>
  <c r="AS22" i="15"/>
  <c r="AT22" i="15"/>
  <c r="AU22" i="15"/>
  <c r="AV22" i="15"/>
  <c r="AW22" i="15"/>
  <c r="AX22" i="15"/>
  <c r="AY22" i="15"/>
  <c r="AZ22" i="15"/>
  <c r="BB22" i="15"/>
  <c r="BC22" i="15"/>
  <c r="BD22" i="15"/>
  <c r="BE22" i="15"/>
  <c r="BF22" i="15"/>
  <c r="BG22" i="15"/>
  <c r="BH22" i="15"/>
  <c r="BI22" i="15"/>
  <c r="BJ22" i="15"/>
  <c r="BL22" i="15"/>
  <c r="BM22" i="15"/>
  <c r="BN22" i="15"/>
  <c r="BO22" i="15"/>
  <c r="BP22" i="15"/>
  <c r="BQ22" i="15"/>
  <c r="BR22" i="15"/>
  <c r="BS22" i="15"/>
  <c r="BT22" i="15"/>
  <c r="BU22" i="15"/>
  <c r="BV22" i="15"/>
  <c r="BW22" i="15"/>
  <c r="BX22" i="15"/>
  <c r="BY22" i="15"/>
  <c r="BZ22" i="15"/>
  <c r="CA22" i="15"/>
  <c r="CB22" i="15"/>
  <c r="CC22" i="15"/>
  <c r="CD22" i="15"/>
  <c r="CE22" i="15"/>
  <c r="T23" i="15"/>
  <c r="U23" i="15"/>
  <c r="V23" i="15"/>
  <c r="W23" i="15"/>
  <c r="X23" i="15"/>
  <c r="Y23" i="15"/>
  <c r="Z23" i="15"/>
  <c r="AA23" i="15"/>
  <c r="AB23" i="15"/>
  <c r="AC23" i="15"/>
  <c r="AD23" i="15"/>
  <c r="AE23" i="15"/>
  <c r="AF23" i="15"/>
  <c r="AG23" i="15"/>
  <c r="AH23" i="15"/>
  <c r="AI23" i="15"/>
  <c r="AJ23" i="15"/>
  <c r="AL23" i="15"/>
  <c r="AM23" i="15"/>
  <c r="AK23" i="15"/>
  <c r="AN23" i="15"/>
  <c r="AO23" i="15"/>
  <c r="AP23" i="15"/>
  <c r="AQ23" i="15"/>
  <c r="AR23" i="15"/>
  <c r="AS23" i="15"/>
  <c r="AT23" i="15"/>
  <c r="AU23" i="15"/>
  <c r="AV23" i="15"/>
  <c r="AW23" i="15"/>
  <c r="AX23" i="15"/>
  <c r="AY23" i="15"/>
  <c r="AZ23" i="15"/>
  <c r="BB23" i="15"/>
  <c r="BC23" i="15"/>
  <c r="BD23" i="15"/>
  <c r="BE23" i="15"/>
  <c r="BF23" i="15"/>
  <c r="BG23" i="15"/>
  <c r="BH23" i="15"/>
  <c r="BI23" i="15"/>
  <c r="BJ23" i="15"/>
  <c r="BL23" i="15"/>
  <c r="BM23" i="15"/>
  <c r="BN23" i="15"/>
  <c r="BO23" i="15"/>
  <c r="BP23" i="15"/>
  <c r="BQ23" i="15"/>
  <c r="BR23" i="15"/>
  <c r="BS23" i="15"/>
  <c r="BT23" i="15"/>
  <c r="BU23" i="15"/>
  <c r="BV23" i="15"/>
  <c r="BW23" i="15"/>
  <c r="BX23" i="15"/>
  <c r="BY23" i="15"/>
  <c r="BZ23" i="15"/>
  <c r="CA23" i="15"/>
  <c r="CB23" i="15"/>
  <c r="CC23" i="15"/>
  <c r="CD23" i="15"/>
  <c r="CE23" i="15"/>
  <c r="T24" i="15"/>
  <c r="U24" i="15"/>
  <c r="V24" i="15"/>
  <c r="W24" i="15"/>
  <c r="X24" i="15"/>
  <c r="Y24" i="15"/>
  <c r="Z24" i="15"/>
  <c r="AA24" i="15"/>
  <c r="AB24" i="15"/>
  <c r="AC24" i="15"/>
  <c r="AD24" i="15"/>
  <c r="AE24" i="15"/>
  <c r="AF24" i="15"/>
  <c r="AG24" i="15"/>
  <c r="AH24" i="15"/>
  <c r="AI24" i="15"/>
  <c r="AJ24" i="15"/>
  <c r="AL24" i="15"/>
  <c r="AM24" i="15"/>
  <c r="AK24" i="15"/>
  <c r="AN24" i="15"/>
  <c r="AO24" i="15"/>
  <c r="AP24" i="15"/>
  <c r="AQ24" i="15"/>
  <c r="AR24" i="15"/>
  <c r="AS24" i="15"/>
  <c r="AT24" i="15"/>
  <c r="AU24" i="15"/>
  <c r="AV24" i="15"/>
  <c r="AW24" i="15"/>
  <c r="AX24" i="15"/>
  <c r="AY24" i="15"/>
  <c r="AZ24" i="15"/>
  <c r="BB24" i="15"/>
  <c r="BC24" i="15"/>
  <c r="BD24" i="15"/>
  <c r="BE24" i="15"/>
  <c r="BF24" i="15"/>
  <c r="BG24" i="15"/>
  <c r="BH24" i="15"/>
  <c r="BI24" i="15"/>
  <c r="BJ24" i="15"/>
  <c r="BL24" i="15"/>
  <c r="BM24" i="15"/>
  <c r="BN24" i="15"/>
  <c r="BO24" i="15"/>
  <c r="BP24" i="15"/>
  <c r="BQ24" i="15"/>
  <c r="BR24" i="15"/>
  <c r="BS24" i="15"/>
  <c r="BT24" i="15"/>
  <c r="BU24" i="15"/>
  <c r="BV24" i="15"/>
  <c r="BW24" i="15"/>
  <c r="BX24" i="15"/>
  <c r="BY24" i="15"/>
  <c r="BZ24" i="15"/>
  <c r="CA24" i="15"/>
  <c r="CB24" i="15"/>
  <c r="CC24" i="15"/>
  <c r="CD24" i="15"/>
  <c r="CE24" i="15"/>
  <c r="T25" i="15"/>
  <c r="U25" i="15"/>
  <c r="V25" i="15"/>
  <c r="W25" i="15"/>
  <c r="X25" i="15"/>
  <c r="Y25" i="15"/>
  <c r="Z25" i="15"/>
  <c r="AA25" i="15"/>
  <c r="AB25" i="15"/>
  <c r="AC25" i="15"/>
  <c r="AD25" i="15"/>
  <c r="AE25" i="15"/>
  <c r="AF25" i="15"/>
  <c r="AG25" i="15"/>
  <c r="AH25" i="15"/>
  <c r="AI25" i="15"/>
  <c r="AJ25" i="15"/>
  <c r="AL25" i="15"/>
  <c r="AM25" i="15"/>
  <c r="AK25" i="15"/>
  <c r="AN25" i="15"/>
  <c r="AO25" i="15"/>
  <c r="AP25" i="15"/>
  <c r="AQ25" i="15"/>
  <c r="AR25" i="15"/>
  <c r="AS25" i="15"/>
  <c r="AT25" i="15"/>
  <c r="AU25" i="15"/>
  <c r="AV25" i="15"/>
  <c r="AW25" i="15"/>
  <c r="AX25" i="15"/>
  <c r="AY25" i="15"/>
  <c r="AZ25" i="15"/>
  <c r="BB25" i="15"/>
  <c r="BC25" i="15"/>
  <c r="BD25" i="15"/>
  <c r="BE25" i="15"/>
  <c r="BF25" i="15"/>
  <c r="BG25" i="15"/>
  <c r="BH25" i="15"/>
  <c r="BI25" i="15"/>
  <c r="BJ25" i="15"/>
  <c r="BL25" i="15"/>
  <c r="BM25" i="15"/>
  <c r="BN25" i="15"/>
  <c r="BO25" i="15"/>
  <c r="BP25" i="15"/>
  <c r="BQ25" i="15"/>
  <c r="BR25" i="15"/>
  <c r="BS25" i="15"/>
  <c r="BT25" i="15"/>
  <c r="BU25" i="15"/>
  <c r="BV25" i="15"/>
  <c r="BW25" i="15"/>
  <c r="BX25" i="15"/>
  <c r="BY25" i="15"/>
  <c r="BZ25" i="15"/>
  <c r="CA25" i="15"/>
  <c r="CB25" i="15"/>
  <c r="CC25" i="15"/>
  <c r="CD25" i="15"/>
  <c r="CE25" i="15"/>
  <c r="T26" i="15"/>
  <c r="U26" i="15"/>
  <c r="V26" i="15"/>
  <c r="W26" i="15"/>
  <c r="X26" i="15"/>
  <c r="Y26" i="15"/>
  <c r="Z26" i="15"/>
  <c r="AA26" i="15"/>
  <c r="AB26" i="15"/>
  <c r="AC26" i="15"/>
  <c r="AD26" i="15"/>
  <c r="AE26" i="15"/>
  <c r="AF26" i="15"/>
  <c r="AG26" i="15"/>
  <c r="AH26" i="15"/>
  <c r="AI26" i="15"/>
  <c r="AJ26" i="15"/>
  <c r="AL26" i="15"/>
  <c r="AM26" i="15"/>
  <c r="AK26" i="15"/>
  <c r="AN26" i="15"/>
  <c r="AO26" i="15"/>
  <c r="AP26" i="15"/>
  <c r="AQ26" i="15"/>
  <c r="AR26" i="15"/>
  <c r="AS26" i="15"/>
  <c r="AT26" i="15"/>
  <c r="AU26" i="15"/>
  <c r="AV26" i="15"/>
  <c r="AW26" i="15"/>
  <c r="AX26" i="15"/>
  <c r="AY26" i="15"/>
  <c r="AZ26" i="15"/>
  <c r="BB26" i="15"/>
  <c r="BC26" i="15"/>
  <c r="BD26" i="15"/>
  <c r="BE26" i="15"/>
  <c r="BF26" i="15"/>
  <c r="BG26" i="15"/>
  <c r="BH26" i="15"/>
  <c r="BI26" i="15"/>
  <c r="BJ26" i="15"/>
  <c r="BL26" i="15"/>
  <c r="BM26" i="15"/>
  <c r="BN26" i="15"/>
  <c r="BO26" i="15"/>
  <c r="BP26" i="15"/>
  <c r="BQ26" i="15"/>
  <c r="BR26" i="15"/>
  <c r="BS26" i="15"/>
  <c r="BT26" i="15"/>
  <c r="BU26" i="15"/>
  <c r="BV26" i="15"/>
  <c r="BW26" i="15"/>
  <c r="BX26" i="15"/>
  <c r="BY26" i="15"/>
  <c r="BZ26" i="15"/>
  <c r="CA26" i="15"/>
  <c r="CB26" i="15"/>
  <c r="CC26" i="15"/>
  <c r="CD26" i="15"/>
  <c r="CE26" i="15"/>
  <c r="T27" i="15"/>
  <c r="U27" i="15"/>
  <c r="V27" i="15"/>
  <c r="W27" i="15"/>
  <c r="X27" i="15"/>
  <c r="Y27" i="15"/>
  <c r="Z27" i="15"/>
  <c r="AA27" i="15"/>
  <c r="AB27" i="15"/>
  <c r="AC27" i="15"/>
  <c r="AD27" i="15"/>
  <c r="AE27" i="15"/>
  <c r="AF27" i="15"/>
  <c r="AG27" i="15"/>
  <c r="AH27" i="15"/>
  <c r="AI27" i="15"/>
  <c r="AJ27" i="15"/>
  <c r="AL27" i="15"/>
  <c r="AM27" i="15"/>
  <c r="AK27" i="15"/>
  <c r="AN27" i="15"/>
  <c r="AO27" i="15"/>
  <c r="AP27" i="15"/>
  <c r="AQ27" i="15"/>
  <c r="AR27" i="15"/>
  <c r="AS27" i="15"/>
  <c r="AT27" i="15"/>
  <c r="AU27" i="15"/>
  <c r="AV27" i="15"/>
  <c r="AW27" i="15"/>
  <c r="AX27" i="15"/>
  <c r="AY27" i="15"/>
  <c r="AZ27" i="15"/>
  <c r="BB27" i="15"/>
  <c r="BC27" i="15"/>
  <c r="BD27" i="15"/>
  <c r="BE27" i="15"/>
  <c r="BF27" i="15"/>
  <c r="BG27" i="15"/>
  <c r="BH27" i="15"/>
  <c r="BI27" i="15"/>
  <c r="BJ27" i="15"/>
  <c r="BL27" i="15"/>
  <c r="BM27" i="15"/>
  <c r="BN27" i="15"/>
  <c r="BO27" i="15"/>
  <c r="BP27" i="15"/>
  <c r="BQ27" i="15"/>
  <c r="BR27" i="15"/>
  <c r="BS27" i="15"/>
  <c r="BT27" i="15"/>
  <c r="BU27" i="15"/>
  <c r="BV27" i="15"/>
  <c r="BW27" i="15"/>
  <c r="BX27" i="15"/>
  <c r="BY27" i="15"/>
  <c r="BZ27" i="15"/>
  <c r="CA27" i="15"/>
  <c r="CB27" i="15"/>
  <c r="CC27" i="15"/>
  <c r="CD27" i="15"/>
  <c r="CE27" i="15"/>
  <c r="T28" i="15"/>
  <c r="U28" i="15"/>
  <c r="V28" i="15"/>
  <c r="W28" i="15"/>
  <c r="X28" i="15"/>
  <c r="Y28" i="15"/>
  <c r="Z28" i="15"/>
  <c r="AA28" i="15"/>
  <c r="AB28" i="15"/>
  <c r="AC28" i="15"/>
  <c r="AD28" i="15"/>
  <c r="AE28" i="15"/>
  <c r="AF28" i="15"/>
  <c r="AG28" i="15"/>
  <c r="AH28" i="15"/>
  <c r="AI28" i="15"/>
  <c r="AJ28" i="15"/>
  <c r="AL28" i="15"/>
  <c r="AM28" i="15"/>
  <c r="AK28" i="15"/>
  <c r="AN28" i="15"/>
  <c r="AO28" i="15"/>
  <c r="AP28" i="15"/>
  <c r="AQ28" i="15"/>
  <c r="AR28" i="15"/>
  <c r="AS28" i="15"/>
  <c r="AT28" i="15"/>
  <c r="AU28" i="15"/>
  <c r="AV28" i="15"/>
  <c r="AW28" i="15"/>
  <c r="AX28" i="15"/>
  <c r="AY28" i="15"/>
  <c r="AZ28" i="15"/>
  <c r="BB28" i="15"/>
  <c r="BC28" i="15"/>
  <c r="BD28" i="15"/>
  <c r="BE28" i="15"/>
  <c r="BF28" i="15"/>
  <c r="BG28" i="15"/>
  <c r="BH28" i="15"/>
  <c r="BI28" i="15"/>
  <c r="BJ28" i="15"/>
  <c r="BL28" i="15"/>
  <c r="BM28" i="15"/>
  <c r="BN28" i="15"/>
  <c r="BO28" i="15"/>
  <c r="BP28" i="15"/>
  <c r="BQ28" i="15"/>
  <c r="BR28" i="15"/>
  <c r="BS28" i="15"/>
  <c r="BT28" i="15"/>
  <c r="BU28" i="15"/>
  <c r="BV28" i="15"/>
  <c r="BW28" i="15"/>
  <c r="BX28" i="15"/>
  <c r="BY28" i="15"/>
  <c r="BZ28" i="15"/>
  <c r="CA28" i="15"/>
  <c r="CB28" i="15"/>
  <c r="CC28" i="15"/>
  <c r="CD28" i="15"/>
  <c r="CE28" i="15"/>
  <c r="T29" i="15"/>
  <c r="U29" i="15"/>
  <c r="V29" i="15"/>
  <c r="W29" i="15"/>
  <c r="X29" i="15"/>
  <c r="Y29" i="15"/>
  <c r="Z29" i="15"/>
  <c r="AA29" i="15"/>
  <c r="AB29" i="15"/>
  <c r="AC29" i="15"/>
  <c r="AD29" i="15"/>
  <c r="AE29" i="15"/>
  <c r="AF29" i="15"/>
  <c r="AG29" i="15"/>
  <c r="AH29" i="15"/>
  <c r="AI29" i="15"/>
  <c r="AJ29" i="15"/>
  <c r="AL29" i="15"/>
  <c r="AM29" i="15"/>
  <c r="AK29" i="15"/>
  <c r="AN29" i="15"/>
  <c r="AO29" i="15"/>
  <c r="AP29" i="15"/>
  <c r="AQ29" i="15"/>
  <c r="AR29" i="15"/>
  <c r="AS29" i="15"/>
  <c r="AT29" i="15"/>
  <c r="AU29" i="15"/>
  <c r="AV29" i="15"/>
  <c r="AW29" i="15"/>
  <c r="AX29" i="15"/>
  <c r="AY29" i="15"/>
  <c r="AZ29" i="15"/>
  <c r="BB29" i="15"/>
  <c r="BC29" i="15"/>
  <c r="BD29" i="15"/>
  <c r="BE29" i="15"/>
  <c r="BF29" i="15"/>
  <c r="BG29" i="15"/>
  <c r="BH29" i="15"/>
  <c r="BI29" i="15"/>
  <c r="BJ29" i="15"/>
  <c r="BL29" i="15"/>
  <c r="BM29" i="15"/>
  <c r="BN29" i="15"/>
  <c r="BO29" i="15"/>
  <c r="BP29" i="15"/>
  <c r="BQ29" i="15"/>
  <c r="BR29" i="15"/>
  <c r="BS29" i="15"/>
  <c r="BT29" i="15"/>
  <c r="BU29" i="15"/>
  <c r="BV29" i="15"/>
  <c r="BW29" i="15"/>
  <c r="BX29" i="15"/>
  <c r="BY29" i="15"/>
  <c r="BZ29" i="15"/>
  <c r="CA29" i="15"/>
  <c r="CB29" i="15"/>
  <c r="CC29" i="15"/>
  <c r="CD29" i="15"/>
  <c r="CE29" i="15"/>
  <c r="T30" i="15"/>
  <c r="U30" i="15"/>
  <c r="V30" i="15"/>
  <c r="W30" i="15"/>
  <c r="X30" i="15"/>
  <c r="Y30" i="15"/>
  <c r="Z30" i="15"/>
  <c r="AA30" i="15"/>
  <c r="AB30" i="15"/>
  <c r="AC30" i="15"/>
  <c r="AD30" i="15"/>
  <c r="AE30" i="15"/>
  <c r="AF30" i="15"/>
  <c r="AG30" i="15"/>
  <c r="AH30" i="15"/>
  <c r="AI30" i="15"/>
  <c r="AJ30" i="15"/>
  <c r="AL30" i="15"/>
  <c r="AM30" i="15"/>
  <c r="AK30" i="15"/>
  <c r="AN30" i="15"/>
  <c r="AO30" i="15"/>
  <c r="AP30" i="15"/>
  <c r="AQ30" i="15"/>
  <c r="AR30" i="15"/>
  <c r="AS30" i="15"/>
  <c r="AT30" i="15"/>
  <c r="AU30" i="15"/>
  <c r="AV30" i="15"/>
  <c r="AW30" i="15"/>
  <c r="AX30" i="15"/>
  <c r="AY30" i="15"/>
  <c r="AZ30" i="15"/>
  <c r="BB30" i="15"/>
  <c r="BC30" i="15"/>
  <c r="BD30" i="15"/>
  <c r="BE30" i="15"/>
  <c r="BF30" i="15"/>
  <c r="BG30" i="15"/>
  <c r="BH30" i="15"/>
  <c r="BI30" i="15"/>
  <c r="BJ30" i="15"/>
  <c r="BL30" i="15"/>
  <c r="BM30" i="15"/>
  <c r="BN30" i="15"/>
  <c r="BO30" i="15"/>
  <c r="BP30" i="15"/>
  <c r="BQ30" i="15"/>
  <c r="BR30" i="15"/>
  <c r="BS30" i="15"/>
  <c r="BT30" i="15"/>
  <c r="BU30" i="15"/>
  <c r="BV30" i="15"/>
  <c r="BW30" i="15"/>
  <c r="BX30" i="15"/>
  <c r="BY30" i="15"/>
  <c r="BZ30" i="15"/>
  <c r="CA30" i="15"/>
  <c r="CB30" i="15"/>
  <c r="CC30" i="15"/>
  <c r="CD30" i="15"/>
  <c r="CE30" i="15"/>
  <c r="T31" i="15"/>
  <c r="U31" i="15"/>
  <c r="V31" i="15"/>
  <c r="W31" i="15"/>
  <c r="X31" i="15"/>
  <c r="Y31" i="15"/>
  <c r="Z31" i="15"/>
  <c r="AA31" i="15"/>
  <c r="AB31" i="15"/>
  <c r="AC31" i="15"/>
  <c r="AD31" i="15"/>
  <c r="AE31" i="15"/>
  <c r="AF31" i="15"/>
  <c r="AG31" i="15"/>
  <c r="AH31" i="15"/>
  <c r="AI31" i="15"/>
  <c r="AJ31" i="15"/>
  <c r="AL31" i="15"/>
  <c r="AM31" i="15"/>
  <c r="AK31" i="15"/>
  <c r="AN31" i="15"/>
  <c r="AO31" i="15"/>
  <c r="AP31" i="15"/>
  <c r="AQ31" i="15"/>
  <c r="AR31" i="15"/>
  <c r="AS31" i="15"/>
  <c r="AT31" i="15"/>
  <c r="AU31" i="15"/>
  <c r="AV31" i="15"/>
  <c r="AW31" i="15"/>
  <c r="AX31" i="15"/>
  <c r="AY31" i="15"/>
  <c r="AZ31" i="15"/>
  <c r="BB31" i="15"/>
  <c r="BC31" i="15"/>
  <c r="BD31" i="15"/>
  <c r="BE31" i="15"/>
  <c r="BF31" i="15"/>
  <c r="BG31" i="15"/>
  <c r="BH31" i="15"/>
  <c r="BI31" i="15"/>
  <c r="BJ31" i="15"/>
  <c r="BL31" i="15"/>
  <c r="BM31" i="15"/>
  <c r="BN31" i="15"/>
  <c r="BO31" i="15"/>
  <c r="BP31" i="15"/>
  <c r="BQ31" i="15"/>
  <c r="BR31" i="15"/>
  <c r="BS31" i="15"/>
  <c r="BT31" i="15"/>
  <c r="BU31" i="15"/>
  <c r="BV31" i="15"/>
  <c r="BW31" i="15"/>
  <c r="BX31" i="15"/>
  <c r="BY31" i="15"/>
  <c r="BZ31" i="15"/>
  <c r="CA31" i="15"/>
  <c r="CB31" i="15"/>
  <c r="CC31" i="15"/>
  <c r="CD31" i="15"/>
  <c r="CE31" i="15"/>
  <c r="T32" i="15"/>
  <c r="U32" i="15"/>
  <c r="V32" i="15"/>
  <c r="W32" i="15"/>
  <c r="X32" i="15"/>
  <c r="Y32" i="15"/>
  <c r="Z32" i="15"/>
  <c r="AA32" i="15"/>
  <c r="AB32" i="15"/>
  <c r="AC32" i="15"/>
  <c r="AD32" i="15"/>
  <c r="AE32" i="15"/>
  <c r="AF32" i="15"/>
  <c r="AG32" i="15"/>
  <c r="AH32" i="15"/>
  <c r="AI32" i="15"/>
  <c r="AJ32" i="15"/>
  <c r="AL32" i="15"/>
  <c r="AM32" i="15"/>
  <c r="AK32" i="15"/>
  <c r="AN32" i="15"/>
  <c r="AO32" i="15"/>
  <c r="AP32" i="15"/>
  <c r="AQ32" i="15"/>
  <c r="AR32" i="15"/>
  <c r="AS32" i="15"/>
  <c r="AT32" i="15"/>
  <c r="AU32" i="15"/>
  <c r="AV32" i="15"/>
  <c r="AW32" i="15"/>
  <c r="AX32" i="15"/>
  <c r="AY32" i="15"/>
  <c r="AZ32" i="15"/>
  <c r="BB32" i="15"/>
  <c r="BC32" i="15"/>
  <c r="BD32" i="15"/>
  <c r="BE32" i="15"/>
  <c r="BF32" i="15"/>
  <c r="BG32" i="15"/>
  <c r="BH32" i="15"/>
  <c r="BI32" i="15"/>
  <c r="BJ32" i="15"/>
  <c r="BL32" i="15"/>
  <c r="BM32" i="15"/>
  <c r="BN32" i="15"/>
  <c r="BO32" i="15"/>
  <c r="BP32" i="15"/>
  <c r="BQ32" i="15"/>
  <c r="BR32" i="15"/>
  <c r="BS32" i="15"/>
  <c r="BT32" i="15"/>
  <c r="BU32" i="15"/>
  <c r="BV32" i="15"/>
  <c r="BW32" i="15"/>
  <c r="BX32" i="15"/>
  <c r="BY32" i="15"/>
  <c r="BZ32" i="15"/>
  <c r="CA32" i="15"/>
  <c r="CB32" i="15"/>
  <c r="CC32" i="15"/>
  <c r="CD32" i="15"/>
  <c r="CE32" i="15"/>
  <c r="T33" i="15"/>
  <c r="U33" i="15"/>
  <c r="V33" i="15"/>
  <c r="W33" i="15"/>
  <c r="X33" i="15"/>
  <c r="Y33" i="15"/>
  <c r="Z33" i="15"/>
  <c r="AA33" i="15"/>
  <c r="AB33" i="15"/>
  <c r="AC33" i="15"/>
  <c r="AD33" i="15"/>
  <c r="AE33" i="15"/>
  <c r="AF33" i="15"/>
  <c r="AG33" i="15"/>
  <c r="AH33" i="15"/>
  <c r="AI33" i="15"/>
  <c r="AJ33" i="15"/>
  <c r="AL33" i="15"/>
  <c r="AM33" i="15"/>
  <c r="AK33" i="15"/>
  <c r="AN33" i="15"/>
  <c r="AO33" i="15"/>
  <c r="AP33" i="15"/>
  <c r="AQ33" i="15"/>
  <c r="AR33" i="15"/>
  <c r="AS33" i="15"/>
  <c r="AT33" i="15"/>
  <c r="AU33" i="15"/>
  <c r="AV33" i="15"/>
  <c r="AW33" i="15"/>
  <c r="AX33" i="15"/>
  <c r="AY33" i="15"/>
  <c r="AZ33" i="15"/>
  <c r="BB33" i="15"/>
  <c r="BC33" i="15"/>
  <c r="BD33" i="15"/>
  <c r="BE33" i="15"/>
  <c r="BF33" i="15"/>
  <c r="BG33" i="15"/>
  <c r="BH33" i="15"/>
  <c r="BI33" i="15"/>
  <c r="BJ33" i="15"/>
  <c r="BL33" i="15"/>
  <c r="BM33" i="15"/>
  <c r="BN33" i="15"/>
  <c r="BO33" i="15"/>
  <c r="BP33" i="15"/>
  <c r="BQ33" i="15"/>
  <c r="BR33" i="15"/>
  <c r="BS33" i="15"/>
  <c r="BT33" i="15"/>
  <c r="BU33" i="15"/>
  <c r="BV33" i="15"/>
  <c r="BW33" i="15"/>
  <c r="BX33" i="15"/>
  <c r="BY33" i="15"/>
  <c r="BZ33" i="15"/>
  <c r="CA33" i="15"/>
  <c r="CB33" i="15"/>
  <c r="CC33" i="15"/>
  <c r="CD33" i="15"/>
  <c r="CE33" i="15"/>
  <c r="T34" i="15"/>
  <c r="U34" i="15"/>
  <c r="V34" i="15"/>
  <c r="W34" i="15"/>
  <c r="X34" i="15"/>
  <c r="Y34" i="15"/>
  <c r="Z34" i="15"/>
  <c r="AA34" i="15"/>
  <c r="AB34" i="15"/>
  <c r="AC34" i="15"/>
  <c r="AD34" i="15"/>
  <c r="AE34" i="15"/>
  <c r="AF34" i="15"/>
  <c r="AG34" i="15"/>
  <c r="AH34" i="15"/>
  <c r="AI34" i="15"/>
  <c r="AJ34" i="15"/>
  <c r="AL34" i="15"/>
  <c r="AM34" i="15"/>
  <c r="AK34" i="15"/>
  <c r="AN34" i="15"/>
  <c r="AO34" i="15"/>
  <c r="AP34" i="15"/>
  <c r="AQ34" i="15"/>
  <c r="AR34" i="15"/>
  <c r="AS34" i="15"/>
  <c r="AT34" i="15"/>
  <c r="AU34" i="15"/>
  <c r="AV34" i="15"/>
  <c r="AW34" i="15"/>
  <c r="AX34" i="15"/>
  <c r="AY34" i="15"/>
  <c r="AZ34" i="15"/>
  <c r="BB34" i="15"/>
  <c r="BC34" i="15"/>
  <c r="BD34" i="15"/>
  <c r="BE34" i="15"/>
  <c r="BF34" i="15"/>
  <c r="BG34" i="15"/>
  <c r="BH34" i="15"/>
  <c r="BI34" i="15"/>
  <c r="BJ34" i="15"/>
  <c r="BL34" i="15"/>
  <c r="BM34" i="15"/>
  <c r="BN34" i="15"/>
  <c r="BO34" i="15"/>
  <c r="BP34" i="15"/>
  <c r="BQ34" i="15"/>
  <c r="BR34" i="15"/>
  <c r="BS34" i="15"/>
  <c r="BT34" i="15"/>
  <c r="BU34" i="15"/>
  <c r="BV34" i="15"/>
  <c r="BW34" i="15"/>
  <c r="BX34" i="15"/>
  <c r="BY34" i="15"/>
  <c r="BZ34" i="15"/>
  <c r="CA34" i="15"/>
  <c r="CB34" i="15"/>
  <c r="CC34" i="15"/>
  <c r="CD34" i="15"/>
  <c r="CE34" i="15"/>
  <c r="T35" i="15"/>
  <c r="U35" i="15"/>
  <c r="V35" i="15"/>
  <c r="W35" i="15"/>
  <c r="X35" i="15"/>
  <c r="Y35" i="15"/>
  <c r="Z35" i="15"/>
  <c r="AA35" i="15"/>
  <c r="AB35" i="15"/>
  <c r="AC35" i="15"/>
  <c r="AD35" i="15"/>
  <c r="AE35" i="15"/>
  <c r="AF35" i="15"/>
  <c r="AG35" i="15"/>
  <c r="AH35" i="15"/>
  <c r="AI35" i="15"/>
  <c r="AJ35" i="15"/>
  <c r="AL35" i="15"/>
  <c r="AM35" i="15"/>
  <c r="AK35" i="15"/>
  <c r="AN35" i="15"/>
  <c r="AO35" i="15"/>
  <c r="AP35" i="15"/>
  <c r="AQ35" i="15"/>
  <c r="AR35" i="15"/>
  <c r="AS35" i="15"/>
  <c r="AT35" i="15"/>
  <c r="AU35" i="15"/>
  <c r="AV35" i="15"/>
  <c r="AW35" i="15"/>
  <c r="AX35" i="15"/>
  <c r="AY35" i="15"/>
  <c r="AZ35" i="15"/>
  <c r="BB35" i="15"/>
  <c r="BC35" i="15"/>
  <c r="BD35" i="15"/>
  <c r="BE35" i="15"/>
  <c r="BF35" i="15"/>
  <c r="BG35" i="15"/>
  <c r="BH35" i="15"/>
  <c r="BI35" i="15"/>
  <c r="BJ35" i="15"/>
  <c r="BL35" i="15"/>
  <c r="BM35" i="15"/>
  <c r="BN35" i="15"/>
  <c r="BO35" i="15"/>
  <c r="BP35" i="15"/>
  <c r="BQ35" i="15"/>
  <c r="BR35" i="15"/>
  <c r="BS35" i="15"/>
  <c r="BT35" i="15"/>
  <c r="BU35" i="15"/>
  <c r="BV35" i="15"/>
  <c r="BW35" i="15"/>
  <c r="BX35" i="15"/>
  <c r="BY35" i="15"/>
  <c r="BZ35" i="15"/>
  <c r="CA35" i="15"/>
  <c r="CB35" i="15"/>
  <c r="CC35" i="15"/>
  <c r="CD35" i="15"/>
  <c r="CE35" i="15"/>
  <c r="T36" i="15"/>
  <c r="U36" i="15"/>
  <c r="V36" i="15"/>
  <c r="W36" i="15"/>
  <c r="X36" i="15"/>
  <c r="Y36" i="15"/>
  <c r="Z36" i="15"/>
  <c r="AA36" i="15"/>
  <c r="AB36" i="15"/>
  <c r="AC36" i="15"/>
  <c r="AD36" i="15"/>
  <c r="AE36" i="15"/>
  <c r="AF36" i="15"/>
  <c r="AG36" i="15"/>
  <c r="AH36" i="15"/>
  <c r="AI36" i="15"/>
  <c r="AJ36" i="15"/>
  <c r="AL36" i="15"/>
  <c r="AM36" i="15"/>
  <c r="AK36" i="15"/>
  <c r="AN36" i="15"/>
  <c r="AO36" i="15"/>
  <c r="AP36" i="15"/>
  <c r="AQ36" i="15"/>
  <c r="AR36" i="15"/>
  <c r="AS36" i="15"/>
  <c r="AT36" i="15"/>
  <c r="AU36" i="15"/>
  <c r="AV36" i="15"/>
  <c r="AW36" i="15"/>
  <c r="AX36" i="15"/>
  <c r="AY36" i="15"/>
  <c r="AZ36" i="15"/>
  <c r="BB36" i="15"/>
  <c r="BC36" i="15"/>
  <c r="BD36" i="15"/>
  <c r="BE36" i="15"/>
  <c r="BF36" i="15"/>
  <c r="BG36" i="15"/>
  <c r="BH36" i="15"/>
  <c r="BI36" i="15"/>
  <c r="BJ36" i="15"/>
  <c r="BL36" i="15"/>
  <c r="BM36" i="15"/>
  <c r="BN36" i="15"/>
  <c r="BO36" i="15"/>
  <c r="BP36" i="15"/>
  <c r="BQ36" i="15"/>
  <c r="BR36" i="15"/>
  <c r="BS36" i="15"/>
  <c r="BT36" i="15"/>
  <c r="BU36" i="15"/>
  <c r="BV36" i="15"/>
  <c r="BW36" i="15"/>
  <c r="BX36" i="15"/>
  <c r="BY36" i="15"/>
  <c r="BZ36" i="15"/>
  <c r="CA36" i="15"/>
  <c r="CB36" i="15"/>
  <c r="CC36" i="15"/>
  <c r="CD36" i="15"/>
  <c r="CE36" i="15"/>
  <c r="T37" i="15"/>
  <c r="U37" i="15"/>
  <c r="V37" i="15"/>
  <c r="W37" i="15"/>
  <c r="X37" i="15"/>
  <c r="Y37" i="15"/>
  <c r="Z37" i="15"/>
  <c r="AA37" i="15"/>
  <c r="AB37" i="15"/>
  <c r="AC37" i="15"/>
  <c r="AD37" i="15"/>
  <c r="AE37" i="15"/>
  <c r="AF37" i="15"/>
  <c r="AG37" i="15"/>
  <c r="AH37" i="15"/>
  <c r="AI37" i="15"/>
  <c r="AJ37" i="15"/>
  <c r="AL37" i="15"/>
  <c r="AM37" i="15"/>
  <c r="AK37" i="15"/>
  <c r="AN37" i="15"/>
  <c r="AO37" i="15"/>
  <c r="AP37" i="15"/>
  <c r="AQ37" i="15"/>
  <c r="AR37" i="15"/>
  <c r="AS37" i="15"/>
  <c r="AT37" i="15"/>
  <c r="AU37" i="15"/>
  <c r="AV37" i="15"/>
  <c r="AW37" i="15"/>
  <c r="AX37" i="15"/>
  <c r="AY37" i="15"/>
  <c r="AZ37" i="15"/>
  <c r="BB37" i="15"/>
  <c r="BC37" i="15"/>
  <c r="BD37" i="15"/>
  <c r="BE37" i="15"/>
  <c r="BF37" i="15"/>
  <c r="BG37" i="15"/>
  <c r="BH37" i="15"/>
  <c r="BI37" i="15"/>
  <c r="BJ37" i="15"/>
  <c r="BL37" i="15"/>
  <c r="BM37" i="15"/>
  <c r="BN37" i="15"/>
  <c r="BO37" i="15"/>
  <c r="BP37" i="15"/>
  <c r="BQ37" i="15"/>
  <c r="BR37" i="15"/>
  <c r="BS37" i="15"/>
  <c r="BT37" i="15"/>
  <c r="BU37" i="15"/>
  <c r="BV37" i="15"/>
  <c r="BW37" i="15"/>
  <c r="BX37" i="15"/>
  <c r="BY37" i="15"/>
  <c r="BZ37" i="15"/>
  <c r="CA37" i="15"/>
  <c r="CB37" i="15"/>
  <c r="CC37" i="15"/>
  <c r="CD37" i="15"/>
  <c r="CE37" i="15"/>
  <c r="T38" i="15"/>
  <c r="U38" i="15"/>
  <c r="V38" i="15"/>
  <c r="W38" i="15"/>
  <c r="X38" i="15"/>
  <c r="Y38" i="15"/>
  <c r="Z38" i="15"/>
  <c r="AA38" i="15"/>
  <c r="AB38" i="15"/>
  <c r="AC38" i="15"/>
  <c r="AD38" i="15"/>
  <c r="AE38" i="15"/>
  <c r="AF38" i="15"/>
  <c r="AG38" i="15"/>
  <c r="AH38" i="15"/>
  <c r="AI38" i="15"/>
  <c r="AJ38" i="15"/>
  <c r="AL38" i="15"/>
  <c r="AM38" i="15"/>
  <c r="AK38" i="15"/>
  <c r="AN38" i="15"/>
  <c r="AO38" i="15"/>
  <c r="AP38" i="15"/>
  <c r="AQ38" i="15"/>
  <c r="AR38" i="15"/>
  <c r="AS38" i="15"/>
  <c r="AT38" i="15"/>
  <c r="AU38" i="15"/>
  <c r="AV38" i="15"/>
  <c r="AW38" i="15"/>
  <c r="AX38" i="15"/>
  <c r="AY38" i="15"/>
  <c r="AZ38" i="15"/>
  <c r="BB38" i="15"/>
  <c r="BC38" i="15"/>
  <c r="BD38" i="15"/>
  <c r="BE38" i="15"/>
  <c r="BF38" i="15"/>
  <c r="BG38" i="15"/>
  <c r="BH38" i="15"/>
  <c r="BI38" i="15"/>
  <c r="BJ38" i="15"/>
  <c r="BL38" i="15"/>
  <c r="BM38" i="15"/>
  <c r="BN38" i="15"/>
  <c r="BO38" i="15"/>
  <c r="BP38" i="15"/>
  <c r="BQ38" i="15"/>
  <c r="BR38" i="15"/>
  <c r="BS38" i="15"/>
  <c r="BT38" i="15"/>
  <c r="BU38" i="15"/>
  <c r="BV38" i="15"/>
  <c r="BW38" i="15"/>
  <c r="BX38" i="15"/>
  <c r="BY38" i="15"/>
  <c r="BZ38" i="15"/>
  <c r="CA38" i="15"/>
  <c r="CB38" i="15"/>
  <c r="CC38" i="15"/>
  <c r="CD38" i="15"/>
  <c r="CE38" i="15"/>
  <c r="T39" i="15"/>
  <c r="U39" i="15"/>
  <c r="V39" i="15"/>
  <c r="W39" i="15"/>
  <c r="X39" i="15"/>
  <c r="Y39" i="15"/>
  <c r="Z39" i="15"/>
  <c r="AA39" i="15"/>
  <c r="AB39" i="15"/>
  <c r="AC39" i="15"/>
  <c r="AD39" i="15"/>
  <c r="AE39" i="15"/>
  <c r="AF39" i="15"/>
  <c r="AG39" i="15"/>
  <c r="AH39" i="15"/>
  <c r="AI39" i="15"/>
  <c r="AJ39" i="15"/>
  <c r="AL39" i="15"/>
  <c r="AM39" i="15"/>
  <c r="AK39" i="15"/>
  <c r="AN39" i="15"/>
  <c r="AO39" i="15"/>
  <c r="AP39" i="15"/>
  <c r="AQ39" i="15"/>
  <c r="AR39" i="15"/>
  <c r="AS39" i="15"/>
  <c r="AT39" i="15"/>
  <c r="AU39" i="15"/>
  <c r="AV39" i="15"/>
  <c r="AW39" i="15"/>
  <c r="AX39" i="15"/>
  <c r="AY39" i="15"/>
  <c r="AZ39" i="15"/>
  <c r="BB39" i="15"/>
  <c r="BC39" i="15"/>
  <c r="BD39" i="15"/>
  <c r="BE39" i="15"/>
  <c r="BF39" i="15"/>
  <c r="BG39" i="15"/>
  <c r="BH39" i="15"/>
  <c r="BI39" i="15"/>
  <c r="BJ39" i="15"/>
  <c r="BL39" i="15"/>
  <c r="BM39" i="15"/>
  <c r="BN39" i="15"/>
  <c r="BO39" i="15"/>
  <c r="BP39" i="15"/>
  <c r="BQ39" i="15"/>
  <c r="BR39" i="15"/>
  <c r="BS39" i="15"/>
  <c r="BT39" i="15"/>
  <c r="BU39" i="15"/>
  <c r="BV39" i="15"/>
  <c r="BW39" i="15"/>
  <c r="BX39" i="15"/>
  <c r="BY39" i="15"/>
  <c r="BZ39" i="15"/>
  <c r="CA39" i="15"/>
  <c r="CB39" i="15"/>
  <c r="CC39" i="15"/>
  <c r="CD39" i="15"/>
  <c r="CE39" i="15"/>
  <c r="T40" i="15"/>
  <c r="U40" i="15"/>
  <c r="V40" i="15"/>
  <c r="W40" i="15"/>
  <c r="X40" i="15"/>
  <c r="Y40" i="15"/>
  <c r="Z40" i="15"/>
  <c r="AA40" i="15"/>
  <c r="AB40" i="15"/>
  <c r="AC40" i="15"/>
  <c r="AD40" i="15"/>
  <c r="AE40" i="15"/>
  <c r="AF40" i="15"/>
  <c r="AG40" i="15"/>
  <c r="AH40" i="15"/>
  <c r="AI40" i="15"/>
  <c r="AJ40" i="15"/>
  <c r="AL40" i="15"/>
  <c r="AM40" i="15"/>
  <c r="AK40" i="15"/>
  <c r="AN40" i="15"/>
  <c r="AO40" i="15"/>
  <c r="AP40" i="15"/>
  <c r="AQ40" i="15"/>
  <c r="AR40" i="15"/>
  <c r="AS40" i="15"/>
  <c r="AT40" i="15"/>
  <c r="AU40" i="15"/>
  <c r="AV40" i="15"/>
  <c r="AW40" i="15"/>
  <c r="AX40" i="15"/>
  <c r="AY40" i="15"/>
  <c r="AZ40" i="15"/>
  <c r="BB40" i="15"/>
  <c r="BC40" i="15"/>
  <c r="BD40" i="15"/>
  <c r="BE40" i="15"/>
  <c r="BF40" i="15"/>
  <c r="BG40" i="15"/>
  <c r="BH40" i="15"/>
  <c r="BI40" i="15"/>
  <c r="BJ40" i="15"/>
  <c r="BL40" i="15"/>
  <c r="BM40" i="15"/>
  <c r="BN40" i="15"/>
  <c r="BO40" i="15"/>
  <c r="BP40" i="15"/>
  <c r="BQ40" i="15"/>
  <c r="BR40" i="15"/>
  <c r="BS40" i="15"/>
  <c r="BT40" i="15"/>
  <c r="BU40" i="15"/>
  <c r="BV40" i="15"/>
  <c r="BW40" i="15"/>
  <c r="BX40" i="15"/>
  <c r="BY40" i="15"/>
  <c r="BZ40" i="15"/>
  <c r="CA40" i="15"/>
  <c r="CB40" i="15"/>
  <c r="CC40" i="15"/>
  <c r="CD40" i="15"/>
  <c r="CE40" i="15"/>
  <c r="AJ41" i="15"/>
  <c r="AJ42" i="15"/>
  <c r="B4" i="30"/>
  <c r="C4" i="30"/>
  <c r="D4" i="30"/>
  <c r="H4" i="30"/>
  <c r="I4" i="30"/>
  <c r="J4" i="30"/>
  <c r="B5" i="30"/>
  <c r="D5" i="30"/>
  <c r="E5" i="30"/>
  <c r="F5" i="30"/>
  <c r="H5" i="30"/>
  <c r="J5" i="30"/>
  <c r="K5" i="30"/>
  <c r="L5" i="30"/>
  <c r="B6" i="30"/>
  <c r="D6" i="30"/>
  <c r="E6" i="30"/>
  <c r="F6" i="30"/>
  <c r="H6" i="30"/>
  <c r="J6" i="30"/>
  <c r="K6" i="30"/>
  <c r="L6" i="30"/>
  <c r="B7" i="30"/>
  <c r="D7" i="30"/>
  <c r="E7" i="30"/>
  <c r="F7" i="30"/>
  <c r="K7" i="30"/>
  <c r="L7" i="30"/>
  <c r="E8" i="30"/>
  <c r="F8" i="30"/>
  <c r="H8" i="30"/>
  <c r="I8" i="30"/>
  <c r="J8" i="30"/>
  <c r="K8" i="30"/>
  <c r="L8" i="30"/>
  <c r="E9" i="30"/>
  <c r="F9" i="30"/>
  <c r="H9" i="30"/>
  <c r="J9" i="30"/>
  <c r="K9" i="30"/>
  <c r="L9" i="30"/>
  <c r="B10" i="30"/>
  <c r="C10" i="30"/>
  <c r="E10" i="30"/>
  <c r="F10" i="30"/>
  <c r="K10" i="30"/>
  <c r="L10" i="30"/>
  <c r="C15" i="30"/>
  <c r="E15" i="30"/>
  <c r="K15" i="30"/>
  <c r="M15" i="30"/>
  <c r="S15" i="30"/>
  <c r="U15" i="30"/>
  <c r="B16" i="30"/>
  <c r="C16" i="30"/>
  <c r="D16" i="30"/>
  <c r="E16" i="30"/>
  <c r="F16" i="30"/>
  <c r="G16" i="30"/>
  <c r="J16" i="30"/>
  <c r="K16" i="30"/>
  <c r="L16" i="30"/>
  <c r="M16" i="30"/>
  <c r="N16" i="30"/>
  <c r="O16" i="30"/>
  <c r="R16" i="30"/>
  <c r="S16" i="30"/>
  <c r="T16" i="30"/>
  <c r="U16" i="30"/>
  <c r="V16" i="30"/>
  <c r="W16" i="30"/>
  <c r="J18" i="30"/>
  <c r="R18" i="30"/>
  <c r="B19" i="30"/>
  <c r="C19" i="30"/>
  <c r="D19" i="30"/>
  <c r="E19" i="30"/>
  <c r="F19" i="30"/>
  <c r="G19" i="30"/>
  <c r="J19" i="30"/>
  <c r="K19" i="30"/>
  <c r="L19" i="30"/>
  <c r="M19" i="30"/>
  <c r="N19" i="30"/>
  <c r="O19" i="30"/>
  <c r="R19" i="30"/>
  <c r="S19" i="30"/>
  <c r="T19" i="30"/>
  <c r="U19" i="30"/>
  <c r="V19" i="30"/>
  <c r="W19" i="30"/>
  <c r="B20" i="30"/>
  <c r="C20" i="30"/>
  <c r="D20" i="30"/>
  <c r="E20" i="30"/>
  <c r="F20" i="30"/>
  <c r="G20" i="30"/>
  <c r="J20" i="30"/>
  <c r="K20" i="30"/>
  <c r="L20" i="30"/>
  <c r="M20" i="30"/>
  <c r="N20" i="30"/>
  <c r="O20" i="30"/>
  <c r="R20" i="30"/>
  <c r="S20" i="30"/>
  <c r="T20" i="30"/>
  <c r="U20" i="30"/>
  <c r="V20" i="30"/>
  <c r="W20" i="30"/>
  <c r="B22" i="30"/>
  <c r="C22" i="30"/>
  <c r="D22" i="30"/>
  <c r="E22" i="30"/>
  <c r="F22" i="30"/>
  <c r="G22" i="30"/>
  <c r="J22" i="30"/>
  <c r="K22" i="30"/>
  <c r="L22" i="30"/>
  <c r="M22" i="30"/>
  <c r="N22" i="30"/>
  <c r="O22" i="30"/>
  <c r="R22" i="30"/>
  <c r="S22" i="30"/>
  <c r="T22" i="30"/>
  <c r="U22" i="30"/>
  <c r="V22" i="30"/>
  <c r="W22" i="30"/>
  <c r="B23" i="30"/>
  <c r="C23" i="30"/>
  <c r="D23" i="30"/>
  <c r="E23" i="30"/>
  <c r="F23" i="30"/>
  <c r="G23" i="30"/>
  <c r="J23" i="30"/>
  <c r="K23" i="30"/>
  <c r="L23" i="30"/>
  <c r="M23" i="30"/>
  <c r="N23" i="30"/>
  <c r="O23" i="30"/>
  <c r="R23" i="30"/>
  <c r="S23" i="30"/>
  <c r="T23" i="30"/>
  <c r="U23" i="30"/>
  <c r="V23" i="30"/>
  <c r="W23" i="30"/>
  <c r="B25" i="30"/>
  <c r="C25" i="30"/>
  <c r="D25" i="30"/>
  <c r="E25" i="30"/>
  <c r="F25" i="30"/>
  <c r="G25" i="30"/>
  <c r="J25" i="30"/>
  <c r="K25" i="30"/>
  <c r="L25" i="30"/>
  <c r="M25" i="30"/>
  <c r="N25" i="30"/>
  <c r="O25" i="30"/>
  <c r="R25" i="30"/>
  <c r="S25" i="30"/>
  <c r="T25" i="30"/>
  <c r="U25" i="30"/>
  <c r="V25" i="30"/>
  <c r="W25" i="30"/>
  <c r="B26" i="30"/>
  <c r="C26" i="30"/>
  <c r="D26" i="30"/>
  <c r="E26" i="30"/>
  <c r="F26" i="30"/>
  <c r="G26" i="30"/>
  <c r="J26" i="30"/>
  <c r="K26" i="30"/>
  <c r="L26" i="30"/>
  <c r="M26" i="30"/>
  <c r="N26" i="30"/>
  <c r="O26" i="30"/>
  <c r="R26" i="30"/>
  <c r="S26" i="30"/>
  <c r="T26" i="30"/>
  <c r="U26" i="30"/>
  <c r="V26" i="30"/>
  <c r="W26" i="30"/>
  <c r="B28" i="30"/>
  <c r="C28" i="30"/>
  <c r="D28" i="30"/>
  <c r="E28" i="30"/>
  <c r="F28" i="30"/>
  <c r="G28" i="30"/>
  <c r="J28" i="30"/>
  <c r="K28" i="30"/>
  <c r="L28" i="30"/>
  <c r="M28" i="30"/>
  <c r="N28" i="30"/>
  <c r="O28" i="30"/>
  <c r="R28" i="30"/>
  <c r="S28" i="30"/>
  <c r="T28" i="30"/>
  <c r="U28" i="30"/>
  <c r="V28" i="30"/>
  <c r="W28" i="30"/>
  <c r="B29" i="30"/>
  <c r="C29" i="30"/>
  <c r="D29" i="30"/>
  <c r="E29" i="30"/>
  <c r="F29" i="30"/>
  <c r="G29" i="30"/>
  <c r="J29" i="30"/>
  <c r="K29" i="30"/>
  <c r="L29" i="30"/>
  <c r="M29" i="30"/>
  <c r="N29" i="30"/>
  <c r="O29" i="30"/>
  <c r="R29" i="30"/>
  <c r="S29" i="30"/>
  <c r="T29" i="30"/>
  <c r="U29" i="30"/>
  <c r="V29" i="30"/>
  <c r="W29" i="30"/>
  <c r="B31" i="30"/>
  <c r="C31" i="30"/>
  <c r="D31" i="30"/>
  <c r="E31" i="30"/>
  <c r="F31" i="30"/>
  <c r="G31" i="30"/>
  <c r="J31" i="30"/>
  <c r="K31" i="30"/>
  <c r="L31" i="30"/>
  <c r="M31" i="30"/>
  <c r="N31" i="30"/>
  <c r="O31" i="30"/>
  <c r="R31" i="30"/>
  <c r="S31" i="30"/>
  <c r="T31" i="30"/>
  <c r="U31" i="30"/>
  <c r="V31" i="30"/>
  <c r="W31" i="30"/>
  <c r="B32" i="30"/>
  <c r="C32" i="30"/>
  <c r="D32" i="30"/>
  <c r="E32" i="30"/>
  <c r="F32" i="30"/>
  <c r="G32" i="30"/>
  <c r="J32" i="30"/>
  <c r="K32" i="30"/>
  <c r="L32" i="30"/>
  <c r="M32" i="30"/>
  <c r="N32" i="30"/>
  <c r="O32" i="30"/>
  <c r="R32" i="30"/>
  <c r="S32" i="30"/>
  <c r="T32" i="30"/>
  <c r="U32" i="30"/>
  <c r="V32" i="30"/>
  <c r="W32" i="30"/>
  <c r="B34" i="30"/>
  <c r="C34" i="30"/>
  <c r="D34" i="30"/>
  <c r="E34" i="30"/>
  <c r="F34" i="30"/>
  <c r="G34" i="30"/>
  <c r="J34" i="30"/>
  <c r="K34" i="30"/>
  <c r="L34" i="30"/>
  <c r="M34" i="30"/>
  <c r="N34" i="30"/>
  <c r="O34" i="30"/>
  <c r="R34" i="30"/>
  <c r="S34" i="30"/>
  <c r="T34" i="30"/>
  <c r="U34" i="30"/>
  <c r="V34" i="30"/>
  <c r="W34" i="30"/>
  <c r="B35" i="30"/>
  <c r="C35" i="30"/>
  <c r="D35" i="30"/>
  <c r="E35" i="30"/>
  <c r="F35" i="30"/>
  <c r="G35" i="30"/>
  <c r="J35" i="30"/>
  <c r="K35" i="30"/>
  <c r="L35" i="30"/>
  <c r="M35" i="30"/>
  <c r="N35" i="30"/>
  <c r="O35" i="30"/>
  <c r="R35" i="30"/>
  <c r="S35" i="30"/>
  <c r="T35" i="30"/>
  <c r="U35" i="30"/>
  <c r="V35" i="30"/>
  <c r="W35" i="30"/>
  <c r="B37" i="30"/>
  <c r="C37" i="30"/>
  <c r="D37" i="30"/>
  <c r="E37" i="30"/>
  <c r="F37" i="30"/>
  <c r="G37" i="30"/>
  <c r="J37" i="30"/>
  <c r="K37" i="30"/>
  <c r="L37" i="30"/>
  <c r="M37" i="30"/>
  <c r="N37" i="30"/>
  <c r="O37" i="30"/>
  <c r="R37" i="30"/>
  <c r="S37" i="30"/>
  <c r="T37" i="30"/>
  <c r="U37" i="30"/>
  <c r="V37" i="30"/>
  <c r="W37" i="30"/>
  <c r="B38" i="30"/>
  <c r="C38" i="30"/>
  <c r="D38" i="30"/>
  <c r="E38" i="30"/>
  <c r="F38" i="30"/>
  <c r="G38" i="30"/>
  <c r="J38" i="30"/>
  <c r="K38" i="30"/>
  <c r="L38" i="30"/>
  <c r="M38" i="30"/>
  <c r="N38" i="30"/>
  <c r="O38" i="30"/>
  <c r="R38" i="30"/>
  <c r="S38" i="30"/>
  <c r="T38" i="30"/>
  <c r="U38" i="30"/>
  <c r="V38" i="30"/>
  <c r="W38" i="30"/>
  <c r="B40" i="30"/>
  <c r="C40" i="30"/>
  <c r="D40" i="30"/>
  <c r="E40" i="30"/>
  <c r="F40" i="30"/>
  <c r="G40" i="30"/>
  <c r="J40" i="30"/>
  <c r="K40" i="30"/>
  <c r="L40" i="30"/>
  <c r="M40" i="30"/>
  <c r="N40" i="30"/>
  <c r="O40" i="30"/>
  <c r="R40" i="30"/>
  <c r="S40" i="30"/>
  <c r="T40" i="30"/>
  <c r="U40" i="30"/>
  <c r="V40" i="30"/>
  <c r="W40" i="30"/>
  <c r="B41" i="30"/>
  <c r="C41" i="30"/>
  <c r="D41" i="30"/>
  <c r="E41" i="30"/>
  <c r="F41" i="30"/>
  <c r="G41" i="30"/>
  <c r="J41" i="30"/>
  <c r="K41" i="30"/>
  <c r="L41" i="30"/>
  <c r="M41" i="30"/>
  <c r="N41" i="30"/>
  <c r="O41" i="30"/>
  <c r="R41" i="30"/>
  <c r="S41" i="30"/>
  <c r="T41" i="30"/>
  <c r="U41" i="30"/>
  <c r="V41" i="30"/>
  <c r="W41" i="30"/>
  <c r="B45" i="30"/>
  <c r="C45" i="30"/>
  <c r="D45" i="30"/>
  <c r="E45" i="30"/>
  <c r="F45" i="30"/>
  <c r="G45" i="30"/>
  <c r="J45" i="30"/>
  <c r="K45" i="30"/>
  <c r="L45" i="30"/>
  <c r="M45" i="30"/>
  <c r="N45" i="30"/>
  <c r="O45" i="30"/>
  <c r="R45" i="30"/>
  <c r="S45" i="30"/>
  <c r="T45" i="30"/>
  <c r="U45" i="30"/>
  <c r="V45" i="30"/>
  <c r="W45" i="30"/>
  <c r="B46" i="30"/>
  <c r="C46" i="30"/>
  <c r="D46" i="30"/>
  <c r="E46" i="30"/>
  <c r="F46" i="30"/>
  <c r="G46" i="30"/>
  <c r="J46" i="30"/>
  <c r="K46" i="30"/>
  <c r="L46" i="30"/>
  <c r="M46" i="30"/>
  <c r="N46" i="30"/>
  <c r="O46" i="30"/>
  <c r="R46" i="30"/>
  <c r="S46" i="30"/>
  <c r="T46" i="30"/>
  <c r="U46" i="30"/>
  <c r="V46" i="30"/>
  <c r="W46" i="30"/>
  <c r="B47" i="30"/>
  <c r="C47" i="30"/>
  <c r="D47" i="30"/>
  <c r="E47" i="30"/>
  <c r="F47" i="30"/>
  <c r="G47" i="30"/>
  <c r="J47" i="30"/>
  <c r="K47" i="30"/>
  <c r="L47" i="30"/>
  <c r="M47" i="30"/>
  <c r="N47" i="30"/>
  <c r="O47" i="30"/>
  <c r="R47" i="30"/>
  <c r="S47" i="30"/>
  <c r="T47" i="30"/>
  <c r="U47" i="30"/>
  <c r="V47" i="30"/>
  <c r="W47" i="30"/>
  <c r="B48" i="30"/>
  <c r="C48" i="30"/>
  <c r="D48" i="30"/>
  <c r="E48" i="30"/>
  <c r="F48" i="30"/>
  <c r="G48" i="30"/>
  <c r="J48" i="30"/>
  <c r="K48" i="30"/>
  <c r="L48" i="30"/>
  <c r="M48" i="30"/>
  <c r="N48" i="30"/>
  <c r="O48" i="30"/>
  <c r="R48" i="30"/>
  <c r="S48" i="30"/>
  <c r="T48" i="30"/>
  <c r="U48" i="30"/>
  <c r="V48" i="30"/>
  <c r="W48" i="30"/>
  <c r="B49" i="30"/>
  <c r="C49" i="30"/>
  <c r="D49" i="30"/>
  <c r="E49" i="30"/>
  <c r="F49" i="30"/>
  <c r="G49" i="30"/>
  <c r="J49" i="30"/>
  <c r="K49" i="30"/>
  <c r="L49" i="30"/>
  <c r="M49" i="30"/>
  <c r="N49" i="30"/>
  <c r="O49" i="30"/>
  <c r="R49" i="30"/>
  <c r="S49" i="30"/>
  <c r="T49" i="30"/>
  <c r="U49" i="30"/>
  <c r="V49" i="30"/>
  <c r="W49" i="30"/>
  <c r="B50" i="30"/>
  <c r="C50" i="30"/>
  <c r="D50" i="30"/>
  <c r="E50" i="30"/>
  <c r="F50" i="30"/>
  <c r="G50" i="30"/>
  <c r="J50" i="30"/>
  <c r="K50" i="30"/>
  <c r="L50" i="30"/>
  <c r="M50" i="30"/>
  <c r="N50" i="30"/>
  <c r="O50" i="30"/>
  <c r="R50" i="30"/>
  <c r="S50" i="30"/>
  <c r="T50" i="30"/>
  <c r="U50" i="30"/>
  <c r="V50" i="30"/>
  <c r="W50" i="30"/>
  <c r="B51" i="30"/>
  <c r="C51" i="30"/>
  <c r="D51" i="30"/>
  <c r="E51" i="30"/>
  <c r="F51" i="30"/>
  <c r="G51" i="30"/>
  <c r="J51" i="30"/>
  <c r="K51" i="30"/>
  <c r="L51" i="30"/>
  <c r="M51" i="30"/>
  <c r="N51" i="30"/>
  <c r="O51" i="30"/>
  <c r="R51" i="30"/>
  <c r="S51" i="30"/>
  <c r="T51" i="30"/>
  <c r="U51" i="30"/>
  <c r="V51" i="30"/>
  <c r="W51" i="30"/>
  <c r="B52" i="30"/>
  <c r="C52" i="30"/>
  <c r="D52" i="30"/>
  <c r="E52" i="30"/>
  <c r="F52" i="30"/>
  <c r="G52" i="30"/>
  <c r="J52" i="30"/>
  <c r="K52" i="30"/>
  <c r="L52" i="30"/>
  <c r="M52" i="30"/>
  <c r="N52" i="30"/>
  <c r="O52" i="30"/>
  <c r="R52" i="30"/>
  <c r="S52" i="30"/>
  <c r="T52" i="30"/>
  <c r="U52" i="30"/>
  <c r="V52" i="30"/>
  <c r="W52" i="30"/>
  <c r="A54" i="30"/>
  <c r="C54" i="30"/>
  <c r="D54" i="30"/>
  <c r="E54" i="30"/>
  <c r="I54" i="30"/>
  <c r="Q54" i="30"/>
  <c r="C56" i="30"/>
  <c r="D56" i="30"/>
  <c r="E56" i="30"/>
  <c r="F56" i="30"/>
  <c r="G56" i="30"/>
  <c r="K56" i="30"/>
  <c r="L56" i="30"/>
  <c r="M56" i="30"/>
  <c r="N56" i="30"/>
  <c r="O56" i="30"/>
  <c r="S56" i="30"/>
  <c r="T56" i="30"/>
  <c r="U56" i="30"/>
  <c r="V56" i="30"/>
  <c r="W56" i="30"/>
  <c r="C57" i="30"/>
  <c r="D57" i="30"/>
  <c r="E57" i="30"/>
  <c r="F57" i="30"/>
  <c r="G57" i="30"/>
  <c r="K57" i="30"/>
  <c r="L57" i="30"/>
  <c r="M57" i="30"/>
  <c r="N57" i="30"/>
  <c r="O57" i="30"/>
  <c r="S57" i="30"/>
  <c r="T57" i="30"/>
  <c r="U57" i="30"/>
  <c r="V57" i="30"/>
  <c r="W57" i="30"/>
  <c r="C58" i="30"/>
  <c r="D58" i="30"/>
  <c r="E58" i="30"/>
  <c r="F58" i="30"/>
  <c r="G58" i="30"/>
  <c r="K58" i="30"/>
  <c r="L58" i="30"/>
  <c r="M58" i="30"/>
  <c r="N58" i="30"/>
  <c r="O58" i="30"/>
  <c r="S58" i="30"/>
  <c r="T58" i="30"/>
  <c r="U58" i="30"/>
  <c r="V58" i="30"/>
  <c r="W58" i="30"/>
  <c r="C59" i="30"/>
  <c r="D59" i="30"/>
  <c r="E59" i="30"/>
  <c r="F59" i="30"/>
  <c r="G59" i="30"/>
  <c r="K59" i="30"/>
  <c r="L59" i="30"/>
  <c r="M59" i="30"/>
  <c r="N59" i="30"/>
  <c r="O59" i="30"/>
  <c r="S59" i="30"/>
  <c r="T59" i="30"/>
  <c r="U59" i="30"/>
  <c r="V59" i="30"/>
  <c r="W59" i="30"/>
  <c r="C60" i="30"/>
  <c r="D60" i="30"/>
  <c r="E60" i="30"/>
  <c r="F60" i="30"/>
  <c r="G60" i="30"/>
  <c r="K60" i="30"/>
  <c r="L60" i="30"/>
  <c r="M60" i="30"/>
  <c r="N60" i="30"/>
  <c r="O60" i="30"/>
  <c r="S60" i="30"/>
  <c r="T60" i="30"/>
  <c r="U60" i="30"/>
  <c r="V60" i="30"/>
  <c r="W60" i="30"/>
  <c r="C61" i="30"/>
  <c r="D61" i="30"/>
  <c r="E61" i="30"/>
  <c r="F61" i="30"/>
  <c r="G61" i="30"/>
  <c r="K61" i="30"/>
  <c r="L61" i="30"/>
  <c r="M61" i="30"/>
  <c r="N61" i="30"/>
  <c r="O61" i="30"/>
  <c r="S61" i="30"/>
  <c r="T61" i="30"/>
  <c r="U61" i="30"/>
  <c r="V61" i="30"/>
  <c r="W61" i="30"/>
  <c r="C62" i="30"/>
  <c r="D62" i="30"/>
  <c r="E62" i="30"/>
  <c r="F62" i="30"/>
  <c r="G62" i="30"/>
  <c r="K62" i="30"/>
  <c r="L62" i="30"/>
  <c r="M62" i="30"/>
  <c r="N62" i="30"/>
  <c r="O62" i="30"/>
  <c r="S62" i="30"/>
  <c r="T62" i="30"/>
  <c r="U62" i="30"/>
  <c r="V62" i="30"/>
  <c r="W62" i="30"/>
  <c r="C63" i="30"/>
  <c r="D63" i="30"/>
  <c r="E63" i="30"/>
  <c r="F63" i="30"/>
  <c r="G63" i="30"/>
  <c r="K63" i="30"/>
  <c r="L63" i="30"/>
  <c r="M63" i="30"/>
  <c r="N63" i="30"/>
  <c r="O63" i="30"/>
  <c r="S63" i="30"/>
  <c r="T63" i="30"/>
  <c r="U63" i="30"/>
  <c r="V63" i="30"/>
  <c r="W63" i="30"/>
  <c r="C64" i="30"/>
  <c r="D64" i="30"/>
  <c r="E64" i="30"/>
  <c r="F64" i="30"/>
  <c r="G64" i="30"/>
  <c r="K64" i="30"/>
  <c r="L64" i="30"/>
  <c r="M64" i="30"/>
  <c r="N64" i="30"/>
  <c r="O64" i="30"/>
  <c r="S64" i="30"/>
  <c r="T64" i="30"/>
  <c r="U64" i="30"/>
  <c r="V64" i="30"/>
  <c r="W64" i="30"/>
  <c r="F5" i="28"/>
  <c r="G5" i="28"/>
  <c r="K5" i="28"/>
  <c r="L5" i="28"/>
  <c r="P5" i="28"/>
  <c r="Q5" i="28"/>
  <c r="F6" i="28"/>
  <c r="G6" i="28"/>
  <c r="K6" i="28"/>
  <c r="L6" i="28"/>
  <c r="P6" i="28"/>
  <c r="Q6" i="28"/>
  <c r="F7" i="28"/>
  <c r="G7" i="28"/>
  <c r="K7" i="28"/>
  <c r="L7" i="28"/>
  <c r="P7" i="28"/>
  <c r="Q7" i="28"/>
  <c r="F8" i="28"/>
  <c r="G8" i="28"/>
  <c r="K8" i="28"/>
  <c r="L8" i="28"/>
  <c r="P8" i="28"/>
  <c r="Q8" i="28"/>
  <c r="F9" i="28"/>
  <c r="G9" i="28"/>
  <c r="K9" i="28"/>
  <c r="L9" i="28"/>
  <c r="P9" i="28"/>
  <c r="Q9" i="28"/>
  <c r="F10" i="28"/>
  <c r="G10" i="28"/>
  <c r="K10" i="28"/>
  <c r="L10" i="28"/>
  <c r="P10" i="28"/>
  <c r="Q10" i="28"/>
  <c r="F11" i="28"/>
  <c r="G11" i="28"/>
  <c r="K11" i="28"/>
  <c r="L11" i="28"/>
  <c r="P11" i="28"/>
  <c r="Q11" i="28"/>
  <c r="F12" i="28"/>
  <c r="G12" i="28"/>
  <c r="K12" i="28"/>
  <c r="L12" i="28"/>
  <c r="P12" i="28"/>
  <c r="Q12" i="28"/>
  <c r="F13" i="28"/>
  <c r="G13" i="28"/>
  <c r="K13" i="28"/>
  <c r="L13" i="28"/>
  <c r="P13" i="28"/>
  <c r="Q13" i="28"/>
  <c r="F14" i="28"/>
  <c r="G14" i="28"/>
  <c r="K14" i="28"/>
  <c r="L14" i="28"/>
  <c r="P14" i="28"/>
  <c r="Q14" i="28"/>
  <c r="F15" i="28"/>
  <c r="G15" i="28"/>
  <c r="K15" i="28"/>
  <c r="L15" i="28"/>
  <c r="P15" i="28"/>
  <c r="Q15" i="28"/>
  <c r="F16" i="28"/>
  <c r="G16" i="28"/>
  <c r="K16" i="28"/>
  <c r="L16" i="28"/>
  <c r="P16" i="28"/>
  <c r="Q16" i="28"/>
  <c r="F17" i="28"/>
  <c r="G17" i="28"/>
  <c r="K17" i="28"/>
  <c r="L17" i="28"/>
  <c r="P17" i="28"/>
  <c r="Q17" i="28"/>
  <c r="F18" i="28"/>
  <c r="G18" i="28"/>
  <c r="K18" i="28"/>
  <c r="L18" i="28"/>
  <c r="P18" i="28"/>
  <c r="Q18" i="28"/>
  <c r="F19" i="28"/>
  <c r="G19" i="28"/>
  <c r="K19" i="28"/>
  <c r="L19" i="28"/>
  <c r="P19" i="28"/>
  <c r="Q19" i="28"/>
  <c r="F20" i="28"/>
  <c r="G20" i="28"/>
  <c r="K20" i="28"/>
  <c r="L20" i="28"/>
  <c r="P20" i="28"/>
  <c r="Q20" i="28"/>
  <c r="F21" i="28"/>
  <c r="G21" i="28"/>
  <c r="K21" i="28"/>
  <c r="L21" i="28"/>
  <c r="P21" i="28"/>
  <c r="Q21" i="28"/>
  <c r="F22" i="28"/>
  <c r="G22" i="28"/>
  <c r="K22" i="28"/>
  <c r="L22" i="28"/>
  <c r="P22" i="28"/>
  <c r="Q22" i="28"/>
</calcChain>
</file>

<file path=xl/sharedStrings.xml><?xml version="1.0" encoding="utf-8"?>
<sst xmlns="http://schemas.openxmlformats.org/spreadsheetml/2006/main" count="542" uniqueCount="240">
  <si>
    <t>Temp C</t>
  </si>
  <si>
    <t>FT</t>
  </si>
  <si>
    <t>NAH</t>
  </si>
  <si>
    <t>Temp K</t>
  </si>
  <si>
    <t>CH4 + 2H2O = CO2 + 4H2</t>
  </si>
  <si>
    <t>Equation for Y=1</t>
  </si>
  <si>
    <t>Equation for any Y</t>
  </si>
  <si>
    <t>Y value</t>
  </si>
  <si>
    <t>Y=1</t>
  </si>
  <si>
    <t>T-factor</t>
  </si>
  <si>
    <t>Nitrogen - Ammonia reaction:</t>
  </si>
  <si>
    <t>2NH3 = N2 + 3H2</t>
  </si>
  <si>
    <t>logK = 10.80 - 5400/T  (deg K)  GGB 1980</t>
  </si>
  <si>
    <t>At Y=0</t>
  </si>
  <si>
    <t>for any Y</t>
  </si>
  <si>
    <t>H2S geothermometer</t>
  </si>
  <si>
    <t>CO2 geothermometer</t>
  </si>
  <si>
    <t>Log f CO2 = .0168T(degC) - 3.78</t>
  </si>
  <si>
    <t>liquid</t>
  </si>
  <si>
    <t>CO2</t>
  </si>
  <si>
    <t>H2S</t>
  </si>
  <si>
    <t>H2</t>
  </si>
  <si>
    <t>CH4</t>
  </si>
  <si>
    <t>N2</t>
  </si>
  <si>
    <t>NH3</t>
  </si>
  <si>
    <t>Ar</t>
  </si>
  <si>
    <t>3log(rH2S) - log(rH2) = 3log((Y+ (1-Y)/BH2S) - log((Y+ (1-Y)/BH2) + T-factor</t>
  </si>
  <si>
    <t>Source</t>
  </si>
  <si>
    <t>Date</t>
  </si>
  <si>
    <t>He</t>
  </si>
  <si>
    <t>Type</t>
  </si>
  <si>
    <t>G/S x10^6</t>
  </si>
  <si>
    <t>Total noncondensible gas</t>
  </si>
  <si>
    <t>HSH</t>
  </si>
  <si>
    <t>CAR</t>
  </si>
  <si>
    <t>HAR</t>
  </si>
  <si>
    <t>Fischer - Tropsch reaction</t>
  </si>
  <si>
    <t>(GGB 1980)</t>
  </si>
  <si>
    <t>GGB 1980</t>
  </si>
  <si>
    <t>FeS2 + 2H2 + (2H2O) = Fe3O4 + 6H2S</t>
  </si>
  <si>
    <t>logK = 31.42 - 20282/T  (deg K)  GGB 1980  (log K is without H2O)</t>
  </si>
  <si>
    <t>Log f H2S = 6.05 - 3990/T  (degK)  GGB 1997  (assumes RH of -2.8)</t>
  </si>
  <si>
    <t>H2S - H2 geothermometer (Giggenbach 1980)</t>
  </si>
  <si>
    <t>G&amp;G 1989</t>
  </si>
  <si>
    <t>log(CO/CO2) = RH + 2.485 - 2248/T</t>
  </si>
  <si>
    <t>vapor phase</t>
  </si>
  <si>
    <t>BCO</t>
  </si>
  <si>
    <t>BCH4</t>
  </si>
  <si>
    <t>log(CO/CO2)liq = log(CO/CO2)vap + log(BCO2/BCO)</t>
  </si>
  <si>
    <t>log(CH4/CO2)liq = log(CH4/CO2)vap + log(BCO2/BCH4)</t>
  </si>
  <si>
    <t>RH =</t>
  </si>
  <si>
    <t>log(CH4/CO2) = 4RH +0.135 + 5181/T</t>
  </si>
  <si>
    <t>Vapor</t>
  </si>
  <si>
    <t>Liquid</t>
  </si>
  <si>
    <t>log(CO/CO2)</t>
  </si>
  <si>
    <t>log(CH4/CO2)</t>
  </si>
  <si>
    <t>log(H2/Ar)vap = RH + 6.52  (Ar =0.3E-6)</t>
  </si>
  <si>
    <t>log(H2/Ar)liq = RH -3.53 +.014T (deg K)</t>
  </si>
  <si>
    <t>log(CO2/Ar)vap = -7.36 +.0168T +2048/T (degK)</t>
  </si>
  <si>
    <t>log(CO2/Ar)liq = -15.10 +.0277T + 2048/T (degK)</t>
  </si>
  <si>
    <t>log(CO2/Ar)</t>
  </si>
  <si>
    <t>log(H2/Ar)</t>
  </si>
  <si>
    <t>CO</t>
  </si>
  <si>
    <t>Gas data input sheet</t>
  </si>
  <si>
    <t>Sample Name</t>
  </si>
  <si>
    <t>Sample Label</t>
  </si>
  <si>
    <t>weight percent</t>
  </si>
  <si>
    <t>O2  (if reported)</t>
  </si>
  <si>
    <t>sum of percentages</t>
  </si>
  <si>
    <t>average mol. wt.</t>
  </si>
  <si>
    <t>%air contam</t>
  </si>
  <si>
    <t>This will be the label plotted on the charts</t>
  </si>
  <si>
    <t>mole percent</t>
  </si>
  <si>
    <t>% air from O2 analysis</t>
  </si>
  <si>
    <t>mole% NCG</t>
  </si>
  <si>
    <t>air corrected gas/steam molar ratios</t>
  </si>
  <si>
    <t>G/S ratio uncorr</t>
  </si>
  <si>
    <t>G/S ratio air corrected</t>
  </si>
  <si>
    <t>mole percent of dry gas in analysis</t>
  </si>
  <si>
    <t>Log(CO2)</t>
  </si>
  <si>
    <t>Log(H2S)</t>
  </si>
  <si>
    <t>Log(CO2/Ar)</t>
  </si>
  <si>
    <t>Log(H2/Ar)</t>
  </si>
  <si>
    <t>Log(CO/CO2)</t>
  </si>
  <si>
    <t>Log(CH4/CO2)</t>
  </si>
  <si>
    <t>CO/CO2</t>
  </si>
  <si>
    <t>CH4/CO2</t>
  </si>
  <si>
    <t>CHN Ternary</t>
  </si>
  <si>
    <t>CCH Ternary</t>
  </si>
  <si>
    <t>NCA Ternary</t>
  </si>
  <si>
    <t>factors:</t>
  </si>
  <si>
    <t>Labels:</t>
  </si>
  <si>
    <t>X</t>
  </si>
  <si>
    <t>Y</t>
  </si>
  <si>
    <t>NHA Ternary</t>
  </si>
  <si>
    <t>Vertices for ternary diagram</t>
  </si>
  <si>
    <t>Outer border</t>
  </si>
  <si>
    <t>A percentage grid</t>
  </si>
  <si>
    <t>B percentage grid</t>
  </si>
  <si>
    <t>C percentage grid</t>
  </si>
  <si>
    <t xml:space="preserve">X </t>
  </si>
  <si>
    <t>A</t>
  </si>
  <si>
    <t>C</t>
  </si>
  <si>
    <t>N2-CO2-Ar plot</t>
  </si>
  <si>
    <t xml:space="preserve">N2 </t>
  </si>
  <si>
    <t>factor</t>
  </si>
  <si>
    <t>asw</t>
  </si>
  <si>
    <t>air</t>
  </si>
  <si>
    <t>magmatic</t>
  </si>
  <si>
    <t>initial liquid</t>
  </si>
  <si>
    <t>B value @</t>
  </si>
  <si>
    <t>boiled frac=</t>
  </si>
  <si>
    <t>res liquid</t>
  </si>
  <si>
    <t>new vapor</t>
  </si>
  <si>
    <t>plot field</t>
  </si>
  <si>
    <t>N2-He-Ar plot</t>
  </si>
  <si>
    <t xml:space="preserve">CO2 </t>
  </si>
  <si>
    <t>=magmatic point</t>
  </si>
  <si>
    <t xml:space="preserve">CO2/N2 </t>
  </si>
  <si>
    <t>boiling step</t>
  </si>
  <si>
    <t>Input one of these values.  Percentages are decimals (e.g. 1.75% = 1.75)</t>
  </si>
  <si>
    <t>Ternary diagram plotting scales</t>
  </si>
  <si>
    <t>Log(rCO2) + 4log (rH2) - log (rCH4) = 9.76 - 5075/T - 4logT = T-factor</t>
  </si>
  <si>
    <t>Log(rCO2) + 4log (rH2) - log (rCH4) =  log (Y+ (1-Y)/BCO2) +4log (Y+ (1-Y)/BH2) - log (Y+ (1-Y)/BCH4) + T-factor)</t>
  </si>
  <si>
    <t>BCO2</t>
  </si>
  <si>
    <t>BH2</t>
  </si>
  <si>
    <t>log (rN2) + 3log(rH2) - 2log(rNH3)  = 5.79 - 1228/T - 2log T = T-factor</t>
  </si>
  <si>
    <t>Log(rN2) + 3log(rH2) - 2log(rNH3) =  log (Y+ (1-Y)/BN2) + 3log((Y+ (1-Y)/BH2) - 2log((Y+ (1-Y)/BNH3) + T-factor</t>
  </si>
  <si>
    <t>BN2</t>
  </si>
  <si>
    <t>BNH3</t>
  </si>
  <si>
    <t>log (rH2S))  = 3.045 - 1904/T - log T = T-factor</t>
  </si>
  <si>
    <t>BH2S</t>
  </si>
  <si>
    <t>3log(rH2S) - log(rH2)  = 9.70 - 5969/T - 2log T = T-factor</t>
  </si>
  <si>
    <t>F</t>
  </si>
  <si>
    <t>CAR-HAR</t>
  </si>
  <si>
    <t>RH</t>
  </si>
  <si>
    <t>COCO-CHCO</t>
  </si>
  <si>
    <t>Argon error line</t>
  </si>
  <si>
    <t>Reference RH  from input sheet</t>
  </si>
  <si>
    <t>H2S/CO2</t>
  </si>
  <si>
    <t>Assumes HSH reaction as RH dependent for H2S,  and CO2 geothermometer</t>
  </si>
  <si>
    <t>log (rCO2))  = -11.371 +.0168T + 2086/T - log T = T-factor</t>
  </si>
  <si>
    <t>(note: CO2 geothermometer is written in TdegC, but this has been corrected to TdegK in log(rCO2) calc'n)</t>
  </si>
  <si>
    <t xml:space="preserve">log (r CO2)  = -11.371 +.0168T + 2086/T - log T </t>
  </si>
  <si>
    <t>log (r H2S) = (RH / 3) + 4.07 - 1977/T - logT</t>
  </si>
  <si>
    <t>log(r H2S)</t>
  </si>
  <si>
    <t>log(r CO2)</t>
  </si>
  <si>
    <t>log(H2S/CO2)</t>
  </si>
  <si>
    <t>for CH4-CO2-H2S ternary</t>
  </si>
  <si>
    <t>Vapor Conc (CO2=1)</t>
  </si>
  <si>
    <t>%CH4</t>
  </si>
  <si>
    <t>%H2S</t>
  </si>
  <si>
    <t>%CO2</t>
  </si>
  <si>
    <t>Plotting scale from Input sheet</t>
  </si>
  <si>
    <t>Liquid Conc (CO2=1)</t>
  </si>
  <si>
    <t>plot scales</t>
  </si>
  <si>
    <t>Initial Liquid in CCH ternary</t>
  </si>
  <si>
    <t>Ggrid sheet</t>
  </si>
  <si>
    <t>equil vapor</t>
  </si>
  <si>
    <t>0 step is</t>
  </si>
  <si>
    <t>from</t>
  </si>
  <si>
    <t>Fixed address field for input data</t>
  </si>
  <si>
    <t>E</t>
  </si>
  <si>
    <t>G</t>
  </si>
  <si>
    <t>H</t>
  </si>
  <si>
    <t>I</t>
  </si>
  <si>
    <t>J</t>
  </si>
  <si>
    <t>K</t>
  </si>
  <si>
    <t>L</t>
  </si>
  <si>
    <t>M</t>
  </si>
  <si>
    <t>N</t>
  </si>
  <si>
    <t>O</t>
  </si>
  <si>
    <t>P</t>
  </si>
  <si>
    <t>Q</t>
  </si>
  <si>
    <t>R</t>
  </si>
  <si>
    <t>S</t>
  </si>
  <si>
    <t>Copy data into columns inside bold box.  Input values are in black, fixed headings and calculations are in blue.</t>
  </si>
  <si>
    <t>Data entry field:</t>
  </si>
  <si>
    <t>1)</t>
  </si>
  <si>
    <t>2)</t>
  </si>
  <si>
    <t>3)</t>
  </si>
  <si>
    <t>4)</t>
  </si>
  <si>
    <t>5)</t>
  </si>
  <si>
    <t>6)</t>
  </si>
  <si>
    <r>
      <t>Sample Label</t>
    </r>
    <r>
      <rPr>
        <sz val="12"/>
        <rFont val="Arial"/>
        <family val="2"/>
      </rPr>
      <t>' in column E is a text field that will determine the label for points of this data row on the plots</t>
    </r>
  </si>
  <si>
    <t>7)</t>
  </si>
  <si>
    <t>Notes:</t>
  </si>
  <si>
    <t xml:space="preserve">Columns AE to AU are hidden.  These cells copy the cells in the input field based upon fixed cell addresses, so that data can be cut/pasted and moved in the input data field without changing cell addresses in the calculations.  </t>
  </si>
  <si>
    <t>Columns BR to DJ are hidden.  These cells contain the geothermometer and ternary grid calculations</t>
  </si>
  <si>
    <r>
      <t xml:space="preserve">Two additional sheets used to generate the plots are hidden but available.  </t>
    </r>
    <r>
      <rPr>
        <b/>
        <sz val="12"/>
        <rFont val="Arial"/>
        <family val="2"/>
      </rPr>
      <t>Ggrid</t>
    </r>
    <r>
      <rPr>
        <sz val="12"/>
        <rFont val="Arial"/>
        <family val="2"/>
      </rPr>
      <t xml:space="preserve"> has the data for the gas geothermometry grids.  </t>
    </r>
    <r>
      <rPr>
        <b/>
        <sz val="12"/>
        <rFont val="Arial"/>
        <family val="2"/>
      </rPr>
      <t>Tgrid</t>
    </r>
    <r>
      <rPr>
        <sz val="12"/>
        <rFont val="Arial"/>
        <family val="2"/>
      </rPr>
      <t xml:space="preserve"> has the plot data for the ternary grids.  </t>
    </r>
    <r>
      <rPr>
        <b/>
        <sz val="12"/>
        <rFont val="Arial"/>
        <family val="2"/>
      </rPr>
      <t>Ref</t>
    </r>
    <r>
      <rPr>
        <sz val="12"/>
        <rFont val="Arial"/>
        <family val="2"/>
      </rPr>
      <t xml:space="preserve"> has reference plot data for the ternaries, including gas solubility calculations in the CH4-CO2-H2S ternary (Tcch).</t>
    </r>
  </si>
  <si>
    <t>CO labels</t>
  </si>
  <si>
    <t>Tie-lines</t>
  </si>
  <si>
    <t>well</t>
  </si>
  <si>
    <t>pool</t>
  </si>
  <si>
    <t>Ohinemutu</t>
  </si>
  <si>
    <t>fum</t>
  </si>
  <si>
    <t>North Kuirau</t>
  </si>
  <si>
    <t>QE Hospital</t>
  </si>
  <si>
    <t>South Kuirau</t>
  </si>
  <si>
    <t>Sulphur Point</t>
  </si>
  <si>
    <t>Polynesian Pool</t>
  </si>
  <si>
    <t>Well M9</t>
  </si>
  <si>
    <t>Ngapuna pool</t>
  </si>
  <si>
    <t>Ngapuna river</t>
  </si>
  <si>
    <t>Placemakers</t>
  </si>
  <si>
    <t>Lake Rotokawa</t>
  </si>
  <si>
    <t>Hinemoa's Pool</t>
  </si>
  <si>
    <t>stream</t>
  </si>
  <si>
    <t>lake</t>
  </si>
  <si>
    <t>Towntalk Motel</t>
  </si>
  <si>
    <t>Race Course</t>
  </si>
  <si>
    <t>Mushroom Farm</t>
  </si>
  <si>
    <t>Arikikapakapa</t>
  </si>
  <si>
    <t>Roto-a-Tamaheke</t>
  </si>
  <si>
    <t>Whakarewarewa</t>
  </si>
  <si>
    <t>Pohutu Mound</t>
  </si>
  <si>
    <t>Ngararatuatara</t>
  </si>
  <si>
    <t>FRI well</t>
  </si>
  <si>
    <t>LR</t>
  </si>
  <si>
    <t>HP</t>
  </si>
  <si>
    <t>geothermometer grid plot locations</t>
  </si>
  <si>
    <t>Gas depletion model for Tcch</t>
  </si>
  <si>
    <t>Gas_Analysis_v1_Powell-2010-StanfordGW.xls  Geochemical Plotting Spreadsheet</t>
  </si>
  <si>
    <t>The charts and geothermometry report in this spreadsheet are described in an accompanying article by T Powell &amp; W Cumming delivered at the 35th Workshop on Geothermal Reservoir Engineering, Stanford University, Stanford, California, February 1-3, 2010.  References for the calculations and charts can be found in that document</t>
  </si>
  <si>
    <t>This spreadsheet accepts gas analyses and plots them in standard ternary and geothermometer grids.  Data are entered or pasted into the 'Input' sheet and appear on all the graphics applicable to that data type.  (Data may be cut, pasted and moved within the data entry field without changing cell addresses in the calculations)</t>
  </si>
  <si>
    <t>Charts can be edited directly as EXCEL97 graphics and certain grid dimentions (e.g. multipliers on ternary diagrams and RH factors on geothermometers) which can be changed on the 'input' sheet.  Fields for changing these parameters are located above the data entry field.</t>
  </si>
  <si>
    <r>
      <t>Rows 11 through 40 accept data (30 analyses) for the plots.  The first 4 columns (</t>
    </r>
    <r>
      <rPr>
        <b/>
        <sz val="12"/>
        <rFont val="Arial"/>
        <family val="2"/>
      </rPr>
      <t>Sample Name</t>
    </r>
    <r>
      <rPr>
        <sz val="12"/>
        <rFont val="Arial"/>
        <family val="2"/>
      </rPr>
      <t>,</t>
    </r>
    <r>
      <rPr>
        <b/>
        <sz val="12"/>
        <rFont val="Arial"/>
        <family val="2"/>
      </rPr>
      <t xml:space="preserve"> Source</t>
    </r>
    <r>
      <rPr>
        <sz val="12"/>
        <rFont val="Arial"/>
        <family val="2"/>
      </rPr>
      <t>,</t>
    </r>
    <r>
      <rPr>
        <b/>
        <sz val="12"/>
        <rFont val="Arial"/>
        <family val="2"/>
      </rPr>
      <t xml:space="preserve"> Type</t>
    </r>
    <r>
      <rPr>
        <sz val="12"/>
        <rFont val="Arial"/>
        <family val="2"/>
      </rPr>
      <t xml:space="preserve"> &amp; </t>
    </r>
    <r>
      <rPr>
        <b/>
        <sz val="12"/>
        <rFont val="Arial"/>
        <family val="2"/>
      </rPr>
      <t>Date</t>
    </r>
    <r>
      <rPr>
        <sz val="12"/>
        <rFont val="Arial"/>
        <family val="2"/>
      </rPr>
      <t>) are not referenced by the plots and are there for user reference.</t>
    </r>
  </si>
  <si>
    <r>
      <t>Columns F, G or H accept total noncondensible gas concentration either as gas/steam molar ratio (times 10</t>
    </r>
    <r>
      <rPr>
        <vertAlign val="superscript"/>
        <sz val="12"/>
        <rFont val="Arial"/>
        <family val="2"/>
      </rPr>
      <t>6</t>
    </r>
    <r>
      <rPr>
        <sz val="12"/>
        <rFont val="Arial"/>
        <family val="2"/>
      </rPr>
      <t>), mole% or weight%.  Only one of these values is required. Enter 1000000 (g/s ratio) or 100% for hot spring or gas seep samples where the sample is only gas (no steam).  Total gas reported in other units will need to be converted to one of these units (i.e., 10*[mmole gas/100 mole H2O] = 10</t>
    </r>
    <r>
      <rPr>
        <vertAlign val="superscript"/>
        <sz val="12"/>
        <rFont val="Arial"/>
        <family val="2"/>
      </rPr>
      <t>6</t>
    </r>
    <r>
      <rPr>
        <sz val="12"/>
        <rFont val="Arial"/>
        <family val="2"/>
      </rPr>
      <t xml:space="preserve"> g/s ratio). Total gas concentration or gas/steam ratio is needed to calculate the "Y-T" geothermometers but not for the others.  If no total gas concentration is known, input 100%</t>
    </r>
  </si>
  <si>
    <t xml:space="preserve">Concentrations of individual gases are entered as "mole% of dry gas" and should sum to 100 in the column to the right of the input field.  Individual gas concentrations reported as gas/steam ratio (in mm gas/mole H2O or mm gas/100 mole H2O) need to be converted to mole% of the total gas fraction before input.  Gas analyses reported as individual gas/steam ratios should be summed to yield total gas, then divided by the gas/steam ratio of the individual gases to find mole% of each.  Negative values are interpreted a "below detection" and are plotted at the detection limit.    </t>
  </si>
  <si>
    <t>If the gas analysis includes oxygen and an air correction to N2 and Ar concentrations has not been applied, enter the mole% oxygen and an air correction will automatically be calculated to the right and the appropriate amount of air N2 and Ar will be removed for the remainder of the analysis.  If percent air contamination is given with the analysis and an air correction has been applied, enter the percent air contamination in the input field with the analysis.</t>
  </si>
  <si>
    <r>
      <t>Columns to the right of the input field provide quality assurance measures of the analysis.  '</t>
    </r>
    <r>
      <rPr>
        <b/>
        <sz val="12"/>
        <rFont val="Arial"/>
        <family val="2"/>
      </rPr>
      <t>sum of percentages</t>
    </r>
    <r>
      <rPr>
        <sz val="12"/>
        <rFont val="Arial"/>
        <family val="2"/>
      </rPr>
      <t>' gives the sum of the mole% values input for the analysis, and should be 100.0%.  '</t>
    </r>
    <r>
      <rPr>
        <b/>
        <sz val="12"/>
        <rFont val="Arial"/>
        <family val="2"/>
      </rPr>
      <t>average mol. wt.</t>
    </r>
    <r>
      <rPr>
        <sz val="12"/>
        <rFont val="Arial"/>
        <family val="2"/>
      </rPr>
      <t>' gives the calculated molecular weight of the gas, used to convert weight percent total gas to mole ratio.  '</t>
    </r>
    <r>
      <rPr>
        <b/>
        <sz val="12"/>
        <rFont val="Arial"/>
        <family val="2"/>
      </rPr>
      <t>% air N2</t>
    </r>
    <r>
      <rPr>
        <sz val="12"/>
        <rFont val="Arial"/>
        <family val="2"/>
      </rPr>
      <t xml:space="preserve"> and '</t>
    </r>
    <r>
      <rPr>
        <b/>
        <sz val="12"/>
        <rFont val="Arial"/>
        <family val="2"/>
      </rPr>
      <t>% air Ar</t>
    </r>
    <r>
      <rPr>
        <sz val="12"/>
        <rFont val="Arial"/>
        <family val="2"/>
      </rPr>
      <t>' give the percentages of these gases introduced by air in the raw gas analysis.  High percentages (&gt;10-20%) indicate degraded accuracy in these consituents.</t>
    </r>
  </si>
  <si>
    <t>molecular weight:</t>
  </si>
  <si>
    <t>Points plotted on the grids are accompanied by labels input in column E.  Empty data rows (rows without input data) are plotted outside of the chart area (-99) and their data labels are blank. Labels for incomplete data will sometimes be plotted outside the chart area.  These can be removed for presentation by adjusting the plot ranges of the charts.  This may, however, permanently remove the labels from the data range beyond the plot range.  It is recommended that graphs to be altered for presentation should be moved to a separate sheet (Menu:"Edit"/"Move or Copy Sheet"/"Create a Copy" checkbox).  Alternatively, labels can be easily assigned to data using the freeware X-Y labeller add-in by AppsPro (www.appspro.com/Utilities/ChartLabeler.htm)</t>
  </si>
  <si>
    <t>Enter gas analysis as percentages of gases in decimals (e.g. 95.6% = 95.6).  Include reported % air to calculate the percentage of N2 and Ar from air contamination.  Include %O2 if reported, and % air, % N2 and % Ar will be calculated.  Enter numbers less than detection as negative numbers. Data will be plotted at the detection limit.</t>
  </si>
  <si>
    <t>initial reservoir T</t>
  </si>
  <si>
    <t>The Tchn ternary contains a CH4-CO2 geothermometer grid on the left and trend lines of gas depletion at different temperatures.  Initial reservoir temperature (set in the input sheet) is the starting point for these trends.  Temperatures of the trends can be changed or added from the hidden "Ref" sheet (three temperatures trends are calculated but only two are shown).</t>
  </si>
  <si>
    <t>The hidden Ggrid sheet contains the Y-T data for the N2 + 3H2 = 2NH3 (NAH) gas geothermometer proposed by Giggenbach, D'Amore &amp; Truesdell and others (see Powell, 2000), but it has not been included in this spreadsheet because if has been found to rarely work for geothermal gases, probably because its equilibration temperature is too high (400 deg C).  Users of this spreadsheet are welcome to construct their own grids with this geothermometer.  Acceptable grids can be constructed with NAH on the x-axis of the chart and H2S, HSH or CO2 on the y-axis.  The FT-NAH grid is too flat to be useful.</t>
  </si>
  <si>
    <t>air N2</t>
  </si>
  <si>
    <t>air Ar</t>
  </si>
  <si>
    <t>Due to its low concentration in geothemal samples, many of the CO analyses plotted in the COCOCHCO geothermometer ratio grid are below detection.  Plot labels are only given for analyses above detection.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</si>
</sst>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0000"/>
    <numFmt numFmtId="165" formatCode="0.0000"/>
    <numFmt numFmtId="166" formatCode="0.000"/>
    <numFmt numFmtId="167" formatCode="0.0"/>
    <numFmt numFmtId="168" formatCode="0.0%"/>
    <numFmt numFmtId="169" formatCode="0.00;[Red]\&lt;0.00"/>
    <numFmt numFmtId="170" formatCode="0;[Red]\&lt;0"/>
    <numFmt numFmtId="171" formatCode="_(* #,##0_);_(* \(#,##0\);_(* &quot;-&quot;??_);_(@_)"/>
    <numFmt numFmtId="172" formatCode="0.000%"/>
    <numFmt numFmtId="173" formatCode="0.000;[Red]\&lt;0.000"/>
    <numFmt numFmtId="174" formatCode="0.0;[Red]\&lt;0.0"/>
  </numFmts>
  <fonts count="16" x14ac:knownFonts="1">
    <font>
      <sz val="10"/>
      <name val="Arial"/>
    </font>
    <font>
      <sz val="10"/>
      <name val="Arial"/>
    </font>
    <font>
      <sz val="10"/>
      <name val="Arial"/>
      <family val="2"/>
    </font>
    <font>
      <sz val="10"/>
      <color indexed="56"/>
      <name val="Arial"/>
      <family val="2"/>
    </font>
    <font>
      <sz val="10"/>
      <color indexed="12"/>
      <name val="Arial"/>
      <family val="2"/>
    </font>
    <font>
      <b/>
      <sz val="10"/>
      <color indexed="56"/>
      <name val="Arial"/>
      <family val="2"/>
    </font>
    <font>
      <b/>
      <sz val="14"/>
      <name val="Arial"/>
      <family val="2"/>
    </font>
    <font>
      <sz val="12"/>
      <name val="Arial"/>
      <family val="2"/>
    </font>
    <font>
      <b/>
      <sz val="12"/>
      <name val="Arial"/>
      <family val="2"/>
    </font>
    <font>
      <sz val="8"/>
      <name val="Helv"/>
    </font>
    <font>
      <b/>
      <sz val="10"/>
      <name val="Arial"/>
      <family val="2"/>
    </font>
    <font>
      <b/>
      <sz val="10"/>
      <color indexed="12"/>
      <name val="Arial"/>
      <family val="2"/>
    </font>
    <font>
      <sz val="10"/>
      <name val="Helv"/>
    </font>
    <font>
      <b/>
      <sz val="10"/>
      <color indexed="8"/>
      <name val="Arial"/>
      <family val="2"/>
    </font>
    <font>
      <sz val="10"/>
      <color indexed="8"/>
      <name val="Arial"/>
      <family val="2"/>
    </font>
    <font>
      <vertAlign val="superscript"/>
      <sz val="12"/>
      <name val="Arial"/>
      <family val="2"/>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0" fillId="0" borderId="0" xfId="0" applyFill="1"/>
    <xf numFmtId="0" fontId="0" fillId="0" borderId="0" xfId="0" applyFill="1" applyAlignment="1">
      <alignment horizontal="left"/>
    </xf>
    <xf numFmtId="0" fontId="0" fillId="0" borderId="0" xfId="0" applyFill="1" applyAlignment="1">
      <alignment horizontal="center"/>
    </xf>
    <xf numFmtId="1" fontId="0" fillId="0" borderId="0" xfId="0" applyNumberFormat="1" applyFill="1"/>
    <xf numFmtId="0" fontId="4" fillId="0" borderId="0" xfId="0" applyFont="1" applyFill="1"/>
    <xf numFmtId="2" fontId="0" fillId="0" borderId="0" xfId="0" applyNumberFormat="1" applyFill="1"/>
    <xf numFmtId="9" fontId="0" fillId="0" borderId="0" xfId="0" applyNumberFormat="1" applyFill="1" applyAlignment="1">
      <alignment horizontal="center"/>
    </xf>
    <xf numFmtId="9" fontId="0" fillId="0" borderId="0" xfId="2" applyFont="1" applyFill="1" applyAlignment="1">
      <alignment horizontal="center"/>
    </xf>
    <xf numFmtId="166" fontId="0" fillId="0" borderId="0" xfId="0" applyNumberFormat="1" applyFill="1"/>
    <xf numFmtId="171" fontId="0" fillId="0" borderId="0" xfId="0" applyNumberFormat="1" applyFill="1"/>
    <xf numFmtId="0" fontId="10" fillId="0" borderId="0" xfId="0" applyFont="1" applyFill="1"/>
    <xf numFmtId="0" fontId="10" fillId="0" borderId="0" xfId="0" applyFont="1" applyFill="1" applyAlignment="1">
      <alignment horizontal="left"/>
    </xf>
    <xf numFmtId="0" fontId="10" fillId="0" borderId="0" xfId="0" applyFont="1" applyFill="1" applyAlignment="1">
      <alignment horizontal="center"/>
    </xf>
    <xf numFmtId="0" fontId="0" fillId="0" borderId="0" xfId="0" applyFill="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3" fillId="0" borderId="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0" fillId="0" borderId="0" xfId="0" applyFill="1" applyBorder="1" applyAlignment="1">
      <alignment horizontal="left" vertical="center" wrapText="1"/>
    </xf>
    <xf numFmtId="0" fontId="5" fillId="0" borderId="0" xfId="0" applyFont="1" applyFill="1" applyBorder="1" applyAlignment="1">
      <alignment horizontal="left" wrapText="1"/>
    </xf>
    <xf numFmtId="0" fontId="4" fillId="0" borderId="2" xfId="0" applyFont="1" applyFill="1" applyBorder="1" applyProtection="1">
      <protection locked="0"/>
    </xf>
    <xf numFmtId="0" fontId="9" fillId="0" borderId="3"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1" fontId="0" fillId="0" borderId="0" xfId="0" applyNumberFormat="1" applyFill="1" applyBorder="1" applyProtection="1">
      <protection locked="0"/>
    </xf>
    <xf numFmtId="0" fontId="4" fillId="0" borderId="0" xfId="0" applyFont="1" applyFill="1" applyBorder="1" applyProtection="1">
      <protection locked="0"/>
    </xf>
    <xf numFmtId="0" fontId="0" fillId="0" borderId="0" xfId="0" applyFill="1" applyBorder="1" applyAlignment="1" applyProtection="1">
      <alignment horizontal="center"/>
      <protection locked="0"/>
    </xf>
    <xf numFmtId="9" fontId="0" fillId="0" borderId="0" xfId="0" applyNumberFormat="1" applyFill="1" applyBorder="1" applyAlignment="1" applyProtection="1">
      <alignment horizontal="center"/>
      <protection locked="0"/>
    </xf>
    <xf numFmtId="0" fontId="0" fillId="0" borderId="0" xfId="0" applyFill="1" applyBorder="1" applyProtection="1">
      <protection locked="0"/>
    </xf>
    <xf numFmtId="0" fontId="9" fillId="0" borderId="0" xfId="0" applyFont="1" applyFill="1" applyBorder="1" applyProtection="1">
      <protection locked="0"/>
    </xf>
    <xf numFmtId="9" fontId="0" fillId="0" borderId="0" xfId="2" applyFont="1" applyFill="1" applyBorder="1" applyAlignment="1" applyProtection="1">
      <alignment horizontal="center"/>
      <protection locked="0"/>
    </xf>
    <xf numFmtId="0" fontId="0" fillId="0" borderId="3" xfId="0" applyFill="1" applyBorder="1" applyProtection="1">
      <protection locked="0"/>
    </xf>
    <xf numFmtId="0" fontId="0" fillId="0" borderId="0" xfId="0" applyFill="1" applyBorder="1" applyAlignment="1" applyProtection="1">
      <alignment horizontal="left"/>
      <protection locked="0"/>
    </xf>
    <xf numFmtId="2" fontId="0" fillId="0" borderId="0" xfId="0" applyNumberFormat="1" applyFill="1" applyBorder="1" applyProtection="1">
      <protection locked="0"/>
    </xf>
    <xf numFmtId="166" fontId="0" fillId="0" borderId="0" xfId="0" applyNumberFormat="1" applyFill="1" applyBorder="1" applyProtection="1">
      <protection locked="0"/>
    </xf>
    <xf numFmtId="0" fontId="0" fillId="0" borderId="4" xfId="0" applyFill="1" applyBorder="1" applyProtection="1">
      <protection locked="0"/>
    </xf>
    <xf numFmtId="0" fontId="4" fillId="0" borderId="4" xfId="0" applyFont="1" applyFill="1" applyBorder="1" applyProtection="1">
      <protection locked="0"/>
    </xf>
    <xf numFmtId="0" fontId="0" fillId="0" borderId="3" xfId="0" applyFill="1" applyBorder="1" applyAlignment="1" applyProtection="1">
      <alignment horizontal="left"/>
      <protection locked="0"/>
    </xf>
    <xf numFmtId="0" fontId="0" fillId="0" borderId="5" xfId="0" applyFill="1" applyBorder="1" applyProtection="1">
      <protection locked="0"/>
    </xf>
    <xf numFmtId="0" fontId="0" fillId="0" borderId="6" xfId="0" applyFill="1" applyBorder="1" applyAlignment="1" applyProtection="1">
      <alignment horizontal="left"/>
      <protection locked="0"/>
    </xf>
    <xf numFmtId="0" fontId="0" fillId="0" borderId="6" xfId="0" applyFill="1" applyBorder="1" applyAlignment="1" applyProtection="1">
      <alignment horizontal="center"/>
      <protection locked="0"/>
    </xf>
    <xf numFmtId="9" fontId="0" fillId="0" borderId="6" xfId="2" applyFont="1" applyFill="1" applyBorder="1" applyAlignment="1" applyProtection="1">
      <alignment horizontal="center"/>
      <protection locked="0"/>
    </xf>
    <xf numFmtId="1" fontId="0" fillId="0" borderId="6" xfId="0" applyNumberFormat="1" applyFill="1" applyBorder="1" applyProtection="1">
      <protection locked="0"/>
    </xf>
    <xf numFmtId="0" fontId="0" fillId="0" borderId="6" xfId="0" applyFill="1" applyBorder="1" applyProtection="1">
      <protection locked="0"/>
    </xf>
    <xf numFmtId="2" fontId="0" fillId="0" borderId="6" xfId="0" applyNumberFormat="1" applyFill="1" applyBorder="1" applyProtection="1">
      <protection locked="0"/>
    </xf>
    <xf numFmtId="166" fontId="0" fillId="0" borderId="6" xfId="0" applyNumberFormat="1" applyFill="1" applyBorder="1" applyProtection="1">
      <protection locked="0"/>
    </xf>
    <xf numFmtId="0" fontId="0" fillId="0" borderId="7" xfId="0" applyFill="1" applyBorder="1" applyProtection="1">
      <protection locked="0"/>
    </xf>
    <xf numFmtId="0" fontId="3" fillId="0" borderId="0" xfId="0" applyFont="1" applyFill="1"/>
    <xf numFmtId="0" fontId="5" fillId="0" borderId="0" xfId="0" applyFont="1" applyFill="1"/>
    <xf numFmtId="0" fontId="5" fillId="0" borderId="0" xfId="0" applyFont="1" applyFill="1" applyAlignment="1">
      <alignment horizontal="left"/>
    </xf>
    <xf numFmtId="0" fontId="0" fillId="0" borderId="8" xfId="0" applyFill="1" applyBorder="1" applyProtection="1">
      <protection locked="0"/>
    </xf>
    <xf numFmtId="0" fontId="0" fillId="0" borderId="9" xfId="0" applyFill="1" applyBorder="1" applyProtection="1">
      <protection locked="0"/>
    </xf>
    <xf numFmtId="0" fontId="0" fillId="0" borderId="10" xfId="0" applyFill="1" applyBorder="1" applyProtection="1">
      <protection locked="0"/>
    </xf>
    <xf numFmtId="0" fontId="2" fillId="0" borderId="0" xfId="0" applyFont="1" applyBorder="1" applyAlignment="1">
      <alignment horizontal="right"/>
    </xf>
    <xf numFmtId="0" fontId="2" fillId="0" borderId="0" xfId="0" applyFont="1" applyBorder="1"/>
    <xf numFmtId="0" fontId="2" fillId="0" borderId="0" xfId="0" applyFont="1" applyBorder="1" applyProtection="1"/>
    <xf numFmtId="0" fontId="2" fillId="0" borderId="11" xfId="0" applyFont="1" applyBorder="1" applyProtection="1"/>
    <xf numFmtId="0" fontId="2" fillId="0" borderId="12" xfId="0" applyFont="1" applyBorder="1" applyProtection="1"/>
    <xf numFmtId="9" fontId="2" fillId="0" borderId="0" xfId="2" applyFont="1" applyBorder="1"/>
    <xf numFmtId="0" fontId="2" fillId="0" borderId="0" xfId="0" applyFont="1"/>
    <xf numFmtId="43" fontId="2" fillId="0" borderId="0" xfId="1" applyFont="1" applyBorder="1"/>
    <xf numFmtId="2" fontId="2" fillId="0" borderId="0" xfId="1" applyNumberFormat="1" applyFont="1" applyBorder="1"/>
    <xf numFmtId="0" fontId="4" fillId="0" borderId="0" xfId="0" applyFont="1" applyFill="1" applyAlignment="1">
      <alignment horizontal="center"/>
    </xf>
    <xf numFmtId="0" fontId="2" fillId="0" borderId="0" xfId="0" applyFont="1" applyFill="1" applyBorder="1" applyProtection="1">
      <protection locked="0"/>
    </xf>
    <xf numFmtId="0" fontId="2" fillId="0" borderId="2" xfId="0" applyFont="1" applyFill="1" applyBorder="1" applyProtection="1">
      <protection locked="0"/>
    </xf>
    <xf numFmtId="0" fontId="0" fillId="0" borderId="1" xfId="0" applyFill="1" applyBorder="1" applyAlignment="1" applyProtection="1">
      <alignment horizontal="center"/>
      <protection locked="0"/>
    </xf>
    <xf numFmtId="0" fontId="11" fillId="0" borderId="0" xfId="0" applyFont="1" applyFill="1"/>
    <xf numFmtId="0" fontId="10" fillId="0" borderId="13" xfId="0" applyFont="1" applyFill="1" applyBorder="1"/>
    <xf numFmtId="0" fontId="10" fillId="0" borderId="9" xfId="0" applyFont="1" applyFill="1" applyBorder="1" applyProtection="1">
      <protection locked="0"/>
    </xf>
    <xf numFmtId="0" fontId="10" fillId="0" borderId="10" xfId="0" applyFont="1" applyFill="1" applyBorder="1" applyProtection="1">
      <protection locked="0"/>
    </xf>
    <xf numFmtId="0" fontId="5" fillId="0" borderId="14" xfId="0" applyFont="1" applyFill="1" applyBorder="1" applyAlignment="1">
      <alignment horizontal="center"/>
    </xf>
    <xf numFmtId="171" fontId="12" fillId="0" borderId="0" xfId="1" applyNumberFormat="1" applyFont="1" applyFill="1" applyBorder="1" applyProtection="1">
      <protection locked="0"/>
    </xf>
    <xf numFmtId="0" fontId="3" fillId="0" borderId="0" xfId="0" applyFont="1" applyFill="1" applyBorder="1" applyAlignment="1" applyProtection="1">
      <alignment horizontal="center" wrapText="1"/>
    </xf>
    <xf numFmtId="0" fontId="3" fillId="0" borderId="0" xfId="0" applyFont="1" applyFill="1" applyBorder="1" applyAlignment="1" applyProtection="1">
      <alignment horizontal="center"/>
    </xf>
    <xf numFmtId="166" fontId="3" fillId="0" borderId="0" xfId="0" applyNumberFormat="1" applyFont="1" applyFill="1" applyAlignment="1" applyProtection="1">
      <alignment horizontal="center"/>
    </xf>
    <xf numFmtId="2" fontId="3" fillId="0" borderId="0" xfId="0" applyNumberFormat="1" applyFont="1" applyFill="1" applyAlignment="1" applyProtection="1">
      <alignment horizontal="center"/>
    </xf>
    <xf numFmtId="9" fontId="3" fillId="0" borderId="0" xfId="2" applyFont="1" applyFill="1" applyAlignment="1" applyProtection="1">
      <alignment horizontal="center"/>
    </xf>
    <xf numFmtId="0" fontId="0" fillId="0" borderId="0" xfId="0" applyFill="1" applyProtection="1"/>
    <xf numFmtId="0" fontId="0" fillId="0" borderId="0" xfId="0" applyFill="1" applyAlignment="1" applyProtection="1">
      <alignment horizontal="center"/>
    </xf>
    <xf numFmtId="0" fontId="10" fillId="0" borderId="0" xfId="0" applyFont="1" applyFill="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left"/>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xf>
    <xf numFmtId="0" fontId="2" fillId="0" borderId="0" xfId="0" applyFont="1" applyFill="1" applyBorder="1" applyProtection="1"/>
    <xf numFmtId="1" fontId="2" fillId="0" borderId="0" xfId="0" applyNumberFormat="1" applyFont="1" applyFill="1" applyBorder="1" applyProtection="1"/>
    <xf numFmtId="2" fontId="2" fillId="0" borderId="0" xfId="0" applyNumberFormat="1" applyFont="1" applyFill="1" applyBorder="1" applyProtection="1"/>
    <xf numFmtId="0" fontId="4" fillId="0" borderId="0" xfId="0" applyFont="1" applyFill="1" applyProtection="1"/>
    <xf numFmtId="0" fontId="2" fillId="0" borderId="0" xfId="0" applyFont="1" applyFill="1" applyAlignment="1" applyProtection="1">
      <alignment horizontal="center"/>
    </xf>
    <xf numFmtId="0" fontId="10" fillId="0" borderId="0" xfId="0" applyFont="1" applyFill="1" applyBorder="1" applyProtection="1"/>
    <xf numFmtId="0" fontId="8" fillId="0" borderId="0" xfId="0" applyFont="1" applyBorder="1" applyProtection="1"/>
    <xf numFmtId="0" fontId="8" fillId="0" borderId="11" xfId="0" applyFont="1" applyBorder="1" applyAlignment="1" applyProtection="1">
      <alignment horizontal="center"/>
    </xf>
    <xf numFmtId="0" fontId="8" fillId="0" borderId="0" xfId="0" applyFont="1" applyBorder="1" applyAlignment="1" applyProtection="1">
      <alignment horizontal="center"/>
    </xf>
    <xf numFmtId="0" fontId="8" fillId="0" borderId="12" xfId="0" applyFont="1" applyBorder="1" applyAlignment="1" applyProtection="1">
      <alignment horizontal="center"/>
    </xf>
    <xf numFmtId="0" fontId="2" fillId="0" borderId="0" xfId="0" applyFont="1" applyFill="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wrapText="1"/>
    </xf>
    <xf numFmtId="0" fontId="2" fillId="0" borderId="11" xfId="0" applyFont="1" applyBorder="1" applyAlignment="1" applyProtection="1">
      <alignment horizontal="right"/>
    </xf>
    <xf numFmtId="0" fontId="2" fillId="0" borderId="0" xfId="0" applyFont="1" applyBorder="1" applyAlignment="1" applyProtection="1">
      <alignment horizontal="right"/>
    </xf>
    <xf numFmtId="0" fontId="2" fillId="0" borderId="0" xfId="0" applyFont="1" applyFill="1" applyBorder="1" applyAlignment="1" applyProtection="1">
      <alignment horizontal="right"/>
    </xf>
    <xf numFmtId="0" fontId="2" fillId="0" borderId="0" xfId="0" quotePrefix="1" applyFont="1" applyFill="1" applyBorder="1" applyAlignment="1" applyProtection="1">
      <alignment horizontal="right"/>
    </xf>
    <xf numFmtId="0" fontId="2" fillId="0" borderId="12" xfId="0" applyFont="1" applyBorder="1" applyAlignment="1" applyProtection="1">
      <alignment horizontal="right"/>
    </xf>
    <xf numFmtId="10" fontId="2" fillId="0" borderId="0" xfId="2" applyNumberFormat="1" applyFont="1" applyFill="1" applyAlignment="1" applyProtection="1">
      <alignment horizontal="center"/>
    </xf>
    <xf numFmtId="2" fontId="2" fillId="0" borderId="0" xfId="0" applyNumberFormat="1" applyFont="1" applyFill="1" applyBorder="1" applyAlignment="1" applyProtection="1">
      <alignment horizontal="right"/>
    </xf>
    <xf numFmtId="167" fontId="2" fillId="0" borderId="0" xfId="0" applyNumberFormat="1" applyFont="1" applyFill="1" applyBorder="1" applyProtection="1"/>
    <xf numFmtId="2" fontId="2" fillId="0" borderId="0" xfId="0" applyNumberFormat="1" applyFont="1" applyBorder="1" applyProtection="1"/>
    <xf numFmtId="9" fontId="2" fillId="0" borderId="11" xfId="2" applyNumberFormat="1" applyFont="1" applyBorder="1" applyProtection="1"/>
    <xf numFmtId="9" fontId="2" fillId="0" borderId="0" xfId="2" applyFont="1" applyBorder="1" applyProtection="1"/>
    <xf numFmtId="166" fontId="2" fillId="0" borderId="0" xfId="0" applyNumberFormat="1" applyFont="1" applyBorder="1" applyProtection="1"/>
    <xf numFmtId="166" fontId="2" fillId="0" borderId="12" xfId="0" applyNumberFormat="1" applyFont="1" applyBorder="1" applyProtection="1"/>
    <xf numFmtId="9" fontId="2" fillId="0" borderId="11" xfId="2" applyFont="1" applyBorder="1" applyProtection="1"/>
    <xf numFmtId="170" fontId="0" fillId="0" borderId="0" xfId="0" applyNumberFormat="1" applyBorder="1" applyAlignment="1" applyProtection="1">
      <alignment horizontal="center"/>
      <protection locked="0"/>
    </xf>
    <xf numFmtId="0" fontId="9" fillId="0" borderId="4"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14" fontId="0" fillId="0" borderId="0" xfId="0" applyNumberFormat="1" applyFill="1" applyAlignment="1">
      <alignment horizontal="center"/>
    </xf>
    <xf numFmtId="14" fontId="10" fillId="0" borderId="0" xfId="0" applyNumberFormat="1" applyFont="1" applyFill="1" applyAlignment="1">
      <alignment horizontal="center"/>
    </xf>
    <xf numFmtId="14" fontId="5" fillId="0" borderId="0" xfId="0" applyNumberFormat="1" applyFont="1" applyFill="1" applyBorder="1" applyAlignment="1">
      <alignment horizontal="center" wrapText="1"/>
    </xf>
    <xf numFmtId="14" fontId="0" fillId="0" borderId="0" xfId="0" applyNumberFormat="1" applyFill="1" applyBorder="1" applyAlignment="1" applyProtection="1">
      <alignment horizontal="center"/>
      <protection locked="0"/>
    </xf>
    <xf numFmtId="14" fontId="0" fillId="0" borderId="6" xfId="0" applyNumberFormat="1" applyFill="1" applyBorder="1" applyAlignment="1" applyProtection="1">
      <alignment horizontal="center"/>
      <protection locked="0"/>
    </xf>
    <xf numFmtId="14" fontId="12" fillId="0" borderId="2" xfId="0" applyNumberFormat="1" applyFont="1" applyFill="1" applyBorder="1" applyAlignment="1" applyProtection="1">
      <alignment horizontal="center"/>
      <protection locked="0"/>
    </xf>
    <xf numFmtId="14" fontId="12" fillId="0" borderId="0" xfId="0" applyNumberFormat="1" applyFont="1" applyFill="1" applyBorder="1" applyAlignment="1" applyProtection="1">
      <alignment horizontal="center"/>
      <protection locked="0"/>
    </xf>
    <xf numFmtId="14" fontId="9" fillId="0" borderId="0" xfId="0" applyNumberFormat="1" applyFont="1" applyFill="1" applyBorder="1" applyProtection="1">
      <protection locked="0"/>
    </xf>
    <xf numFmtId="14" fontId="9" fillId="0" borderId="0" xfId="0" applyNumberFormat="1" applyFont="1" applyFill="1" applyBorder="1" applyAlignment="1" applyProtection="1">
      <alignment horizontal="right"/>
      <protection locked="0"/>
    </xf>
    <xf numFmtId="14" fontId="0" fillId="0" borderId="0" xfId="0" applyNumberFormat="1" applyFill="1" applyBorder="1" applyAlignment="1" applyProtection="1">
      <alignment horizontal="center"/>
      <protection locked="0"/>
    </xf>
    <xf numFmtId="0" fontId="6" fillId="0" borderId="0" xfId="0" applyFont="1"/>
    <xf numFmtId="0" fontId="7" fillId="0" borderId="0" xfId="0" applyFont="1"/>
    <xf numFmtId="0" fontId="7" fillId="0" borderId="0" xfId="0" applyFont="1" applyAlignment="1">
      <alignment vertical="center"/>
    </xf>
    <xf numFmtId="173" fontId="0" fillId="0" borderId="0" xfId="0" applyNumberFormat="1" applyBorder="1" applyAlignment="1" applyProtection="1">
      <alignment horizontal="right"/>
      <protection locked="0"/>
    </xf>
    <xf numFmtId="0" fontId="7" fillId="0" borderId="0" xfId="0" quotePrefix="1" applyFont="1" applyAlignment="1">
      <alignment horizontal="left" vertical="center"/>
    </xf>
    <xf numFmtId="0" fontId="7" fillId="0" borderId="0" xfId="0" applyFont="1" applyAlignment="1">
      <alignment horizontal="left" vertical="center"/>
    </xf>
    <xf numFmtId="0" fontId="14" fillId="0" borderId="0" xfId="0" applyFont="1" applyBorder="1" applyAlignment="1">
      <alignment horizontal="right"/>
    </xf>
    <xf numFmtId="0" fontId="14" fillId="0" borderId="0" xfId="0" applyFont="1" applyBorder="1"/>
    <xf numFmtId="0" fontId="14" fillId="0" borderId="0" xfId="0" quotePrefix="1" applyFont="1" applyBorder="1"/>
    <xf numFmtId="166" fontId="14" fillId="0" borderId="0" xfId="0" applyNumberFormat="1" applyFont="1" applyBorder="1"/>
    <xf numFmtId="9" fontId="14" fillId="0" borderId="0" xfId="2" applyFont="1" applyBorder="1"/>
    <xf numFmtId="0" fontId="14" fillId="0" borderId="0" xfId="0" applyFont="1" applyFill="1" applyBorder="1" applyAlignment="1">
      <alignment horizontal="right"/>
    </xf>
    <xf numFmtId="1" fontId="14" fillId="0" borderId="0" xfId="0" applyNumberFormat="1" applyFont="1" applyBorder="1"/>
    <xf numFmtId="167" fontId="14" fillId="0" borderId="0" xfId="0" applyNumberFormat="1" applyFont="1" applyBorder="1"/>
    <xf numFmtId="2" fontId="14" fillId="0" borderId="0" xfId="0" applyNumberFormat="1" applyFont="1" applyBorder="1"/>
    <xf numFmtId="0" fontId="14" fillId="0" borderId="15" xfId="0" applyFont="1" applyBorder="1"/>
    <xf numFmtId="0" fontId="14" fillId="0" borderId="16" xfId="0" applyFont="1" applyBorder="1" applyAlignment="1">
      <alignment horizontal="right"/>
    </xf>
    <xf numFmtId="0" fontId="14" fillId="0" borderId="17" xfId="0" applyFont="1" applyBorder="1" applyAlignment="1">
      <alignment horizontal="right"/>
    </xf>
    <xf numFmtId="0" fontId="14" fillId="0" borderId="11" xfId="0" applyFont="1" applyBorder="1"/>
    <xf numFmtId="2" fontId="14" fillId="0" borderId="12" xfId="0" applyNumberFormat="1" applyFont="1" applyBorder="1"/>
    <xf numFmtId="168" fontId="14" fillId="0" borderId="0" xfId="2" applyNumberFormat="1" applyFont="1" applyBorder="1"/>
    <xf numFmtId="0" fontId="14" fillId="0" borderId="12" xfId="0" applyFont="1" applyBorder="1"/>
    <xf numFmtId="1" fontId="14" fillId="0" borderId="12" xfId="0" applyNumberFormat="1" applyFont="1" applyBorder="1"/>
    <xf numFmtId="0" fontId="14" fillId="0" borderId="12" xfId="0" applyFont="1" applyBorder="1" applyAlignment="1">
      <alignment horizontal="right"/>
    </xf>
    <xf numFmtId="167" fontId="14" fillId="0" borderId="12" xfId="0" applyNumberFormat="1" applyFont="1" applyBorder="1"/>
    <xf numFmtId="164" fontId="14" fillId="0" borderId="0" xfId="0" applyNumberFormat="1" applyFont="1" applyBorder="1"/>
    <xf numFmtId="165" fontId="14" fillId="0" borderId="0" xfId="0" applyNumberFormat="1" applyFont="1" applyBorder="1"/>
    <xf numFmtId="166" fontId="14" fillId="0" borderId="12" xfId="0" applyNumberFormat="1" applyFont="1" applyBorder="1"/>
    <xf numFmtId="0" fontId="14" fillId="0" borderId="11" xfId="0" applyFont="1" applyBorder="1" applyAlignment="1">
      <alignment horizontal="left"/>
    </xf>
    <xf numFmtId="0" fontId="13" fillId="0" borderId="0" xfId="0" applyFont="1" applyBorder="1" applyProtection="1"/>
    <xf numFmtId="0" fontId="14" fillId="0" borderId="0" xfId="0" applyFont="1" applyBorder="1" applyProtection="1"/>
    <xf numFmtId="0" fontId="14" fillId="0" borderId="0" xfId="0" applyFont="1" applyProtection="1"/>
    <xf numFmtId="0" fontId="14" fillId="0" borderId="0" xfId="0" applyFont="1" applyBorder="1" applyAlignment="1" applyProtection="1">
      <alignment horizontal="centerContinuous"/>
    </xf>
    <xf numFmtId="1" fontId="14" fillId="0" borderId="0" xfId="0" applyNumberFormat="1" applyFont="1" applyBorder="1" applyProtection="1"/>
    <xf numFmtId="2" fontId="14" fillId="0" borderId="0" xfId="0" applyNumberFormat="1" applyFont="1" applyBorder="1" applyProtection="1"/>
    <xf numFmtId="0" fontId="14" fillId="0" borderId="0" xfId="0" applyFont="1" applyBorder="1" applyAlignment="1" applyProtection="1">
      <alignment horizontal="right"/>
    </xf>
    <xf numFmtId="0" fontId="14" fillId="0" borderId="18" xfId="0" applyFont="1" applyBorder="1" applyProtection="1"/>
    <xf numFmtId="0" fontId="14" fillId="0" borderId="14" xfId="0" applyFont="1" applyBorder="1" applyProtection="1"/>
    <xf numFmtId="0" fontId="14" fillId="0" borderId="0" xfId="0" applyFont="1" applyAlignment="1" applyProtection="1">
      <alignment horizontal="right"/>
    </xf>
    <xf numFmtId="0" fontId="14" fillId="0" borderId="0" xfId="0" applyFont="1" applyBorder="1" applyAlignment="1" applyProtection="1">
      <alignment horizontal="center"/>
    </xf>
    <xf numFmtId="0" fontId="14" fillId="0" borderId="0" xfId="0" applyFont="1" applyAlignment="1" applyProtection="1">
      <alignment horizontal="center"/>
    </xf>
    <xf numFmtId="2" fontId="14" fillId="0" borderId="0" xfId="0" applyNumberFormat="1" applyFont="1" applyProtection="1"/>
    <xf numFmtId="0" fontId="14" fillId="0" borderId="1" xfId="0" applyFont="1" applyBorder="1" applyProtection="1"/>
    <xf numFmtId="0" fontId="14" fillId="0" borderId="11" xfId="0" applyFont="1" applyBorder="1" applyAlignment="1" applyProtection="1">
      <alignment horizontal="center"/>
    </xf>
    <xf numFmtId="0" fontId="14" fillId="0" borderId="12" xfId="0" applyFont="1" applyBorder="1" applyAlignment="1" applyProtection="1">
      <alignment horizontal="center"/>
    </xf>
    <xf numFmtId="2" fontId="14" fillId="0" borderId="11" xfId="0" applyNumberFormat="1" applyFont="1" applyBorder="1" applyProtection="1"/>
    <xf numFmtId="2" fontId="14" fillId="0" borderId="12" xfId="0" applyNumberFormat="1" applyFont="1" applyBorder="1" applyProtection="1"/>
    <xf numFmtId="164" fontId="14" fillId="0" borderId="15" xfId="0" applyNumberFormat="1" applyFont="1" applyBorder="1" applyProtection="1"/>
    <xf numFmtId="164" fontId="14" fillId="0" borderId="16" xfId="0" applyNumberFormat="1" applyFont="1" applyBorder="1" applyProtection="1"/>
    <xf numFmtId="9" fontId="14" fillId="0" borderId="16" xfId="2" applyFont="1" applyBorder="1" applyAlignment="1" applyProtection="1">
      <alignment horizontal="center"/>
    </xf>
    <xf numFmtId="166" fontId="14" fillId="0" borderId="16" xfId="0" applyNumberFormat="1" applyFont="1" applyBorder="1" applyProtection="1"/>
    <xf numFmtId="166" fontId="14" fillId="0" borderId="17" xfId="0" applyNumberFormat="1" applyFont="1" applyBorder="1" applyProtection="1"/>
    <xf numFmtId="164" fontId="14" fillId="0" borderId="11" xfId="0" applyNumberFormat="1" applyFont="1" applyBorder="1" applyProtection="1"/>
    <xf numFmtId="164" fontId="14" fillId="0" borderId="0" xfId="0" applyNumberFormat="1" applyFont="1" applyBorder="1" applyProtection="1"/>
    <xf numFmtId="9" fontId="14" fillId="0" borderId="0" xfId="2" applyFont="1" applyBorder="1" applyAlignment="1" applyProtection="1">
      <alignment horizontal="center"/>
    </xf>
    <xf numFmtId="166" fontId="14" fillId="0" borderId="0" xfId="0" applyNumberFormat="1" applyFont="1" applyBorder="1" applyProtection="1"/>
    <xf numFmtId="166" fontId="14" fillId="0" borderId="12" xfId="0" applyNumberFormat="1" applyFont="1" applyBorder="1" applyProtection="1"/>
    <xf numFmtId="164" fontId="14" fillId="0" borderId="0" xfId="0" applyNumberFormat="1" applyFont="1" applyProtection="1"/>
    <xf numFmtId="9" fontId="14" fillId="0" borderId="0" xfId="2" applyFont="1" applyAlignment="1" applyProtection="1">
      <alignment horizontal="center"/>
    </xf>
    <xf numFmtId="167" fontId="14" fillId="0" borderId="0" xfId="0" applyNumberFormat="1" applyFont="1" applyBorder="1" applyProtection="1"/>
    <xf numFmtId="0" fontId="13" fillId="0" borderId="11" xfId="0" applyFont="1" applyBorder="1" applyAlignment="1">
      <alignment horizontal="center"/>
    </xf>
    <xf numFmtId="169" fontId="0" fillId="0" borderId="19" xfId="0" applyNumberFormat="1" applyBorder="1" applyAlignment="1" applyProtection="1">
      <alignment horizontal="left"/>
      <protection locked="0"/>
    </xf>
    <xf numFmtId="170" fontId="0" fillId="0" borderId="2" xfId="0" applyNumberFormat="1" applyBorder="1" applyAlignment="1" applyProtection="1">
      <alignment horizontal="center"/>
      <protection locked="0"/>
    </xf>
    <xf numFmtId="173" fontId="0" fillId="0" borderId="20" xfId="0" applyNumberFormat="1" applyBorder="1" applyAlignment="1" applyProtection="1">
      <alignment horizontal="center"/>
      <protection locked="0"/>
    </xf>
    <xf numFmtId="169" fontId="0" fillId="0" borderId="3" xfId="0" applyNumberFormat="1" applyBorder="1" applyAlignment="1" applyProtection="1">
      <alignment horizontal="left"/>
      <protection locked="0"/>
    </xf>
    <xf numFmtId="173" fontId="0" fillId="0" borderId="4" xfId="0" applyNumberFormat="1" applyBorder="1" applyAlignment="1" applyProtection="1">
      <alignment horizontal="center"/>
      <protection locked="0"/>
    </xf>
    <xf numFmtId="174" fontId="0" fillId="0" borderId="0" xfId="0" applyNumberFormat="1" applyBorder="1" applyAlignment="1" applyProtection="1">
      <alignment horizontal="right"/>
      <protection locked="0"/>
    </xf>
    <xf numFmtId="172" fontId="0" fillId="0" borderId="0" xfId="0" applyNumberFormat="1" applyFill="1" applyAlignment="1"/>
    <xf numFmtId="10" fontId="0" fillId="0" borderId="0" xfId="0" applyNumberFormat="1" applyFill="1" applyAlignment="1"/>
    <xf numFmtId="168" fontId="0" fillId="0" borderId="0" xfId="0" applyNumberFormat="1" applyFill="1" applyAlignment="1"/>
    <xf numFmtId="9" fontId="0" fillId="0" borderId="0" xfId="0" applyNumberFormat="1" applyFill="1" applyAlignment="1"/>
    <xf numFmtId="0" fontId="0" fillId="0" borderId="0" xfId="0" applyFill="1" applyAlignment="1"/>
    <xf numFmtId="165" fontId="0" fillId="0" borderId="0" xfId="0" applyNumberFormat="1" applyFill="1"/>
    <xf numFmtId="167" fontId="0" fillId="0" borderId="0" xfId="0" applyNumberFormat="1" applyFill="1"/>
    <xf numFmtId="2" fontId="0" fillId="0" borderId="0" xfId="0" applyNumberFormat="1" applyFill="1" applyBorder="1" applyAlignment="1">
      <alignment horizontal="center"/>
    </xf>
    <xf numFmtId="167" fontId="0" fillId="0" borderId="2" xfId="0" applyNumberFormat="1" applyBorder="1" applyAlignment="1" applyProtection="1">
      <alignment horizontal="center"/>
      <protection locked="0"/>
    </xf>
    <xf numFmtId="167" fontId="0" fillId="0" borderId="0" xfId="0" applyNumberFormat="1" applyBorder="1" applyAlignment="1" applyProtection="1">
      <alignment horizontal="center"/>
      <protection locked="0"/>
    </xf>
    <xf numFmtId="165" fontId="0" fillId="0" borderId="2" xfId="0" applyNumberFormat="1" applyBorder="1" applyAlignment="1" applyProtection="1">
      <alignment horizontal="center"/>
      <protection locked="0"/>
    </xf>
    <xf numFmtId="165" fontId="0" fillId="0" borderId="0" xfId="0" applyNumberFormat="1" applyBorder="1" applyAlignment="1" applyProtection="1">
      <alignment horizontal="center"/>
      <protection locked="0"/>
    </xf>
    <xf numFmtId="166" fontId="0" fillId="0" borderId="2" xfId="0" applyNumberFormat="1" applyBorder="1" applyAlignment="1" applyProtection="1">
      <alignment horizontal="center"/>
      <protection locked="0"/>
    </xf>
    <xf numFmtId="166" fontId="0" fillId="0" borderId="0" xfId="0" applyNumberFormat="1" applyBorder="1" applyAlignment="1" applyProtection="1">
      <alignment horizontal="center"/>
      <protection locked="0"/>
    </xf>
    <xf numFmtId="166" fontId="0" fillId="0" borderId="0" xfId="0" applyNumberFormat="1" applyFill="1" applyBorder="1" applyAlignment="1" applyProtection="1">
      <alignment horizontal="center"/>
      <protection locked="0"/>
    </xf>
    <xf numFmtId="165" fontId="9" fillId="0" borderId="0" xfId="0" applyNumberFormat="1" applyFont="1" applyFill="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2" fontId="0" fillId="0" borderId="2" xfId="0" applyNumberFormat="1" applyBorder="1" applyAlignment="1" applyProtection="1">
      <alignment horizontal="center"/>
      <protection locked="0"/>
    </xf>
    <xf numFmtId="2" fontId="0" fillId="0" borderId="0" xfId="0" applyNumberFormat="1" applyBorder="1" applyAlignment="1" applyProtection="1">
      <alignment horizontal="center"/>
      <protection locked="0"/>
    </xf>
    <xf numFmtId="2" fontId="0" fillId="0" borderId="0" xfId="0" applyNumberFormat="1" applyFill="1" applyBorder="1" applyAlignment="1" applyProtection="1">
      <alignment horizontal="center"/>
      <protection locked="0"/>
    </xf>
    <xf numFmtId="165" fontId="2" fillId="0" borderId="2" xfId="0" applyNumberFormat="1" applyFont="1" applyFill="1" applyBorder="1" applyAlignment="1" applyProtection="1">
      <alignment horizontal="center"/>
      <protection locked="0"/>
    </xf>
    <xf numFmtId="164" fontId="2" fillId="0" borderId="2" xfId="0" applyNumberFormat="1" applyFont="1" applyFill="1" applyBorder="1" applyAlignment="1" applyProtection="1">
      <alignment horizontal="center"/>
      <protection locked="0"/>
    </xf>
    <xf numFmtId="164" fontId="2" fillId="0" borderId="0" xfId="0" applyNumberFormat="1" applyFont="1" applyFill="1" applyBorder="1" applyAlignment="1" applyProtection="1">
      <alignment horizontal="center"/>
      <protection locked="0"/>
    </xf>
    <xf numFmtId="169" fontId="0" fillId="0" borderId="0" xfId="0" applyNumberFormat="1" applyBorder="1" applyAlignment="1" applyProtection="1">
      <alignment horizontal="left"/>
      <protection locked="0"/>
    </xf>
    <xf numFmtId="166" fontId="0" fillId="0" borderId="2"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0" fontId="2" fillId="0" borderId="0" xfId="0" applyNumberFormat="1" applyFont="1" applyFill="1" applyBorder="1" applyAlignment="1" applyProtection="1">
      <alignment horizontal="center"/>
    </xf>
    <xf numFmtId="0" fontId="2" fillId="0" borderId="0" xfId="0" applyNumberFormat="1" applyFont="1" applyFill="1" applyBorder="1" applyProtection="1"/>
    <xf numFmtId="0" fontId="14" fillId="0" borderId="11" xfId="0" applyFont="1" applyBorder="1" applyAlignment="1">
      <alignment horizontal="center"/>
    </xf>
    <xf numFmtId="1" fontId="12" fillId="0" borderId="2" xfId="0" applyNumberFormat="1" applyFont="1" applyFill="1" applyBorder="1" applyAlignment="1" applyProtection="1">
      <alignment horizontal="center"/>
      <protection locked="0"/>
    </xf>
    <xf numFmtId="1" fontId="12"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11" fillId="0" borderId="0" xfId="0" applyFont="1" applyFill="1" applyAlignment="1">
      <alignment horizontal="right"/>
    </xf>
    <xf numFmtId="0" fontId="10" fillId="0" borderId="18"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8" xfId="0" applyFont="1" applyFill="1" applyBorder="1" applyAlignment="1" applyProtection="1">
      <alignment horizontal="center"/>
    </xf>
    <xf numFmtId="0" fontId="10" fillId="0" borderId="21" xfId="0" applyFont="1" applyFill="1" applyBorder="1" applyAlignment="1" applyProtection="1">
      <alignment horizontal="center"/>
    </xf>
    <xf numFmtId="0" fontId="10" fillId="0" borderId="14" xfId="0"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7" xfId="0" applyFont="1" applyBorder="1" applyAlignment="1" applyProtection="1">
      <alignment horizontal="center"/>
    </xf>
    <xf numFmtId="0" fontId="5" fillId="0" borderId="18" xfId="0" applyFont="1" applyFill="1" applyBorder="1" applyAlignment="1">
      <alignment horizontal="center"/>
    </xf>
    <xf numFmtId="0" fontId="5" fillId="0" borderId="21" xfId="0" applyFont="1" applyFill="1" applyBorder="1" applyAlignment="1">
      <alignment horizontal="center"/>
    </xf>
    <xf numFmtId="0" fontId="3" fillId="0" borderId="18"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0" xfId="0" applyFont="1" applyFill="1" applyAlignment="1">
      <alignment horizontal="center" vertical="center" wrapText="1"/>
    </xf>
    <xf numFmtId="14" fontId="3" fillId="0" borderId="18" xfId="0" applyNumberFormat="1" applyFont="1" applyFill="1" applyBorder="1" applyAlignment="1">
      <alignment horizontal="center" vertical="center" wrapText="1"/>
    </xf>
    <xf numFmtId="14" fontId="3" fillId="0" borderId="21"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5" fillId="0" borderId="14" xfId="0" applyFont="1" applyFill="1" applyBorder="1" applyAlignment="1">
      <alignment horizontal="center"/>
    </xf>
    <xf numFmtId="0" fontId="7" fillId="0" borderId="0" xfId="0" applyFont="1" applyAlignment="1">
      <alignment horizontal="left" vertical="center" wrapText="1"/>
    </xf>
    <xf numFmtId="0" fontId="8" fillId="0" borderId="0" xfId="0" quotePrefix="1" applyFont="1" applyAlignment="1">
      <alignment horizontal="left" vertical="center" wrapText="1"/>
    </xf>
    <xf numFmtId="0" fontId="14" fillId="0" borderId="15" xfId="0" applyFont="1" applyBorder="1" applyAlignment="1" applyProtection="1">
      <alignment horizontal="center"/>
    </xf>
    <xf numFmtId="0" fontId="14" fillId="0" borderId="17" xfId="0" applyFont="1" applyBorder="1" applyAlignment="1" applyProtection="1">
      <alignment horizontal="center"/>
    </xf>
    <xf numFmtId="0" fontId="14" fillId="0" borderId="11" xfId="0" applyFont="1" applyBorder="1" applyAlignment="1" applyProtection="1">
      <alignment horizontal="center"/>
    </xf>
    <xf numFmtId="0" fontId="14" fillId="0" borderId="0" xfId="0" applyFont="1" applyBorder="1" applyAlignment="1" applyProtection="1">
      <alignment horizontal="center"/>
    </xf>
    <xf numFmtId="0" fontId="2" fillId="0" borderId="0"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2.xml"/><Relationship Id="rId12" Type="http://schemas.openxmlformats.org/officeDocument/2006/relationships/worksheet" Target="worksheets/sheet3.xml"/><Relationship Id="rId13" Type="http://schemas.openxmlformats.org/officeDocument/2006/relationships/worksheet" Target="worksheets/sheet4.xml"/><Relationship Id="rId14" Type="http://schemas.openxmlformats.org/officeDocument/2006/relationships/worksheet" Target="worksheets/sheet5.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chartsheet" Target="chartsheets/sheet3.xml"/><Relationship Id="rId4" Type="http://schemas.openxmlformats.org/officeDocument/2006/relationships/chartsheet" Target="chartsheets/sheet4.xml"/><Relationship Id="rId5" Type="http://schemas.openxmlformats.org/officeDocument/2006/relationships/chartsheet" Target="chartsheets/sheet5.xml"/><Relationship Id="rId6" Type="http://schemas.openxmlformats.org/officeDocument/2006/relationships/chartsheet" Target="chartsheets/sheet6.xml"/><Relationship Id="rId7" Type="http://schemas.openxmlformats.org/officeDocument/2006/relationships/chartsheet" Target="chartsheets/sheet7.xml"/><Relationship Id="rId8" Type="http://schemas.openxmlformats.org/officeDocument/2006/relationships/chartsheet" Target="chartsheets/sheet8.xml"/><Relationship Id="rId9" Type="http://schemas.openxmlformats.org/officeDocument/2006/relationships/chartsheet" Target="chartsheets/sheet9.xml"/><Relationship Id="rId10" Type="http://schemas.openxmlformats.org/officeDocument/2006/relationships/worksheet" Target="worksheets/sheet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964987190435525"/>
          <c:y val="0.058472553699284"/>
          <c:w val="0.86336464560205"/>
          <c:h val="0.855608591885442"/>
        </c:manualLayout>
      </c:layout>
      <c:scatterChart>
        <c:scatterStyle val="smoothMarker"/>
        <c:varyColors val="0"/>
        <c:ser>
          <c:idx val="14"/>
          <c:order val="0"/>
          <c:tx>
            <c:strRef>
              <c:f>Ggrid!$G$7</c:f>
              <c:strCache>
                <c:ptCount val="1"/>
                <c:pt idx="0">
                  <c:v>1</c:v>
                </c:pt>
              </c:strCache>
            </c:strRef>
          </c:tx>
          <c:spPr>
            <a:ln w="3175">
              <a:solidFill>
                <a:srgbClr val="000000"/>
              </a:solidFill>
              <a:prstDash val="solid"/>
            </a:ln>
          </c:spPr>
          <c:marker>
            <c:symbol val="none"/>
          </c:marker>
          <c:xVal>
            <c:numRef>
              <c:f>Ggrid!$G$8:$G$14</c:f>
              <c:numCache>
                <c:formatCode>0.00</c:formatCode>
                <c:ptCount val="7"/>
                <c:pt idx="0">
                  <c:v>-11.66883145512884</c:v>
                </c:pt>
                <c:pt idx="1">
                  <c:v>-11.21968042324771</c:v>
                </c:pt>
                <c:pt idx="2">
                  <c:v>-10.8176396426584</c:v>
                </c:pt>
                <c:pt idx="3">
                  <c:v>-10.45607113904697</c:v>
                </c:pt>
                <c:pt idx="4">
                  <c:v>-10.12951203062698</c:v>
                </c:pt>
                <c:pt idx="5">
                  <c:v>-9.833426809532237</c:v>
                </c:pt>
                <c:pt idx="6">
                  <c:v>-9.564019602367016</c:v>
                </c:pt>
              </c:numCache>
            </c:numRef>
          </c:xVal>
          <c:yVal>
            <c:numRef>
              <c:f>Ggrid!$G$48:$G$54</c:f>
              <c:numCache>
                <c:formatCode>0.00</c:formatCode>
                <c:ptCount val="7"/>
                <c:pt idx="0">
                  <c:v>-3.655231119596163</c:v>
                </c:pt>
                <c:pt idx="1">
                  <c:v>-3.475522515450481</c:v>
                </c:pt>
                <c:pt idx="2">
                  <c:v>-3.314037061716223</c:v>
                </c:pt>
                <c:pt idx="3">
                  <c:v>-3.168233113228895</c:v>
                </c:pt>
                <c:pt idx="4">
                  <c:v>-3.036016751112241</c:v>
                </c:pt>
                <c:pt idx="5">
                  <c:v>-2.915647672282725</c:v>
                </c:pt>
                <c:pt idx="6">
                  <c:v>-2.805667821940069</c:v>
                </c:pt>
              </c:numCache>
            </c:numRef>
          </c:yVal>
          <c:smooth val="1"/>
        </c:ser>
        <c:ser>
          <c:idx val="12"/>
          <c:order val="1"/>
          <c:tx>
            <c:strRef>
              <c:f>Ggrid!$H$7</c:f>
              <c:strCache>
                <c:ptCount val="1"/>
                <c:pt idx="0">
                  <c:v>0.3</c:v>
                </c:pt>
              </c:strCache>
            </c:strRef>
          </c:tx>
          <c:spPr>
            <a:ln w="3175">
              <a:solidFill>
                <a:srgbClr val="000000"/>
              </a:solidFill>
              <a:prstDash val="solid"/>
            </a:ln>
          </c:spPr>
          <c:marker>
            <c:symbol val="none"/>
          </c:marker>
          <c:xVal>
            <c:numRef>
              <c:f>Ggrid!$H$8:$H$14</c:f>
              <c:numCache>
                <c:formatCode>0.00</c:formatCode>
                <c:ptCount val="7"/>
                <c:pt idx="0">
                  <c:v>-13.75662153358427</c:v>
                </c:pt>
                <c:pt idx="1">
                  <c:v>-13.30383137213727</c:v>
                </c:pt>
                <c:pt idx="2">
                  <c:v>-12.89451131143589</c:v>
                </c:pt>
                <c:pt idx="3">
                  <c:v>-12.51832143649778</c:v>
                </c:pt>
                <c:pt idx="4">
                  <c:v>-12.1623591248654</c:v>
                </c:pt>
                <c:pt idx="5">
                  <c:v>-11.80742128940501</c:v>
                </c:pt>
                <c:pt idx="6">
                  <c:v>-11.42204821801093</c:v>
                </c:pt>
              </c:numCache>
            </c:numRef>
          </c:xVal>
          <c:yVal>
            <c:numRef>
              <c:f>Ggrid!$H$48:$H$54</c:f>
              <c:numCache>
                <c:formatCode>0.00</c:formatCode>
                <c:ptCount val="7"/>
                <c:pt idx="0">
                  <c:v>-4.170000254636765</c:v>
                </c:pt>
                <c:pt idx="1">
                  <c:v>-3.984236492816137</c:v>
                </c:pt>
                <c:pt idx="2">
                  <c:v>-3.81230104792641</c:v>
                </c:pt>
                <c:pt idx="3">
                  <c:v>-3.64870508883775</c:v>
                </c:pt>
                <c:pt idx="4">
                  <c:v>-3.486860143614569</c:v>
                </c:pt>
                <c:pt idx="5">
                  <c:v>-3.318828064470903</c:v>
                </c:pt>
                <c:pt idx="6">
                  <c:v>-3.135928040988709</c:v>
                </c:pt>
              </c:numCache>
            </c:numRef>
          </c:yVal>
          <c:smooth val="1"/>
        </c:ser>
        <c:ser>
          <c:idx val="3"/>
          <c:order val="2"/>
          <c:tx>
            <c:strRef>
              <c:f>Ggrid!$I$7</c:f>
              <c:strCache>
                <c:ptCount val="1"/>
                <c:pt idx="0">
                  <c:v>0.1</c:v>
                </c:pt>
              </c:strCache>
            </c:strRef>
          </c:tx>
          <c:spPr>
            <a:ln w="3175">
              <a:solidFill>
                <a:srgbClr val="000000"/>
              </a:solidFill>
              <a:prstDash val="solid"/>
            </a:ln>
          </c:spPr>
          <c:marker>
            <c:symbol val="none"/>
          </c:marker>
          <c:xVal>
            <c:numRef>
              <c:f>Ggrid!$I$8:$I$14</c:f>
              <c:numCache>
                <c:formatCode>0.00</c:formatCode>
                <c:ptCount val="7"/>
                <c:pt idx="0">
                  <c:v>-15.65455861827444</c:v>
                </c:pt>
                <c:pt idx="1">
                  <c:v>-15.19161051136909</c:v>
                </c:pt>
                <c:pt idx="2">
                  <c:v>-14.76233380538725</c:v>
                </c:pt>
                <c:pt idx="3">
                  <c:v>-14.34728946528636</c:v>
                </c:pt>
                <c:pt idx="4">
                  <c:v>-13.91724704951564</c:v>
                </c:pt>
                <c:pt idx="5">
                  <c:v>-13.42676775616523</c:v>
                </c:pt>
                <c:pt idx="6">
                  <c:v>-12.81149971029301</c:v>
                </c:pt>
              </c:numCache>
            </c:numRef>
          </c:xVal>
          <c:yVal>
            <c:numRef>
              <c:f>Ggrid!$I$48:$I$54</c:f>
              <c:numCache>
                <c:formatCode>0.00</c:formatCode>
                <c:ptCount val="7"/>
                <c:pt idx="0">
                  <c:v>-4.624752290104635</c:v>
                </c:pt>
                <c:pt idx="1">
                  <c:v>-4.42326076699532</c:v>
                </c:pt>
                <c:pt idx="2">
                  <c:v>-4.22592668551063</c:v>
                </c:pt>
                <c:pt idx="3">
                  <c:v>-4.023461883294537</c:v>
                </c:pt>
                <c:pt idx="4">
                  <c:v>-3.806618286502488</c:v>
                </c:pt>
                <c:pt idx="5">
                  <c:v>-3.568506784951481</c:v>
                </c:pt>
                <c:pt idx="6">
                  <c:v>-3.306944889373352</c:v>
                </c:pt>
              </c:numCache>
            </c:numRef>
          </c:yVal>
          <c:smooth val="1"/>
        </c:ser>
        <c:ser>
          <c:idx val="2"/>
          <c:order val="3"/>
          <c:tx>
            <c:strRef>
              <c:f>Ggrid!$J$7</c:f>
              <c:strCache>
                <c:ptCount val="1"/>
                <c:pt idx="0">
                  <c:v>0.01</c:v>
                </c:pt>
              </c:strCache>
            </c:strRef>
          </c:tx>
          <c:spPr>
            <a:ln w="3175">
              <a:solidFill>
                <a:srgbClr val="000000"/>
              </a:solidFill>
              <a:prstDash val="solid"/>
            </a:ln>
          </c:spPr>
          <c:marker>
            <c:symbol val="none"/>
          </c:marker>
          <c:xVal>
            <c:numRef>
              <c:f>Ggrid!$J$8:$J$14</c:f>
              <c:numCache>
                <c:formatCode>0.00</c:formatCode>
                <c:ptCount val="7"/>
                <c:pt idx="0">
                  <c:v>-19.52395461139317</c:v>
                </c:pt>
                <c:pt idx="1">
                  <c:v>-18.94952111205519</c:v>
                </c:pt>
                <c:pt idx="2">
                  <c:v>-18.32580747494376</c:v>
                </c:pt>
                <c:pt idx="3">
                  <c:v>-17.59058544008165</c:v>
                </c:pt>
                <c:pt idx="4">
                  <c:v>-16.67880538459116</c:v>
                </c:pt>
                <c:pt idx="5">
                  <c:v>-15.55772680723334</c:v>
                </c:pt>
                <c:pt idx="6">
                  <c:v>-14.25458143034415</c:v>
                </c:pt>
              </c:numCache>
            </c:numRef>
          </c:xVal>
          <c:yVal>
            <c:numRef>
              <c:f>Ggrid!$J$48:$J$54</c:f>
              <c:numCache>
                <c:formatCode>0.00</c:formatCode>
                <c:ptCount val="7"/>
                <c:pt idx="0">
                  <c:v>-5.40002740430138</c:v>
                </c:pt>
                <c:pt idx="1">
                  <c:v>-5.094110080476808</c:v>
                </c:pt>
                <c:pt idx="2">
                  <c:v>-4.773181966571056</c:v>
                </c:pt>
                <c:pt idx="3">
                  <c:v>-4.439720010706445</c:v>
                </c:pt>
                <c:pt idx="4">
                  <c:v>-4.098758523873831</c:v>
                </c:pt>
                <c:pt idx="5">
                  <c:v>-3.755348934356414</c:v>
                </c:pt>
                <c:pt idx="6">
                  <c:v>-3.413271337511348</c:v>
                </c:pt>
              </c:numCache>
            </c:numRef>
          </c:yVal>
          <c:smooth val="1"/>
        </c:ser>
        <c:ser>
          <c:idx val="1"/>
          <c:order val="4"/>
          <c:tx>
            <c:strRef>
              <c:f>Ggrid!$K$7</c:f>
              <c:strCache>
                <c:ptCount val="1"/>
                <c:pt idx="0">
                  <c:v>0.001</c:v>
                </c:pt>
              </c:strCache>
            </c:strRef>
          </c:tx>
          <c:spPr>
            <a:ln w="3175">
              <a:solidFill>
                <a:srgbClr val="000000"/>
              </a:solidFill>
              <a:prstDash val="solid"/>
            </a:ln>
          </c:spPr>
          <c:marker>
            <c:symbol val="none"/>
          </c:marker>
          <c:xVal>
            <c:numRef>
              <c:f>Ggrid!$K$8:$K$14</c:f>
              <c:numCache>
                <c:formatCode>0.00</c:formatCode>
                <c:ptCount val="7"/>
                <c:pt idx="0">
                  <c:v>-22.72127418361749</c:v>
                </c:pt>
                <c:pt idx="1">
                  <c:v>-21.69469066030357</c:v>
                </c:pt>
                <c:pt idx="2">
                  <c:v>-20.48402836046559</c:v>
                </c:pt>
                <c:pt idx="3">
                  <c:v>-19.10394038728131</c:v>
                </c:pt>
                <c:pt idx="4">
                  <c:v>-17.61197627437573</c:v>
                </c:pt>
                <c:pt idx="5">
                  <c:v>-16.06623845928295</c:v>
                </c:pt>
                <c:pt idx="6">
                  <c:v>-14.50438663994717</c:v>
                </c:pt>
              </c:numCache>
            </c:numRef>
          </c:xVal>
          <c:yVal>
            <c:numRef>
              <c:f>Ggrid!$K$48:$K$54</c:f>
              <c:numCache>
                <c:formatCode>0.00</c:formatCode>
                <c:ptCount val="7"/>
                <c:pt idx="0">
                  <c:v>-5.697630991869818</c:v>
                </c:pt>
                <c:pt idx="1">
                  <c:v>-5.293840409432691</c:v>
                </c:pt>
                <c:pt idx="2">
                  <c:v>-4.899616123191828</c:v>
                </c:pt>
                <c:pt idx="3">
                  <c:v>-4.515839165986291</c:v>
                </c:pt>
                <c:pt idx="4">
                  <c:v>-4.142564983025238</c:v>
                </c:pt>
                <c:pt idx="5">
                  <c:v>-3.77934743311645</c:v>
                </c:pt>
                <c:pt idx="6">
                  <c:v>-3.425488857892591</c:v>
                </c:pt>
              </c:numCache>
            </c:numRef>
          </c:yVal>
          <c:smooth val="1"/>
        </c:ser>
        <c:ser>
          <c:idx val="0"/>
          <c:order val="5"/>
          <c:tx>
            <c:strRef>
              <c:f>Ggrid!$L$7</c:f>
              <c:strCache>
                <c:ptCount val="1"/>
                <c:pt idx="0">
                  <c:v>0</c:v>
                </c:pt>
              </c:strCache>
            </c:strRef>
          </c:tx>
          <c:spPr>
            <a:ln w="3175">
              <a:solidFill>
                <a:srgbClr val="000000"/>
              </a:solidFill>
              <a:prstDash val="solid"/>
            </a:ln>
          </c:spPr>
          <c:marker>
            <c:symbol val="none"/>
          </c:marker>
          <c:dLbls>
            <c:dLbl>
              <c:idx val="0"/>
              <c:tx>
                <c:strRef>
                  <c:f>Ggrid!$A$8</c:f>
                  <c:strCache>
                    <c:ptCount val="1"/>
                    <c:pt idx="0">
                      <c:v>200</c:v>
                    </c:pt>
                  </c:strCache>
                </c:strRef>
              </c:tx>
              <c:dLblPos val="l"/>
              <c:showLegendKey val="0"/>
              <c:showVal val="0"/>
              <c:showCatName val="0"/>
              <c:showSerName val="0"/>
              <c:showPercent val="0"/>
              <c:showBubbleSize val="0"/>
            </c:dLbl>
            <c:dLbl>
              <c:idx val="1"/>
              <c:tx>
                <c:strRef>
                  <c:f>Ggrid!$A$9</c:f>
                  <c:strCache>
                    <c:ptCount val="1"/>
                    <c:pt idx="0">
                      <c:v>225</c:v>
                    </c:pt>
                  </c:strCache>
                </c:strRef>
              </c:tx>
              <c:dLblPos val="l"/>
              <c:showLegendKey val="0"/>
              <c:showVal val="0"/>
              <c:showCatName val="0"/>
              <c:showSerName val="0"/>
              <c:showPercent val="0"/>
              <c:showBubbleSize val="0"/>
            </c:dLbl>
            <c:dLbl>
              <c:idx val="2"/>
              <c:tx>
                <c:strRef>
                  <c:f>Ggrid!$A$10</c:f>
                  <c:strCache>
                    <c:ptCount val="1"/>
                    <c:pt idx="0">
                      <c:v>250</c:v>
                    </c:pt>
                  </c:strCache>
                </c:strRef>
              </c:tx>
              <c:dLblPos val="l"/>
              <c:showLegendKey val="0"/>
              <c:showVal val="0"/>
              <c:showCatName val="0"/>
              <c:showSerName val="0"/>
              <c:showPercent val="0"/>
              <c:showBubbleSize val="0"/>
            </c:dLbl>
            <c:dLbl>
              <c:idx val="3"/>
              <c:tx>
                <c:strRef>
                  <c:f>Ggrid!$A$11</c:f>
                  <c:strCache>
                    <c:ptCount val="1"/>
                    <c:pt idx="0">
                      <c:v>275</c:v>
                    </c:pt>
                  </c:strCache>
                </c:strRef>
              </c:tx>
              <c:dLblPos val="l"/>
              <c:showLegendKey val="0"/>
              <c:showVal val="0"/>
              <c:showCatName val="0"/>
              <c:showSerName val="0"/>
              <c:showPercent val="0"/>
              <c:showBubbleSize val="0"/>
            </c:dLbl>
            <c:dLbl>
              <c:idx val="4"/>
              <c:tx>
                <c:strRef>
                  <c:f>Ggrid!$A$12</c:f>
                  <c:strCache>
                    <c:ptCount val="1"/>
                    <c:pt idx="0">
                      <c:v>300</c:v>
                    </c:pt>
                  </c:strCache>
                </c:strRef>
              </c:tx>
              <c:dLblPos val="l"/>
              <c:showLegendKey val="0"/>
              <c:showVal val="0"/>
              <c:showCatName val="0"/>
              <c:showSerName val="0"/>
              <c:showPercent val="0"/>
              <c:showBubbleSize val="0"/>
            </c:dLbl>
            <c:dLbl>
              <c:idx val="5"/>
              <c:tx>
                <c:strRef>
                  <c:f>Ggrid!$A$13</c:f>
                  <c:strCache>
                    <c:ptCount val="1"/>
                    <c:pt idx="0">
                      <c:v>325</c:v>
                    </c:pt>
                  </c:strCache>
                </c:strRef>
              </c:tx>
              <c:dLblPos val="l"/>
              <c:showLegendKey val="0"/>
              <c:showVal val="0"/>
              <c:showCatName val="0"/>
              <c:showSerName val="0"/>
              <c:showPercent val="0"/>
              <c:showBubbleSize val="0"/>
            </c:dLbl>
            <c:dLbl>
              <c:idx val="6"/>
              <c:tx>
                <c:strRef>
                  <c:f>Ggrid!$A$14</c:f>
                  <c:strCache>
                    <c:ptCount val="1"/>
                    <c:pt idx="0">
                      <c:v>350</c:v>
                    </c:pt>
                  </c:strCache>
                </c:strRef>
              </c:tx>
              <c:dLblPos val="l"/>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Ggrid!$L$8:$L$14</c:f>
              <c:numCache>
                <c:formatCode>0.00</c:formatCode>
                <c:ptCount val="7"/>
                <c:pt idx="0">
                  <c:v>-24.62103145512884</c:v>
                </c:pt>
                <c:pt idx="1">
                  <c:v>-22.84163042324771</c:v>
                </c:pt>
                <c:pt idx="2">
                  <c:v>-21.10933964265839</c:v>
                </c:pt>
                <c:pt idx="3">
                  <c:v>-19.41752113904696</c:v>
                </c:pt>
                <c:pt idx="4">
                  <c:v>-17.76071203062698</c:v>
                </c:pt>
                <c:pt idx="5">
                  <c:v>-16.13437680953224</c:v>
                </c:pt>
                <c:pt idx="6">
                  <c:v>-14.53471960236702</c:v>
                </c:pt>
              </c:numCache>
            </c:numRef>
          </c:xVal>
          <c:yVal>
            <c:numRef>
              <c:f>Ggrid!$L$48:$L$54</c:f>
              <c:numCache>
                <c:formatCode>0.00</c:formatCode>
                <c:ptCount val="7"/>
                <c:pt idx="0">
                  <c:v>-5.747931119596163</c:v>
                </c:pt>
                <c:pt idx="1">
                  <c:v>-5.322972515450481</c:v>
                </c:pt>
                <c:pt idx="2">
                  <c:v>-4.916237061716224</c:v>
                </c:pt>
                <c:pt idx="3">
                  <c:v>-4.525183113228896</c:v>
                </c:pt>
                <c:pt idx="4">
                  <c:v>-4.147716751112243</c:v>
                </c:pt>
                <c:pt idx="5">
                  <c:v>-3.782097672282726</c:v>
                </c:pt>
                <c:pt idx="6">
                  <c:v>-3.426867821940069</c:v>
                </c:pt>
              </c:numCache>
            </c:numRef>
          </c:yVal>
          <c:smooth val="1"/>
        </c:ser>
        <c:ser>
          <c:idx val="5"/>
          <c:order val="6"/>
          <c:tx>
            <c:strRef>
              <c:f>Ggrid!$A$8</c:f>
              <c:strCache>
                <c:ptCount val="1"/>
                <c:pt idx="0">
                  <c:v>200</c:v>
                </c:pt>
              </c:strCache>
            </c:strRef>
          </c:tx>
          <c:spPr>
            <a:ln w="3175">
              <a:solidFill>
                <a:srgbClr val="000000"/>
              </a:solidFill>
              <a:prstDash val="solid"/>
            </a:ln>
          </c:spPr>
          <c:marker>
            <c:symbol val="none"/>
          </c:marker>
          <c:dLbls>
            <c:dLbl>
              <c:idx val="0"/>
              <c:tx>
                <c:strRef>
                  <c:f>Ggrid!$G$7</c:f>
                  <c:strCache>
                    <c:ptCount val="1"/>
                    <c:pt idx="0">
                      <c:v>1</c:v>
                    </c:pt>
                  </c:strCache>
                </c:strRef>
              </c:tx>
              <c:dLblPos val="b"/>
              <c:showLegendKey val="0"/>
              <c:showVal val="0"/>
              <c:showCatName val="0"/>
              <c:showSerName val="0"/>
              <c:showPercent val="0"/>
              <c:showBubbleSize val="0"/>
            </c:dLbl>
            <c:dLbl>
              <c:idx val="1"/>
              <c:tx>
                <c:strRef>
                  <c:f>Ggrid!$H$7</c:f>
                  <c:strCache>
                    <c:ptCount val="1"/>
                    <c:pt idx="0">
                      <c:v>0.3</c:v>
                    </c:pt>
                  </c:strCache>
                </c:strRef>
              </c:tx>
              <c:dLblPos val="b"/>
              <c:showLegendKey val="0"/>
              <c:showVal val="0"/>
              <c:showCatName val="0"/>
              <c:showSerName val="0"/>
              <c:showPercent val="0"/>
              <c:showBubbleSize val="0"/>
            </c:dLbl>
            <c:dLbl>
              <c:idx val="2"/>
              <c:tx>
                <c:strRef>
                  <c:f>Ggrid!$I$7</c:f>
                  <c:strCache>
                    <c:ptCount val="1"/>
                    <c:pt idx="0">
                      <c:v>0.1</c:v>
                    </c:pt>
                  </c:strCache>
                </c:strRef>
              </c:tx>
              <c:dLblPos val="b"/>
              <c:showLegendKey val="0"/>
              <c:showVal val="0"/>
              <c:showCatName val="0"/>
              <c:showSerName val="0"/>
              <c:showPercent val="0"/>
              <c:showBubbleSize val="0"/>
            </c:dLbl>
            <c:dLbl>
              <c:idx val="3"/>
              <c:tx>
                <c:strRef>
                  <c:f>Ggrid!$J$7</c:f>
                  <c:strCache>
                    <c:ptCount val="1"/>
                    <c:pt idx="0">
                      <c:v>0.01</c:v>
                    </c:pt>
                  </c:strCache>
                </c:strRef>
              </c:tx>
              <c:dLblPos val="b"/>
              <c:showLegendKey val="0"/>
              <c:showVal val="0"/>
              <c:showCatName val="0"/>
              <c:showSerName val="0"/>
              <c:showPercent val="0"/>
              <c:showBubbleSize val="0"/>
            </c:dLbl>
            <c:dLbl>
              <c:idx val="4"/>
              <c:tx>
                <c:strRef>
                  <c:f>Ggrid!$K$7</c:f>
                  <c:strCache>
                    <c:ptCount val="1"/>
                    <c:pt idx="0">
                      <c:v>0.001</c:v>
                    </c:pt>
                  </c:strCache>
                </c:strRef>
              </c:tx>
              <c:dLblPos val="b"/>
              <c:showLegendKey val="0"/>
              <c:showVal val="0"/>
              <c:showCatName val="0"/>
              <c:showSerName val="0"/>
              <c:showPercent val="0"/>
              <c:showBubbleSize val="0"/>
            </c:dLbl>
            <c:dLbl>
              <c:idx val="5"/>
              <c:tx>
                <c:strRef>
                  <c:f>Ggrid!$L$7</c:f>
                  <c:strCache>
                    <c:ptCount val="1"/>
                    <c:pt idx="0">
                      <c:v>0</c:v>
                    </c:pt>
                  </c:strCache>
                </c:strRef>
              </c:tx>
              <c:dLblPos val="b"/>
              <c:showLegendKey val="0"/>
              <c:showVal val="0"/>
              <c:showCatName val="0"/>
              <c:showSerName val="0"/>
              <c:showPercent val="0"/>
              <c:showBubbleSize val="0"/>
            </c:dLbl>
            <c:spPr>
              <a:noFill/>
              <a:ln w="25400">
                <a:noFill/>
              </a:ln>
            </c:spPr>
            <c:txPr>
              <a:bodyPr rot="-5400000" vert="horz"/>
              <a:lstStyle/>
              <a:p>
                <a:pPr algn="ctr">
                  <a:defRPr sz="1200" b="0" i="0" u="none" strike="noStrike" baseline="0">
                    <a:solidFill>
                      <a:srgbClr val="000000"/>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Ggrid!$G$8:$L$8</c:f>
              <c:numCache>
                <c:formatCode>0.00</c:formatCode>
                <c:ptCount val="6"/>
                <c:pt idx="0">
                  <c:v>-11.66883145512884</c:v>
                </c:pt>
                <c:pt idx="1">
                  <c:v>-13.75662153358427</c:v>
                </c:pt>
                <c:pt idx="2">
                  <c:v>-15.65455861827444</c:v>
                </c:pt>
                <c:pt idx="3">
                  <c:v>-19.52395461139317</c:v>
                </c:pt>
                <c:pt idx="4">
                  <c:v>-22.72127418361749</c:v>
                </c:pt>
                <c:pt idx="5">
                  <c:v>-24.62103145512884</c:v>
                </c:pt>
              </c:numCache>
            </c:numRef>
          </c:xVal>
          <c:yVal>
            <c:numRef>
              <c:f>Ggrid!$G$48:$L$48</c:f>
              <c:numCache>
                <c:formatCode>0.00</c:formatCode>
                <c:ptCount val="6"/>
                <c:pt idx="0">
                  <c:v>-3.655231119596163</c:v>
                </c:pt>
                <c:pt idx="1">
                  <c:v>-4.170000254636765</c:v>
                </c:pt>
                <c:pt idx="2">
                  <c:v>-4.624752290104635</c:v>
                </c:pt>
                <c:pt idx="3">
                  <c:v>-5.40002740430138</c:v>
                </c:pt>
                <c:pt idx="4">
                  <c:v>-5.697630991869818</c:v>
                </c:pt>
                <c:pt idx="5">
                  <c:v>-5.747931119596163</c:v>
                </c:pt>
              </c:numCache>
            </c:numRef>
          </c:yVal>
          <c:smooth val="1"/>
        </c:ser>
        <c:ser>
          <c:idx val="6"/>
          <c:order val="7"/>
          <c:tx>
            <c:strRef>
              <c:f>Ggrid!$A$9</c:f>
              <c:strCache>
                <c:ptCount val="1"/>
                <c:pt idx="0">
                  <c:v>225</c:v>
                </c:pt>
              </c:strCache>
            </c:strRef>
          </c:tx>
          <c:spPr>
            <a:ln w="3175">
              <a:solidFill>
                <a:srgbClr val="000000"/>
              </a:solidFill>
              <a:prstDash val="solid"/>
            </a:ln>
          </c:spPr>
          <c:marker>
            <c:symbol val="none"/>
          </c:marker>
          <c:xVal>
            <c:numRef>
              <c:f>Ggrid!$G$9:$L$9</c:f>
              <c:numCache>
                <c:formatCode>0.00</c:formatCode>
                <c:ptCount val="6"/>
                <c:pt idx="0">
                  <c:v>-11.21968042324771</c:v>
                </c:pt>
                <c:pt idx="1">
                  <c:v>-13.30383137213727</c:v>
                </c:pt>
                <c:pt idx="2">
                  <c:v>-15.19161051136909</c:v>
                </c:pt>
                <c:pt idx="3">
                  <c:v>-18.94952111205519</c:v>
                </c:pt>
                <c:pt idx="4">
                  <c:v>-21.69469066030357</c:v>
                </c:pt>
                <c:pt idx="5">
                  <c:v>-22.84163042324771</c:v>
                </c:pt>
              </c:numCache>
            </c:numRef>
          </c:xVal>
          <c:yVal>
            <c:numRef>
              <c:f>Ggrid!$G$49:$L$49</c:f>
              <c:numCache>
                <c:formatCode>0.00</c:formatCode>
                <c:ptCount val="6"/>
                <c:pt idx="0">
                  <c:v>-3.475522515450481</c:v>
                </c:pt>
                <c:pt idx="1">
                  <c:v>-3.984236492816137</c:v>
                </c:pt>
                <c:pt idx="2">
                  <c:v>-4.42326076699532</c:v>
                </c:pt>
                <c:pt idx="3">
                  <c:v>-5.094110080476808</c:v>
                </c:pt>
                <c:pt idx="4">
                  <c:v>-5.293840409432691</c:v>
                </c:pt>
                <c:pt idx="5">
                  <c:v>-5.322972515450481</c:v>
                </c:pt>
              </c:numCache>
            </c:numRef>
          </c:yVal>
          <c:smooth val="1"/>
        </c:ser>
        <c:ser>
          <c:idx val="7"/>
          <c:order val="8"/>
          <c:tx>
            <c:strRef>
              <c:f>Ggrid!$A$10</c:f>
              <c:strCache>
                <c:ptCount val="1"/>
                <c:pt idx="0">
                  <c:v>250</c:v>
                </c:pt>
              </c:strCache>
            </c:strRef>
          </c:tx>
          <c:spPr>
            <a:ln w="3175">
              <a:solidFill>
                <a:srgbClr val="000000"/>
              </a:solidFill>
              <a:prstDash val="solid"/>
            </a:ln>
          </c:spPr>
          <c:marker>
            <c:symbol val="none"/>
          </c:marker>
          <c:xVal>
            <c:numRef>
              <c:f>Ggrid!$G$10:$L$10</c:f>
              <c:numCache>
                <c:formatCode>0.00</c:formatCode>
                <c:ptCount val="6"/>
                <c:pt idx="0">
                  <c:v>-10.8176396426584</c:v>
                </c:pt>
                <c:pt idx="1">
                  <c:v>-12.89451131143589</c:v>
                </c:pt>
                <c:pt idx="2">
                  <c:v>-14.76233380538725</c:v>
                </c:pt>
                <c:pt idx="3">
                  <c:v>-18.32580747494376</c:v>
                </c:pt>
                <c:pt idx="4">
                  <c:v>-20.48402836046559</c:v>
                </c:pt>
                <c:pt idx="5">
                  <c:v>-21.10933964265839</c:v>
                </c:pt>
              </c:numCache>
            </c:numRef>
          </c:xVal>
          <c:yVal>
            <c:numRef>
              <c:f>Ggrid!$G$50:$L$50</c:f>
              <c:numCache>
                <c:formatCode>0.00</c:formatCode>
                <c:ptCount val="6"/>
                <c:pt idx="0">
                  <c:v>-3.314037061716223</c:v>
                </c:pt>
                <c:pt idx="1">
                  <c:v>-3.81230104792641</c:v>
                </c:pt>
                <c:pt idx="2">
                  <c:v>-4.22592668551063</c:v>
                </c:pt>
                <c:pt idx="3">
                  <c:v>-4.773181966571056</c:v>
                </c:pt>
                <c:pt idx="4">
                  <c:v>-4.899616123191828</c:v>
                </c:pt>
                <c:pt idx="5">
                  <c:v>-4.916237061716224</c:v>
                </c:pt>
              </c:numCache>
            </c:numRef>
          </c:yVal>
          <c:smooth val="1"/>
        </c:ser>
        <c:ser>
          <c:idx val="8"/>
          <c:order val="9"/>
          <c:tx>
            <c:strRef>
              <c:f>Ggrid!$A$11</c:f>
              <c:strCache>
                <c:ptCount val="1"/>
                <c:pt idx="0">
                  <c:v>275</c:v>
                </c:pt>
              </c:strCache>
            </c:strRef>
          </c:tx>
          <c:spPr>
            <a:ln w="3175">
              <a:solidFill>
                <a:srgbClr val="000000"/>
              </a:solidFill>
              <a:prstDash val="solid"/>
            </a:ln>
          </c:spPr>
          <c:marker>
            <c:symbol val="none"/>
          </c:marker>
          <c:xVal>
            <c:numRef>
              <c:f>Ggrid!$G$11:$L$11</c:f>
              <c:numCache>
                <c:formatCode>0.00</c:formatCode>
                <c:ptCount val="6"/>
                <c:pt idx="0">
                  <c:v>-10.45607113904697</c:v>
                </c:pt>
                <c:pt idx="1">
                  <c:v>-12.51832143649778</c:v>
                </c:pt>
                <c:pt idx="2">
                  <c:v>-14.34728946528636</c:v>
                </c:pt>
                <c:pt idx="3">
                  <c:v>-17.59058544008165</c:v>
                </c:pt>
                <c:pt idx="4">
                  <c:v>-19.10394038728131</c:v>
                </c:pt>
                <c:pt idx="5">
                  <c:v>-19.41752113904696</c:v>
                </c:pt>
              </c:numCache>
            </c:numRef>
          </c:xVal>
          <c:yVal>
            <c:numRef>
              <c:f>Ggrid!$G$51:$L$51</c:f>
              <c:numCache>
                <c:formatCode>0.00</c:formatCode>
                <c:ptCount val="6"/>
                <c:pt idx="0">
                  <c:v>-3.168233113228895</c:v>
                </c:pt>
                <c:pt idx="1">
                  <c:v>-3.64870508883775</c:v>
                </c:pt>
                <c:pt idx="2">
                  <c:v>-4.023461883294537</c:v>
                </c:pt>
                <c:pt idx="3">
                  <c:v>-4.439720010706445</c:v>
                </c:pt>
                <c:pt idx="4">
                  <c:v>-4.515839165986291</c:v>
                </c:pt>
                <c:pt idx="5">
                  <c:v>-4.525183113228896</c:v>
                </c:pt>
              </c:numCache>
            </c:numRef>
          </c:yVal>
          <c:smooth val="1"/>
        </c:ser>
        <c:ser>
          <c:idx val="9"/>
          <c:order val="10"/>
          <c:tx>
            <c:strRef>
              <c:f>Ggrid!$A$12</c:f>
              <c:strCache>
                <c:ptCount val="1"/>
                <c:pt idx="0">
                  <c:v>300</c:v>
                </c:pt>
              </c:strCache>
            </c:strRef>
          </c:tx>
          <c:spPr>
            <a:ln w="3175">
              <a:solidFill>
                <a:srgbClr val="000000"/>
              </a:solidFill>
              <a:prstDash val="solid"/>
            </a:ln>
          </c:spPr>
          <c:marker>
            <c:symbol val="none"/>
          </c:marker>
          <c:xVal>
            <c:numRef>
              <c:f>Ggrid!$G$12:$L$12</c:f>
              <c:numCache>
                <c:formatCode>0.00</c:formatCode>
                <c:ptCount val="6"/>
                <c:pt idx="0">
                  <c:v>-10.12951203062698</c:v>
                </c:pt>
                <c:pt idx="1">
                  <c:v>-12.1623591248654</c:v>
                </c:pt>
                <c:pt idx="2">
                  <c:v>-13.91724704951564</c:v>
                </c:pt>
                <c:pt idx="3">
                  <c:v>-16.67880538459116</c:v>
                </c:pt>
                <c:pt idx="4">
                  <c:v>-17.61197627437573</c:v>
                </c:pt>
                <c:pt idx="5">
                  <c:v>-17.76071203062698</c:v>
                </c:pt>
              </c:numCache>
            </c:numRef>
          </c:xVal>
          <c:yVal>
            <c:numRef>
              <c:f>Ggrid!$G$52:$L$52</c:f>
              <c:numCache>
                <c:formatCode>0.00</c:formatCode>
                <c:ptCount val="6"/>
                <c:pt idx="0">
                  <c:v>-3.036016751112241</c:v>
                </c:pt>
                <c:pt idx="1">
                  <c:v>-3.486860143614569</c:v>
                </c:pt>
                <c:pt idx="2">
                  <c:v>-3.806618286502488</c:v>
                </c:pt>
                <c:pt idx="3">
                  <c:v>-4.098758523873831</c:v>
                </c:pt>
                <c:pt idx="4">
                  <c:v>-4.142564983025238</c:v>
                </c:pt>
                <c:pt idx="5">
                  <c:v>-4.147716751112243</c:v>
                </c:pt>
              </c:numCache>
            </c:numRef>
          </c:yVal>
          <c:smooth val="1"/>
        </c:ser>
        <c:ser>
          <c:idx val="10"/>
          <c:order val="11"/>
          <c:tx>
            <c:strRef>
              <c:f>Ggrid!$A$13</c:f>
              <c:strCache>
                <c:ptCount val="1"/>
                <c:pt idx="0">
                  <c:v>325</c:v>
                </c:pt>
              </c:strCache>
            </c:strRef>
          </c:tx>
          <c:spPr>
            <a:ln w="3175">
              <a:solidFill>
                <a:srgbClr val="000000"/>
              </a:solidFill>
              <a:prstDash val="solid"/>
            </a:ln>
          </c:spPr>
          <c:marker>
            <c:symbol val="none"/>
          </c:marker>
          <c:xVal>
            <c:numRef>
              <c:f>Ggrid!$G$13:$L$13</c:f>
              <c:numCache>
                <c:formatCode>0.00</c:formatCode>
                <c:ptCount val="6"/>
                <c:pt idx="0">
                  <c:v>-9.833426809532237</c:v>
                </c:pt>
                <c:pt idx="1">
                  <c:v>-11.80742128940501</c:v>
                </c:pt>
                <c:pt idx="2">
                  <c:v>-13.42676775616523</c:v>
                </c:pt>
                <c:pt idx="3">
                  <c:v>-15.55772680723334</c:v>
                </c:pt>
                <c:pt idx="4">
                  <c:v>-16.06623845928295</c:v>
                </c:pt>
                <c:pt idx="5">
                  <c:v>-16.13437680953224</c:v>
                </c:pt>
              </c:numCache>
            </c:numRef>
          </c:xVal>
          <c:yVal>
            <c:numRef>
              <c:f>Ggrid!$G$53:$L$53</c:f>
              <c:numCache>
                <c:formatCode>0.00</c:formatCode>
                <c:ptCount val="6"/>
                <c:pt idx="0">
                  <c:v>-2.915647672282725</c:v>
                </c:pt>
                <c:pt idx="1">
                  <c:v>-3.318828064470903</c:v>
                </c:pt>
                <c:pt idx="2">
                  <c:v>-3.568506784951481</c:v>
                </c:pt>
                <c:pt idx="3">
                  <c:v>-3.755348934356414</c:v>
                </c:pt>
                <c:pt idx="4">
                  <c:v>-3.77934743311645</c:v>
                </c:pt>
                <c:pt idx="5">
                  <c:v>-3.782097672282726</c:v>
                </c:pt>
              </c:numCache>
            </c:numRef>
          </c:yVal>
          <c:smooth val="1"/>
        </c:ser>
        <c:ser>
          <c:idx val="11"/>
          <c:order val="12"/>
          <c:tx>
            <c:strRef>
              <c:f>Ggrid!$A$14</c:f>
              <c:strCache>
                <c:ptCount val="1"/>
                <c:pt idx="0">
                  <c:v>350</c:v>
                </c:pt>
              </c:strCache>
            </c:strRef>
          </c:tx>
          <c:spPr>
            <a:ln w="3175">
              <a:solidFill>
                <a:srgbClr val="000000"/>
              </a:solidFill>
              <a:prstDash val="solid"/>
            </a:ln>
          </c:spPr>
          <c:marker>
            <c:symbol val="none"/>
          </c:marker>
          <c:xVal>
            <c:numRef>
              <c:f>Ggrid!$G$14:$L$14</c:f>
              <c:numCache>
                <c:formatCode>0.00</c:formatCode>
                <c:ptCount val="6"/>
                <c:pt idx="0">
                  <c:v>-9.564019602367016</c:v>
                </c:pt>
                <c:pt idx="1">
                  <c:v>-11.42204821801093</c:v>
                </c:pt>
                <c:pt idx="2">
                  <c:v>-12.81149971029301</c:v>
                </c:pt>
                <c:pt idx="3">
                  <c:v>-14.25458143034415</c:v>
                </c:pt>
                <c:pt idx="4">
                  <c:v>-14.50438663994717</c:v>
                </c:pt>
                <c:pt idx="5">
                  <c:v>-14.53471960236702</c:v>
                </c:pt>
              </c:numCache>
            </c:numRef>
          </c:xVal>
          <c:yVal>
            <c:numRef>
              <c:f>Ggrid!$G$54:$L$54</c:f>
              <c:numCache>
                <c:formatCode>0.00</c:formatCode>
                <c:ptCount val="6"/>
                <c:pt idx="0">
                  <c:v>-2.805667821940069</c:v>
                </c:pt>
                <c:pt idx="1">
                  <c:v>-3.135928040988709</c:v>
                </c:pt>
                <c:pt idx="2">
                  <c:v>-3.306944889373352</c:v>
                </c:pt>
                <c:pt idx="3">
                  <c:v>-3.413271337511348</c:v>
                </c:pt>
                <c:pt idx="4">
                  <c:v>-3.425488857892591</c:v>
                </c:pt>
                <c:pt idx="5">
                  <c:v>-3.426867821940069</c:v>
                </c:pt>
              </c:numCache>
            </c:numRef>
          </c:yVal>
          <c:smooth val="1"/>
        </c:ser>
        <c:ser>
          <c:idx val="4"/>
          <c:order val="13"/>
          <c:tx>
            <c:v>data</c:v>
          </c:tx>
          <c:spPr>
            <a:ln w="28575">
              <a:noFill/>
            </a:ln>
          </c:spPr>
          <c:marker>
            <c:symbol val="diamond"/>
            <c:size val="7"/>
            <c:spPr>
              <a:solidFill>
                <a:srgbClr val="800080"/>
              </a:solidFill>
              <a:ln>
                <a:solidFill>
                  <a:srgbClr val="800080"/>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input!$BB$11:$BB$40</c:f>
              <c:numCache>
                <c:formatCode>0.00</c:formatCode>
                <c:ptCount val="30"/>
                <c:pt idx="0">
                  <c:v>-21.13890462847801</c:v>
                </c:pt>
                <c:pt idx="1">
                  <c:v>-10.04661094995709</c:v>
                </c:pt>
                <c:pt idx="2">
                  <c:v>-14.25223866757039</c:v>
                </c:pt>
                <c:pt idx="3">
                  <c:v>-8.500403599989176</c:v>
                </c:pt>
                <c:pt idx="4">
                  <c:v>-3.635383132302186</c:v>
                </c:pt>
                <c:pt idx="5">
                  <c:v>-15.44103523720488</c:v>
                </c:pt>
                <c:pt idx="6">
                  <c:v>-15.5701735668457</c:v>
                </c:pt>
                <c:pt idx="7">
                  <c:v>-10.06405086058366</c:v>
                </c:pt>
                <c:pt idx="8">
                  <c:v>-2.146683499677189</c:v>
                </c:pt>
                <c:pt idx="9">
                  <c:v>-8.357729026573728</c:v>
                </c:pt>
                <c:pt idx="10">
                  <c:v>-13.79170463415702</c:v>
                </c:pt>
                <c:pt idx="11">
                  <c:v>-20.08734067557031</c:v>
                </c:pt>
                <c:pt idx="12">
                  <c:v>-11.96576657981176</c:v>
                </c:pt>
                <c:pt idx="13">
                  <c:v>-19.98161304373061</c:v>
                </c:pt>
                <c:pt idx="14">
                  <c:v>-5.460456153829234</c:v>
                </c:pt>
                <c:pt idx="15">
                  <c:v>-4.142498085358394</c:v>
                </c:pt>
                <c:pt idx="16">
                  <c:v>-8.792543865410534</c:v>
                </c:pt>
                <c:pt idx="17">
                  <c:v>-7.122567296770798</c:v>
                </c:pt>
                <c:pt idx="18">
                  <c:v>-16.08843074183035</c:v>
                </c:pt>
                <c:pt idx="19">
                  <c:v>-17.21542644803975</c:v>
                </c:pt>
                <c:pt idx="20">
                  <c:v>0.0</c:v>
                </c:pt>
                <c:pt idx="21">
                  <c:v>0.0</c:v>
                </c:pt>
                <c:pt idx="22">
                  <c:v>0.0</c:v>
                </c:pt>
                <c:pt idx="23">
                  <c:v>0.0</c:v>
                </c:pt>
                <c:pt idx="24">
                  <c:v>0.0</c:v>
                </c:pt>
                <c:pt idx="25">
                  <c:v>0.0</c:v>
                </c:pt>
                <c:pt idx="26">
                  <c:v>0.0</c:v>
                </c:pt>
                <c:pt idx="27">
                  <c:v>0.0</c:v>
                </c:pt>
                <c:pt idx="28">
                  <c:v>0.0</c:v>
                </c:pt>
                <c:pt idx="29">
                  <c:v>0.0</c:v>
                </c:pt>
              </c:numCache>
            </c:numRef>
          </c:xVal>
          <c:yVal>
            <c:numRef>
              <c:f>input!$BF$11:$BF$40</c:f>
              <c:numCache>
                <c:formatCode>0.00</c:formatCode>
                <c:ptCount val="30"/>
                <c:pt idx="0">
                  <c:v>-4.698970004336019</c:v>
                </c:pt>
                <c:pt idx="1">
                  <c:v>-2.155978689490214</c:v>
                </c:pt>
                <c:pt idx="2">
                  <c:v>-2.739260980089589</c:v>
                </c:pt>
                <c:pt idx="3">
                  <c:v>-1.853871964321762</c:v>
                </c:pt>
                <c:pt idx="4">
                  <c:v>-1.789413975094843</c:v>
                </c:pt>
                <c:pt idx="5">
                  <c:v>-2.668572703479257</c:v>
                </c:pt>
                <c:pt idx="6">
                  <c:v>-3.229442525149005</c:v>
                </c:pt>
                <c:pt idx="7">
                  <c:v>-2.580374639112257</c:v>
                </c:pt>
                <c:pt idx="8">
                  <c:v>-0.759761072903811</c:v>
                </c:pt>
                <c:pt idx="9">
                  <c:v>-2.027056991894432</c:v>
                </c:pt>
                <c:pt idx="10">
                  <c:v>-3.148741651280925</c:v>
                </c:pt>
                <c:pt idx="11">
                  <c:v>-3.006248949277001</c:v>
                </c:pt>
                <c:pt idx="12">
                  <c:v>-2.397505931192719</c:v>
                </c:pt>
                <c:pt idx="13">
                  <c:v>-3.742561433140186</c:v>
                </c:pt>
                <c:pt idx="14">
                  <c:v>-1.745355262645378</c:v>
                </c:pt>
                <c:pt idx="15">
                  <c:v>-1.823908740944319</c:v>
                </c:pt>
                <c:pt idx="16">
                  <c:v>-2.05453141486818</c:v>
                </c:pt>
                <c:pt idx="17">
                  <c:v>-1.616184634019569</c:v>
                </c:pt>
                <c:pt idx="18">
                  <c:v>-3.437231456983481</c:v>
                </c:pt>
                <c:pt idx="19">
                  <c:v>-3.853871964321762</c:v>
                </c:pt>
                <c:pt idx="20">
                  <c:v>-3.058687374639338</c:v>
                </c:pt>
                <c:pt idx="21">
                  <c:v>0.0</c:v>
                </c:pt>
                <c:pt idx="22">
                  <c:v>0.0</c:v>
                </c:pt>
                <c:pt idx="23">
                  <c:v>0.0</c:v>
                </c:pt>
                <c:pt idx="24">
                  <c:v>0.0</c:v>
                </c:pt>
                <c:pt idx="25">
                  <c:v>0.0</c:v>
                </c:pt>
                <c:pt idx="26">
                  <c:v>0.0</c:v>
                </c:pt>
                <c:pt idx="27">
                  <c:v>0.0</c:v>
                </c:pt>
                <c:pt idx="28">
                  <c:v>0.0</c:v>
                </c:pt>
                <c:pt idx="29">
                  <c:v>0.0</c:v>
                </c:pt>
              </c:numCache>
            </c:numRef>
          </c:yVal>
          <c:smooth val="1"/>
        </c:ser>
        <c:dLbls>
          <c:showLegendKey val="0"/>
          <c:showVal val="0"/>
          <c:showCatName val="0"/>
          <c:showSerName val="0"/>
          <c:showPercent val="0"/>
          <c:showBubbleSize val="0"/>
        </c:dLbls>
        <c:axId val="2099011032"/>
        <c:axId val="2099016872"/>
      </c:scatterChart>
      <c:valAx>
        <c:axId val="2099011032"/>
        <c:scaling>
          <c:orientation val="minMax"/>
          <c:max val="-8.0"/>
          <c:min val="-26.0"/>
        </c:scaling>
        <c:delete val="0"/>
        <c:axPos val="b"/>
        <c:title>
          <c:tx>
            <c:rich>
              <a:bodyPr/>
              <a:lstStyle/>
              <a:p>
                <a:pPr>
                  <a:defRPr sz="1200" b="1" i="0" u="none" strike="noStrike" baseline="0">
                    <a:solidFill>
                      <a:srgbClr val="000000"/>
                    </a:solidFill>
                    <a:latin typeface="Arial"/>
                    <a:ea typeface="Arial"/>
                    <a:cs typeface="Arial"/>
                  </a:defRPr>
                </a:pPr>
                <a:r>
                  <a:t>FT  log (rCO2) + 4 log (rH2) - log (rCH4)  (WG 1980)</a:t>
                </a:r>
              </a:p>
            </c:rich>
          </c:tx>
          <c:layout>
            <c:manualLayout>
              <c:xMode val="edge"/>
              <c:yMode val="edge"/>
              <c:x val="0.318531169940222"/>
              <c:y val="0.957040572792363"/>
            </c:manualLayout>
          </c:layout>
          <c:overlay val="0"/>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99016872"/>
        <c:crossesAt val="-25.0"/>
        <c:crossBetween val="midCat"/>
        <c:majorUnit val="2.0"/>
        <c:minorUnit val="1.0"/>
      </c:valAx>
      <c:valAx>
        <c:axId val="2099016872"/>
        <c:scaling>
          <c:orientation val="minMax"/>
          <c:max val="-2.5"/>
          <c:min val="-6.5"/>
        </c:scaling>
        <c:delete val="0"/>
        <c:axPos val="l"/>
        <c:title>
          <c:tx>
            <c:rich>
              <a:bodyPr/>
              <a:lstStyle/>
              <a:p>
                <a:pPr>
                  <a:defRPr sz="1200" b="1" i="0" u="none" strike="noStrike" baseline="0">
                    <a:solidFill>
                      <a:srgbClr val="000000"/>
                    </a:solidFill>
                    <a:latin typeface="Arial"/>
                    <a:ea typeface="Arial"/>
                    <a:cs typeface="Arial"/>
                  </a:defRPr>
                </a:pPr>
                <a:r>
                  <a:t>log (rH2S)  (WG 1997)</a:t>
                </a:r>
              </a:p>
            </c:rich>
          </c:tx>
          <c:layout>
            <c:manualLayout>
              <c:xMode val="edge"/>
              <c:yMode val="edge"/>
              <c:x val="0.0204953031596926"/>
              <c:y val="0.359188544152745"/>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99011032"/>
        <c:crossesAt val="-35.0"/>
        <c:crossBetween val="midCat"/>
        <c:majorUnit val="0.5"/>
      </c:valAx>
      <c:spPr>
        <a:no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819812126387703"/>
          <c:y val="0.0346062052505966"/>
          <c:w val="0.871050384286934"/>
          <c:h val="0.866348448687351"/>
        </c:manualLayout>
      </c:layout>
      <c:scatterChart>
        <c:scatterStyle val="smoothMarker"/>
        <c:varyColors val="0"/>
        <c:ser>
          <c:idx val="4"/>
          <c:order val="0"/>
          <c:tx>
            <c:strRef>
              <c:f>Ggrid!$G$7</c:f>
              <c:strCache>
                <c:ptCount val="1"/>
                <c:pt idx="0">
                  <c:v>1</c:v>
                </c:pt>
              </c:strCache>
            </c:strRef>
          </c:tx>
          <c:spPr>
            <a:ln w="3175">
              <a:solidFill>
                <a:srgbClr val="000000"/>
              </a:solidFill>
              <a:prstDash val="solid"/>
            </a:ln>
          </c:spPr>
          <c:marker>
            <c:symbol val="none"/>
          </c:marker>
          <c:xVal>
            <c:numRef>
              <c:f>Ggrid!$G$8:$G$14</c:f>
              <c:numCache>
                <c:formatCode>0.00</c:formatCode>
                <c:ptCount val="7"/>
                <c:pt idx="0">
                  <c:v>-11.66883145512884</c:v>
                </c:pt>
                <c:pt idx="1">
                  <c:v>-11.21968042324771</c:v>
                </c:pt>
                <c:pt idx="2">
                  <c:v>-10.8176396426584</c:v>
                </c:pt>
                <c:pt idx="3">
                  <c:v>-10.45607113904697</c:v>
                </c:pt>
                <c:pt idx="4">
                  <c:v>-10.12951203062698</c:v>
                </c:pt>
                <c:pt idx="5">
                  <c:v>-9.833426809532237</c:v>
                </c:pt>
                <c:pt idx="6">
                  <c:v>-9.564019602367016</c:v>
                </c:pt>
              </c:numCache>
            </c:numRef>
          </c:xVal>
          <c:yVal>
            <c:numRef>
              <c:f>Ggrid!$G$68:$G$74</c:f>
              <c:numCache>
                <c:formatCode>0.00</c:formatCode>
                <c:ptCount val="7"/>
                <c:pt idx="0">
                  <c:v>-1.689313149194472</c:v>
                </c:pt>
                <c:pt idx="1">
                  <c:v>-1.513074322679398</c:v>
                </c:pt>
                <c:pt idx="2">
                  <c:v>-1.314573964201884</c:v>
                </c:pt>
                <c:pt idx="3">
                  <c:v>-1.096811215418678</c:v>
                </c:pt>
                <c:pt idx="4">
                  <c:v>-0.862265965771928</c:v>
                </c:pt>
                <c:pt idx="5">
                  <c:v>-0.61300686960714</c:v>
                </c:pt>
                <c:pt idx="6">
                  <c:v>-0.350773439917597</c:v>
                </c:pt>
              </c:numCache>
            </c:numRef>
          </c:yVal>
          <c:smooth val="1"/>
        </c:ser>
        <c:ser>
          <c:idx val="12"/>
          <c:order val="1"/>
          <c:tx>
            <c:strRef>
              <c:f>Ggrid!$H$7</c:f>
              <c:strCache>
                <c:ptCount val="1"/>
                <c:pt idx="0">
                  <c:v>0.3</c:v>
                </c:pt>
              </c:strCache>
            </c:strRef>
          </c:tx>
          <c:spPr>
            <a:ln w="3175">
              <a:solidFill>
                <a:srgbClr val="000000"/>
              </a:solidFill>
              <a:prstDash val="solid"/>
            </a:ln>
          </c:spPr>
          <c:marker>
            <c:symbol val="none"/>
          </c:marker>
          <c:xVal>
            <c:numRef>
              <c:f>Ggrid!$H$8:$H$14</c:f>
              <c:numCache>
                <c:formatCode>0.00</c:formatCode>
                <c:ptCount val="7"/>
                <c:pt idx="0">
                  <c:v>-13.75662153358427</c:v>
                </c:pt>
                <c:pt idx="1">
                  <c:v>-13.30383137213727</c:v>
                </c:pt>
                <c:pt idx="2">
                  <c:v>-12.89451131143589</c:v>
                </c:pt>
                <c:pt idx="3">
                  <c:v>-12.51832143649778</c:v>
                </c:pt>
                <c:pt idx="4">
                  <c:v>-12.1623591248654</c:v>
                </c:pt>
                <c:pt idx="5">
                  <c:v>-11.80742128940501</c:v>
                </c:pt>
                <c:pt idx="6">
                  <c:v>-11.42204821801093</c:v>
                </c:pt>
              </c:numCache>
            </c:numRef>
          </c:xVal>
          <c:yVal>
            <c:numRef>
              <c:f>Ggrid!$H$68:$H$74</c:f>
              <c:numCache>
                <c:formatCode>0.00</c:formatCode>
                <c:ptCount val="7"/>
                <c:pt idx="0">
                  <c:v>-2.209505824209527</c:v>
                </c:pt>
                <c:pt idx="1">
                  <c:v>-2.030930251969856</c:v>
                </c:pt>
                <c:pt idx="2">
                  <c:v>-1.82808211006823</c:v>
                </c:pt>
                <c:pt idx="3">
                  <c:v>-1.602282780081955</c:v>
                </c:pt>
                <c:pt idx="4">
                  <c:v>-1.353058444019327</c:v>
                </c:pt>
                <c:pt idx="5">
                  <c:v>-1.077545843635544</c:v>
                </c:pt>
                <c:pt idx="6">
                  <c:v>-0.769994423938799</c:v>
                </c:pt>
              </c:numCache>
            </c:numRef>
          </c:yVal>
          <c:smooth val="1"/>
        </c:ser>
        <c:ser>
          <c:idx val="3"/>
          <c:order val="2"/>
          <c:tx>
            <c:strRef>
              <c:f>Ggrid!$I$7</c:f>
              <c:strCache>
                <c:ptCount val="1"/>
                <c:pt idx="0">
                  <c:v>0.1</c:v>
                </c:pt>
              </c:strCache>
            </c:strRef>
          </c:tx>
          <c:spPr>
            <a:ln w="3175">
              <a:solidFill>
                <a:srgbClr val="000000"/>
              </a:solidFill>
              <a:prstDash val="solid"/>
            </a:ln>
          </c:spPr>
          <c:marker>
            <c:symbol val="none"/>
          </c:marker>
          <c:xVal>
            <c:numRef>
              <c:f>Ggrid!$I$8:$I$14</c:f>
              <c:numCache>
                <c:formatCode>0.00</c:formatCode>
                <c:ptCount val="7"/>
                <c:pt idx="0">
                  <c:v>-15.65455861827444</c:v>
                </c:pt>
                <c:pt idx="1">
                  <c:v>-15.19161051136909</c:v>
                </c:pt>
                <c:pt idx="2">
                  <c:v>-14.76233380538725</c:v>
                </c:pt>
                <c:pt idx="3">
                  <c:v>-14.34728946528636</c:v>
                </c:pt>
                <c:pt idx="4">
                  <c:v>-13.91724704951564</c:v>
                </c:pt>
                <c:pt idx="5">
                  <c:v>-13.42676775616523</c:v>
                </c:pt>
                <c:pt idx="6">
                  <c:v>-12.81149971029301</c:v>
                </c:pt>
              </c:numCache>
            </c:numRef>
          </c:xVal>
          <c:yVal>
            <c:numRef>
              <c:f>Ggrid!$I$68:$I$74</c:f>
              <c:numCache>
                <c:formatCode>0.00</c:formatCode>
                <c:ptCount val="7"/>
                <c:pt idx="0">
                  <c:v>-2.679042886089923</c:v>
                </c:pt>
                <c:pt idx="1">
                  <c:v>-2.494012644962194</c:v>
                </c:pt>
                <c:pt idx="2">
                  <c:v>-2.279493252089026</c:v>
                </c:pt>
                <c:pt idx="3">
                  <c:v>-2.033200085274717</c:v>
                </c:pt>
                <c:pt idx="4">
                  <c:v>-1.749740695425272</c:v>
                </c:pt>
                <c:pt idx="5">
                  <c:v>-1.421401532466243</c:v>
                </c:pt>
                <c:pt idx="6">
                  <c:v>-1.041189575536595</c:v>
                </c:pt>
              </c:numCache>
            </c:numRef>
          </c:yVal>
          <c:smooth val="1"/>
        </c:ser>
        <c:ser>
          <c:idx val="2"/>
          <c:order val="3"/>
          <c:tx>
            <c:strRef>
              <c:f>Ggrid!$J$7</c:f>
              <c:strCache>
                <c:ptCount val="1"/>
                <c:pt idx="0">
                  <c:v>0.01</c:v>
                </c:pt>
              </c:strCache>
            </c:strRef>
          </c:tx>
          <c:spPr>
            <a:ln w="3175">
              <a:solidFill>
                <a:srgbClr val="000000"/>
              </a:solidFill>
              <a:prstDash val="solid"/>
            </a:ln>
          </c:spPr>
          <c:marker>
            <c:symbol val="none"/>
          </c:marker>
          <c:xVal>
            <c:numRef>
              <c:f>Ggrid!$J$8:$J$14</c:f>
              <c:numCache>
                <c:formatCode>0.00</c:formatCode>
                <c:ptCount val="7"/>
                <c:pt idx="0">
                  <c:v>-19.52395461139317</c:v>
                </c:pt>
                <c:pt idx="1">
                  <c:v>-18.94952111205519</c:v>
                </c:pt>
                <c:pt idx="2">
                  <c:v>-18.32580747494376</c:v>
                </c:pt>
                <c:pt idx="3">
                  <c:v>-17.59058544008165</c:v>
                </c:pt>
                <c:pt idx="4">
                  <c:v>-16.67880538459116</c:v>
                </c:pt>
                <c:pt idx="5">
                  <c:v>-15.55772680723334</c:v>
                </c:pt>
                <c:pt idx="6">
                  <c:v>-14.25458143034415</c:v>
                </c:pt>
              </c:numCache>
            </c:numRef>
          </c:xVal>
          <c:yVal>
            <c:numRef>
              <c:f>Ggrid!$J$68:$J$74</c:f>
              <c:numCache>
                <c:formatCode>0.00</c:formatCode>
                <c:ptCount val="7"/>
                <c:pt idx="0">
                  <c:v>-3.587830757586384</c:v>
                </c:pt>
                <c:pt idx="1">
                  <c:v>-3.338853222000061</c:v>
                </c:pt>
                <c:pt idx="2">
                  <c:v>-3.030050257409401</c:v>
                </c:pt>
                <c:pt idx="3">
                  <c:v>-2.659831227610944</c:v>
                </c:pt>
                <c:pt idx="4">
                  <c:v>-2.233531473612303</c:v>
                </c:pt>
                <c:pt idx="5">
                  <c:v>-1.761743916168658</c:v>
                </c:pt>
                <c:pt idx="6">
                  <c:v>-1.256036587284417</c:v>
                </c:pt>
              </c:numCache>
            </c:numRef>
          </c:yVal>
          <c:smooth val="1"/>
        </c:ser>
        <c:ser>
          <c:idx val="1"/>
          <c:order val="4"/>
          <c:tx>
            <c:strRef>
              <c:f>Ggrid!$K$7</c:f>
              <c:strCache>
                <c:ptCount val="1"/>
                <c:pt idx="0">
                  <c:v>0.001</c:v>
                </c:pt>
              </c:strCache>
            </c:strRef>
          </c:tx>
          <c:spPr>
            <a:ln w="3175">
              <a:solidFill>
                <a:srgbClr val="000000"/>
              </a:solidFill>
              <a:prstDash val="solid"/>
            </a:ln>
          </c:spPr>
          <c:marker>
            <c:symbol val="none"/>
          </c:marker>
          <c:xVal>
            <c:numRef>
              <c:f>Ggrid!$K$8:$K$14</c:f>
              <c:numCache>
                <c:formatCode>0.00</c:formatCode>
                <c:ptCount val="7"/>
                <c:pt idx="0">
                  <c:v>-22.72127418361749</c:v>
                </c:pt>
                <c:pt idx="1">
                  <c:v>-21.69469066030357</c:v>
                </c:pt>
                <c:pt idx="2">
                  <c:v>-20.48402836046559</c:v>
                </c:pt>
                <c:pt idx="3">
                  <c:v>-19.10394038728131</c:v>
                </c:pt>
                <c:pt idx="4">
                  <c:v>-17.61197627437573</c:v>
                </c:pt>
                <c:pt idx="5">
                  <c:v>-16.06623845928295</c:v>
                </c:pt>
                <c:pt idx="6">
                  <c:v>-14.50438663994717</c:v>
                </c:pt>
              </c:numCache>
            </c:numRef>
          </c:xVal>
          <c:yVal>
            <c:numRef>
              <c:f>Ggrid!$K$68:$K$74</c:f>
              <c:numCache>
                <c:formatCode>0.00</c:formatCode>
                <c:ptCount val="7"/>
                <c:pt idx="0">
                  <c:v>-4.126279778836542</c:v>
                </c:pt>
                <c:pt idx="1">
                  <c:v>-3.736343037407609</c:v>
                </c:pt>
                <c:pt idx="2">
                  <c:v>-3.300126941601544</c:v>
                </c:pt>
                <c:pt idx="3">
                  <c:v>-2.829424338460448</c:v>
                </c:pt>
                <c:pt idx="4">
                  <c:v>-2.332969203027185</c:v>
                </c:pt>
                <c:pt idx="5">
                  <c:v>-1.816742723010284</c:v>
                </c:pt>
                <c:pt idx="6">
                  <c:v>-1.28476129287221</c:v>
                </c:pt>
              </c:numCache>
            </c:numRef>
          </c:yVal>
          <c:smooth val="1"/>
        </c:ser>
        <c:ser>
          <c:idx val="0"/>
          <c:order val="5"/>
          <c:tx>
            <c:strRef>
              <c:f>Ggrid!$L$7</c:f>
              <c:strCache>
                <c:ptCount val="1"/>
                <c:pt idx="0">
                  <c:v>0</c:v>
                </c:pt>
              </c:strCache>
            </c:strRef>
          </c:tx>
          <c:spPr>
            <a:ln w="3175">
              <a:solidFill>
                <a:srgbClr val="000000"/>
              </a:solidFill>
              <a:prstDash val="solid"/>
            </a:ln>
          </c:spPr>
          <c:marker>
            <c:symbol val="none"/>
          </c:marker>
          <c:dLbls>
            <c:dLbl>
              <c:idx val="0"/>
              <c:tx>
                <c:strRef>
                  <c:f>Ggrid!$A$8</c:f>
                  <c:strCache>
                    <c:ptCount val="1"/>
                    <c:pt idx="0">
                      <c:v>200</c:v>
                    </c:pt>
                  </c:strCache>
                </c:strRef>
              </c:tx>
              <c:dLblPos val="l"/>
              <c:showLegendKey val="0"/>
              <c:showVal val="0"/>
              <c:showCatName val="0"/>
              <c:showSerName val="0"/>
              <c:showPercent val="0"/>
              <c:showBubbleSize val="0"/>
            </c:dLbl>
            <c:dLbl>
              <c:idx val="1"/>
              <c:tx>
                <c:strRef>
                  <c:f>Ggrid!$A$9</c:f>
                  <c:strCache>
                    <c:ptCount val="1"/>
                    <c:pt idx="0">
                      <c:v>225</c:v>
                    </c:pt>
                  </c:strCache>
                </c:strRef>
              </c:tx>
              <c:dLblPos val="l"/>
              <c:showLegendKey val="0"/>
              <c:showVal val="0"/>
              <c:showCatName val="0"/>
              <c:showSerName val="0"/>
              <c:showPercent val="0"/>
              <c:showBubbleSize val="0"/>
            </c:dLbl>
            <c:dLbl>
              <c:idx val="2"/>
              <c:tx>
                <c:strRef>
                  <c:f>Ggrid!$A$10</c:f>
                  <c:strCache>
                    <c:ptCount val="1"/>
                    <c:pt idx="0">
                      <c:v>250</c:v>
                    </c:pt>
                  </c:strCache>
                </c:strRef>
              </c:tx>
              <c:dLblPos val="l"/>
              <c:showLegendKey val="0"/>
              <c:showVal val="0"/>
              <c:showCatName val="0"/>
              <c:showSerName val="0"/>
              <c:showPercent val="0"/>
              <c:showBubbleSize val="0"/>
            </c:dLbl>
            <c:dLbl>
              <c:idx val="3"/>
              <c:tx>
                <c:strRef>
                  <c:f>Ggrid!$A$11</c:f>
                  <c:strCache>
                    <c:ptCount val="1"/>
                    <c:pt idx="0">
                      <c:v>275</c:v>
                    </c:pt>
                  </c:strCache>
                </c:strRef>
              </c:tx>
              <c:dLblPos val="l"/>
              <c:showLegendKey val="0"/>
              <c:showVal val="0"/>
              <c:showCatName val="0"/>
              <c:showSerName val="0"/>
              <c:showPercent val="0"/>
              <c:showBubbleSize val="0"/>
            </c:dLbl>
            <c:dLbl>
              <c:idx val="4"/>
              <c:tx>
                <c:strRef>
                  <c:f>Ggrid!$A$12</c:f>
                  <c:strCache>
                    <c:ptCount val="1"/>
                    <c:pt idx="0">
                      <c:v>300</c:v>
                    </c:pt>
                  </c:strCache>
                </c:strRef>
              </c:tx>
              <c:dLblPos val="l"/>
              <c:showLegendKey val="0"/>
              <c:showVal val="0"/>
              <c:showCatName val="0"/>
              <c:showSerName val="0"/>
              <c:showPercent val="0"/>
              <c:showBubbleSize val="0"/>
            </c:dLbl>
            <c:dLbl>
              <c:idx val="5"/>
              <c:tx>
                <c:strRef>
                  <c:f>Ggrid!$A$13</c:f>
                  <c:strCache>
                    <c:ptCount val="1"/>
                    <c:pt idx="0">
                      <c:v>325</c:v>
                    </c:pt>
                  </c:strCache>
                </c:strRef>
              </c:tx>
              <c:dLblPos val="l"/>
              <c:showLegendKey val="0"/>
              <c:showVal val="0"/>
              <c:showCatName val="0"/>
              <c:showSerName val="0"/>
              <c:showPercent val="0"/>
              <c:showBubbleSize val="0"/>
            </c:dLbl>
            <c:dLbl>
              <c:idx val="6"/>
              <c:tx>
                <c:strRef>
                  <c:f>Ggrid!$A$14</c:f>
                  <c:strCache>
                    <c:ptCount val="1"/>
                    <c:pt idx="0">
                      <c:v>350</c:v>
                    </c:pt>
                  </c:strCache>
                </c:strRef>
              </c:tx>
              <c:dLblPos val="l"/>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Ggrid!$L$8:$L$14</c:f>
              <c:numCache>
                <c:formatCode>0.00</c:formatCode>
                <c:ptCount val="7"/>
                <c:pt idx="0">
                  <c:v>-24.62103145512884</c:v>
                </c:pt>
                <c:pt idx="1">
                  <c:v>-22.84163042324771</c:v>
                </c:pt>
                <c:pt idx="2">
                  <c:v>-21.10933964265839</c:v>
                </c:pt>
                <c:pt idx="3">
                  <c:v>-19.41752113904696</c:v>
                </c:pt>
                <c:pt idx="4">
                  <c:v>-17.76071203062698</c:v>
                </c:pt>
                <c:pt idx="5">
                  <c:v>-16.13437680953224</c:v>
                </c:pt>
                <c:pt idx="6">
                  <c:v>-14.53471960236702</c:v>
                </c:pt>
              </c:numCache>
            </c:numRef>
          </c:xVal>
          <c:yVal>
            <c:numRef>
              <c:f>Ggrid!$L$68:$L$74</c:f>
              <c:numCache>
                <c:formatCode>0.00</c:formatCode>
                <c:ptCount val="7"/>
                <c:pt idx="0">
                  <c:v>-4.264613149194473</c:v>
                </c:pt>
                <c:pt idx="1">
                  <c:v>-3.815374322679399</c:v>
                </c:pt>
                <c:pt idx="2">
                  <c:v>-3.343873964201883</c:v>
                </c:pt>
                <c:pt idx="3">
                  <c:v>-2.853111215418678</c:v>
                </c:pt>
                <c:pt idx="4">
                  <c:v>-2.345565965771928</c:v>
                </c:pt>
                <c:pt idx="5">
                  <c:v>-1.82330686960714</c:v>
                </c:pt>
                <c:pt idx="6">
                  <c:v>-1.288073439917597</c:v>
                </c:pt>
              </c:numCache>
            </c:numRef>
          </c:yVal>
          <c:smooth val="1"/>
        </c:ser>
        <c:ser>
          <c:idx val="5"/>
          <c:order val="6"/>
          <c:tx>
            <c:strRef>
              <c:f>Ggrid!$A$8</c:f>
              <c:strCache>
                <c:ptCount val="1"/>
                <c:pt idx="0">
                  <c:v>200</c:v>
                </c:pt>
              </c:strCache>
            </c:strRef>
          </c:tx>
          <c:spPr>
            <a:ln w="3175">
              <a:solidFill>
                <a:srgbClr val="000000"/>
              </a:solidFill>
              <a:prstDash val="solid"/>
            </a:ln>
          </c:spPr>
          <c:marker>
            <c:symbol val="none"/>
          </c:marker>
          <c:dLbls>
            <c:dLbl>
              <c:idx val="0"/>
              <c:tx>
                <c:strRef>
                  <c:f>Ggrid!$G$7</c:f>
                  <c:strCache>
                    <c:ptCount val="1"/>
                    <c:pt idx="0">
                      <c:v>1</c:v>
                    </c:pt>
                  </c:strCache>
                </c:strRef>
              </c:tx>
              <c:dLblPos val="b"/>
              <c:showLegendKey val="0"/>
              <c:showVal val="0"/>
              <c:showCatName val="0"/>
              <c:showSerName val="0"/>
              <c:showPercent val="0"/>
              <c:showBubbleSize val="0"/>
            </c:dLbl>
            <c:dLbl>
              <c:idx val="1"/>
              <c:tx>
                <c:strRef>
                  <c:f>Ggrid!$H$7</c:f>
                  <c:strCache>
                    <c:ptCount val="1"/>
                    <c:pt idx="0">
                      <c:v>0.3</c:v>
                    </c:pt>
                  </c:strCache>
                </c:strRef>
              </c:tx>
              <c:dLblPos val="b"/>
              <c:showLegendKey val="0"/>
              <c:showVal val="0"/>
              <c:showCatName val="0"/>
              <c:showSerName val="0"/>
              <c:showPercent val="0"/>
              <c:showBubbleSize val="0"/>
            </c:dLbl>
            <c:dLbl>
              <c:idx val="2"/>
              <c:tx>
                <c:strRef>
                  <c:f>Ggrid!$I$7</c:f>
                  <c:strCache>
                    <c:ptCount val="1"/>
                    <c:pt idx="0">
                      <c:v>0.1</c:v>
                    </c:pt>
                  </c:strCache>
                </c:strRef>
              </c:tx>
              <c:dLblPos val="b"/>
              <c:showLegendKey val="0"/>
              <c:showVal val="0"/>
              <c:showCatName val="0"/>
              <c:showSerName val="0"/>
              <c:showPercent val="0"/>
              <c:showBubbleSize val="0"/>
            </c:dLbl>
            <c:dLbl>
              <c:idx val="3"/>
              <c:tx>
                <c:strRef>
                  <c:f>Ggrid!$J$7</c:f>
                  <c:strCache>
                    <c:ptCount val="1"/>
                    <c:pt idx="0">
                      <c:v>0.01</c:v>
                    </c:pt>
                  </c:strCache>
                </c:strRef>
              </c:tx>
              <c:dLblPos val="b"/>
              <c:showLegendKey val="0"/>
              <c:showVal val="0"/>
              <c:showCatName val="0"/>
              <c:showSerName val="0"/>
              <c:showPercent val="0"/>
              <c:showBubbleSize val="0"/>
            </c:dLbl>
            <c:dLbl>
              <c:idx val="4"/>
              <c:tx>
                <c:strRef>
                  <c:f>Ggrid!$K$7</c:f>
                  <c:strCache>
                    <c:ptCount val="1"/>
                    <c:pt idx="0">
                      <c:v>0.001</c:v>
                    </c:pt>
                  </c:strCache>
                </c:strRef>
              </c:tx>
              <c:dLblPos val="b"/>
              <c:showLegendKey val="0"/>
              <c:showVal val="0"/>
              <c:showCatName val="0"/>
              <c:showSerName val="0"/>
              <c:showPercent val="0"/>
              <c:showBubbleSize val="0"/>
            </c:dLbl>
            <c:dLbl>
              <c:idx val="5"/>
              <c:tx>
                <c:strRef>
                  <c:f>Ggrid!$L$7</c:f>
                  <c:strCache>
                    <c:ptCount val="1"/>
                    <c:pt idx="0">
                      <c:v>0</c:v>
                    </c:pt>
                  </c:strCache>
                </c:strRef>
              </c:tx>
              <c:dLblPos val="b"/>
              <c:showLegendKey val="0"/>
              <c:showVal val="0"/>
              <c:showCatName val="0"/>
              <c:showSerName val="0"/>
              <c:showPercent val="0"/>
              <c:showBubbleSize val="0"/>
            </c:dLbl>
            <c:spPr>
              <a:noFill/>
              <a:ln w="25400">
                <a:noFill/>
              </a:ln>
            </c:spPr>
            <c:txPr>
              <a:bodyPr rot="-5400000" vert="horz"/>
              <a:lstStyle/>
              <a:p>
                <a:pPr algn="ctr">
                  <a:defRPr sz="1200" b="0" i="0" u="none" strike="noStrike" baseline="0">
                    <a:solidFill>
                      <a:srgbClr val="000000"/>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Ggrid!$G$8:$L$8</c:f>
              <c:numCache>
                <c:formatCode>0.00</c:formatCode>
                <c:ptCount val="6"/>
                <c:pt idx="0">
                  <c:v>-11.66883145512884</c:v>
                </c:pt>
                <c:pt idx="1">
                  <c:v>-13.75662153358427</c:v>
                </c:pt>
                <c:pt idx="2">
                  <c:v>-15.65455861827444</c:v>
                </c:pt>
                <c:pt idx="3">
                  <c:v>-19.52395461139317</c:v>
                </c:pt>
                <c:pt idx="4">
                  <c:v>-22.72127418361749</c:v>
                </c:pt>
                <c:pt idx="5">
                  <c:v>-24.62103145512884</c:v>
                </c:pt>
              </c:numCache>
            </c:numRef>
          </c:xVal>
          <c:yVal>
            <c:numRef>
              <c:f>Ggrid!$G$68:$L$68</c:f>
              <c:numCache>
                <c:formatCode>0.00</c:formatCode>
                <c:ptCount val="6"/>
                <c:pt idx="0">
                  <c:v>-1.689313149194472</c:v>
                </c:pt>
                <c:pt idx="1">
                  <c:v>-2.209505824209527</c:v>
                </c:pt>
                <c:pt idx="2">
                  <c:v>-2.679042886089923</c:v>
                </c:pt>
                <c:pt idx="3">
                  <c:v>-3.587830757586384</c:v>
                </c:pt>
                <c:pt idx="4">
                  <c:v>-4.126279778836542</c:v>
                </c:pt>
                <c:pt idx="5">
                  <c:v>-4.264613149194473</c:v>
                </c:pt>
              </c:numCache>
            </c:numRef>
          </c:yVal>
          <c:smooth val="1"/>
        </c:ser>
        <c:ser>
          <c:idx val="6"/>
          <c:order val="7"/>
          <c:tx>
            <c:strRef>
              <c:f>Ggrid!$A$9</c:f>
              <c:strCache>
                <c:ptCount val="1"/>
                <c:pt idx="0">
                  <c:v>225</c:v>
                </c:pt>
              </c:strCache>
            </c:strRef>
          </c:tx>
          <c:spPr>
            <a:ln w="3175">
              <a:solidFill>
                <a:srgbClr val="000000"/>
              </a:solidFill>
              <a:prstDash val="solid"/>
            </a:ln>
          </c:spPr>
          <c:marker>
            <c:symbol val="none"/>
          </c:marker>
          <c:xVal>
            <c:numRef>
              <c:f>Ggrid!$G$9:$L$9</c:f>
              <c:numCache>
                <c:formatCode>0.00</c:formatCode>
                <c:ptCount val="6"/>
                <c:pt idx="0">
                  <c:v>-11.21968042324771</c:v>
                </c:pt>
                <c:pt idx="1">
                  <c:v>-13.30383137213727</c:v>
                </c:pt>
                <c:pt idx="2">
                  <c:v>-15.19161051136909</c:v>
                </c:pt>
                <c:pt idx="3">
                  <c:v>-18.94952111205519</c:v>
                </c:pt>
                <c:pt idx="4">
                  <c:v>-21.69469066030357</c:v>
                </c:pt>
                <c:pt idx="5">
                  <c:v>-22.84163042324771</c:v>
                </c:pt>
              </c:numCache>
            </c:numRef>
          </c:xVal>
          <c:yVal>
            <c:numRef>
              <c:f>Ggrid!$G$69:$L$69</c:f>
              <c:numCache>
                <c:formatCode>0.00</c:formatCode>
                <c:ptCount val="6"/>
                <c:pt idx="0">
                  <c:v>-1.513074322679398</c:v>
                </c:pt>
                <c:pt idx="1">
                  <c:v>-2.030930251969856</c:v>
                </c:pt>
                <c:pt idx="2">
                  <c:v>-2.494012644962194</c:v>
                </c:pt>
                <c:pt idx="3">
                  <c:v>-3.338853222000061</c:v>
                </c:pt>
                <c:pt idx="4">
                  <c:v>-3.736343037407609</c:v>
                </c:pt>
                <c:pt idx="5">
                  <c:v>-3.815374322679399</c:v>
                </c:pt>
              </c:numCache>
            </c:numRef>
          </c:yVal>
          <c:smooth val="1"/>
        </c:ser>
        <c:ser>
          <c:idx val="7"/>
          <c:order val="8"/>
          <c:tx>
            <c:strRef>
              <c:f>Ggrid!$A$10</c:f>
              <c:strCache>
                <c:ptCount val="1"/>
                <c:pt idx="0">
                  <c:v>250</c:v>
                </c:pt>
              </c:strCache>
            </c:strRef>
          </c:tx>
          <c:spPr>
            <a:ln w="3175">
              <a:solidFill>
                <a:srgbClr val="000000"/>
              </a:solidFill>
              <a:prstDash val="solid"/>
            </a:ln>
          </c:spPr>
          <c:marker>
            <c:symbol val="none"/>
          </c:marker>
          <c:xVal>
            <c:numRef>
              <c:f>Ggrid!$G$10:$L$10</c:f>
              <c:numCache>
                <c:formatCode>0.00</c:formatCode>
                <c:ptCount val="6"/>
                <c:pt idx="0">
                  <c:v>-10.8176396426584</c:v>
                </c:pt>
                <c:pt idx="1">
                  <c:v>-12.89451131143589</c:v>
                </c:pt>
                <c:pt idx="2">
                  <c:v>-14.76233380538725</c:v>
                </c:pt>
                <c:pt idx="3">
                  <c:v>-18.32580747494376</c:v>
                </c:pt>
                <c:pt idx="4">
                  <c:v>-20.48402836046559</c:v>
                </c:pt>
                <c:pt idx="5">
                  <c:v>-21.10933964265839</c:v>
                </c:pt>
              </c:numCache>
            </c:numRef>
          </c:xVal>
          <c:yVal>
            <c:numRef>
              <c:f>Ggrid!$G$70:$L$70</c:f>
              <c:numCache>
                <c:formatCode>0.00</c:formatCode>
                <c:ptCount val="6"/>
                <c:pt idx="0">
                  <c:v>-1.314573964201884</c:v>
                </c:pt>
                <c:pt idx="1">
                  <c:v>-1.82808211006823</c:v>
                </c:pt>
                <c:pt idx="2">
                  <c:v>-2.279493252089026</c:v>
                </c:pt>
                <c:pt idx="3">
                  <c:v>-3.030050257409401</c:v>
                </c:pt>
                <c:pt idx="4">
                  <c:v>-3.300126941601544</c:v>
                </c:pt>
                <c:pt idx="5">
                  <c:v>-3.343873964201883</c:v>
                </c:pt>
              </c:numCache>
            </c:numRef>
          </c:yVal>
          <c:smooth val="1"/>
        </c:ser>
        <c:ser>
          <c:idx val="8"/>
          <c:order val="9"/>
          <c:tx>
            <c:strRef>
              <c:f>Ggrid!$A$11</c:f>
              <c:strCache>
                <c:ptCount val="1"/>
                <c:pt idx="0">
                  <c:v>275</c:v>
                </c:pt>
              </c:strCache>
            </c:strRef>
          </c:tx>
          <c:spPr>
            <a:ln w="3175">
              <a:solidFill>
                <a:srgbClr val="000000"/>
              </a:solidFill>
              <a:prstDash val="solid"/>
            </a:ln>
          </c:spPr>
          <c:marker>
            <c:symbol val="none"/>
          </c:marker>
          <c:xVal>
            <c:numRef>
              <c:f>Ggrid!$G$11:$L$11</c:f>
              <c:numCache>
                <c:formatCode>0.00</c:formatCode>
                <c:ptCount val="6"/>
                <c:pt idx="0">
                  <c:v>-10.45607113904697</c:v>
                </c:pt>
                <c:pt idx="1">
                  <c:v>-12.51832143649778</c:v>
                </c:pt>
                <c:pt idx="2">
                  <c:v>-14.34728946528636</c:v>
                </c:pt>
                <c:pt idx="3">
                  <c:v>-17.59058544008165</c:v>
                </c:pt>
                <c:pt idx="4">
                  <c:v>-19.10394038728131</c:v>
                </c:pt>
                <c:pt idx="5">
                  <c:v>-19.41752113904696</c:v>
                </c:pt>
              </c:numCache>
            </c:numRef>
          </c:xVal>
          <c:yVal>
            <c:numRef>
              <c:f>Ggrid!$G$71:$L$71</c:f>
              <c:numCache>
                <c:formatCode>0.00</c:formatCode>
                <c:ptCount val="6"/>
                <c:pt idx="0">
                  <c:v>-1.096811215418678</c:v>
                </c:pt>
                <c:pt idx="1">
                  <c:v>-1.602282780081955</c:v>
                </c:pt>
                <c:pt idx="2">
                  <c:v>-2.033200085274717</c:v>
                </c:pt>
                <c:pt idx="3">
                  <c:v>-2.659831227610944</c:v>
                </c:pt>
                <c:pt idx="4">
                  <c:v>-2.829424338460448</c:v>
                </c:pt>
                <c:pt idx="5">
                  <c:v>-2.853111215418678</c:v>
                </c:pt>
              </c:numCache>
            </c:numRef>
          </c:yVal>
          <c:smooth val="1"/>
        </c:ser>
        <c:ser>
          <c:idx val="9"/>
          <c:order val="10"/>
          <c:tx>
            <c:strRef>
              <c:f>Ggrid!$A$12</c:f>
              <c:strCache>
                <c:ptCount val="1"/>
                <c:pt idx="0">
                  <c:v>300</c:v>
                </c:pt>
              </c:strCache>
            </c:strRef>
          </c:tx>
          <c:spPr>
            <a:ln w="3175">
              <a:solidFill>
                <a:srgbClr val="000000"/>
              </a:solidFill>
              <a:prstDash val="solid"/>
            </a:ln>
          </c:spPr>
          <c:marker>
            <c:symbol val="none"/>
          </c:marker>
          <c:xVal>
            <c:numRef>
              <c:f>Ggrid!$G$12:$L$12</c:f>
              <c:numCache>
                <c:formatCode>0.00</c:formatCode>
                <c:ptCount val="6"/>
                <c:pt idx="0">
                  <c:v>-10.12951203062698</c:v>
                </c:pt>
                <c:pt idx="1">
                  <c:v>-12.1623591248654</c:v>
                </c:pt>
                <c:pt idx="2">
                  <c:v>-13.91724704951564</c:v>
                </c:pt>
                <c:pt idx="3">
                  <c:v>-16.67880538459116</c:v>
                </c:pt>
                <c:pt idx="4">
                  <c:v>-17.61197627437573</c:v>
                </c:pt>
                <c:pt idx="5">
                  <c:v>-17.76071203062698</c:v>
                </c:pt>
              </c:numCache>
            </c:numRef>
          </c:xVal>
          <c:yVal>
            <c:numRef>
              <c:f>Ggrid!$G$72:$L$72</c:f>
              <c:numCache>
                <c:formatCode>0.00</c:formatCode>
                <c:ptCount val="6"/>
                <c:pt idx="0">
                  <c:v>-0.862265965771928</c:v>
                </c:pt>
                <c:pt idx="1">
                  <c:v>-1.353058444019327</c:v>
                </c:pt>
                <c:pt idx="2">
                  <c:v>-1.749740695425272</c:v>
                </c:pt>
                <c:pt idx="3">
                  <c:v>-2.233531473612303</c:v>
                </c:pt>
                <c:pt idx="4">
                  <c:v>-2.332969203027185</c:v>
                </c:pt>
                <c:pt idx="5">
                  <c:v>-2.345565965771928</c:v>
                </c:pt>
              </c:numCache>
            </c:numRef>
          </c:yVal>
          <c:smooth val="1"/>
        </c:ser>
        <c:ser>
          <c:idx val="10"/>
          <c:order val="11"/>
          <c:tx>
            <c:strRef>
              <c:f>Ggrid!$A$13</c:f>
              <c:strCache>
                <c:ptCount val="1"/>
                <c:pt idx="0">
                  <c:v>325</c:v>
                </c:pt>
              </c:strCache>
            </c:strRef>
          </c:tx>
          <c:spPr>
            <a:ln w="3175">
              <a:solidFill>
                <a:srgbClr val="000000"/>
              </a:solidFill>
              <a:prstDash val="solid"/>
            </a:ln>
          </c:spPr>
          <c:marker>
            <c:symbol val="none"/>
          </c:marker>
          <c:xVal>
            <c:numRef>
              <c:f>Ggrid!$G$13:$L$13</c:f>
              <c:numCache>
                <c:formatCode>0.00</c:formatCode>
                <c:ptCount val="6"/>
                <c:pt idx="0">
                  <c:v>-9.833426809532237</c:v>
                </c:pt>
                <c:pt idx="1">
                  <c:v>-11.80742128940501</c:v>
                </c:pt>
                <c:pt idx="2">
                  <c:v>-13.42676775616523</c:v>
                </c:pt>
                <c:pt idx="3">
                  <c:v>-15.55772680723334</c:v>
                </c:pt>
                <c:pt idx="4">
                  <c:v>-16.06623845928295</c:v>
                </c:pt>
                <c:pt idx="5">
                  <c:v>-16.13437680953224</c:v>
                </c:pt>
              </c:numCache>
            </c:numRef>
          </c:xVal>
          <c:yVal>
            <c:numRef>
              <c:f>Ggrid!$G$73:$L$73</c:f>
              <c:numCache>
                <c:formatCode>0.00</c:formatCode>
                <c:ptCount val="6"/>
                <c:pt idx="0">
                  <c:v>-0.61300686960714</c:v>
                </c:pt>
                <c:pt idx="1">
                  <c:v>-1.077545843635544</c:v>
                </c:pt>
                <c:pt idx="2">
                  <c:v>-1.421401532466243</c:v>
                </c:pt>
                <c:pt idx="3">
                  <c:v>-1.761743916168658</c:v>
                </c:pt>
                <c:pt idx="4">
                  <c:v>-1.816742723010284</c:v>
                </c:pt>
                <c:pt idx="5">
                  <c:v>-1.82330686960714</c:v>
                </c:pt>
              </c:numCache>
            </c:numRef>
          </c:yVal>
          <c:smooth val="1"/>
        </c:ser>
        <c:ser>
          <c:idx val="11"/>
          <c:order val="12"/>
          <c:tx>
            <c:strRef>
              <c:f>Ggrid!$A$14</c:f>
              <c:strCache>
                <c:ptCount val="1"/>
                <c:pt idx="0">
                  <c:v>350</c:v>
                </c:pt>
              </c:strCache>
            </c:strRef>
          </c:tx>
          <c:spPr>
            <a:ln w="3175">
              <a:solidFill>
                <a:srgbClr val="000000"/>
              </a:solidFill>
              <a:prstDash val="solid"/>
            </a:ln>
          </c:spPr>
          <c:marker>
            <c:symbol val="none"/>
          </c:marker>
          <c:xVal>
            <c:numRef>
              <c:f>Ggrid!$G$14:$L$14</c:f>
              <c:numCache>
                <c:formatCode>0.00</c:formatCode>
                <c:ptCount val="6"/>
                <c:pt idx="0">
                  <c:v>-9.564019602367016</c:v>
                </c:pt>
                <c:pt idx="1">
                  <c:v>-11.42204821801093</c:v>
                </c:pt>
                <c:pt idx="2">
                  <c:v>-12.81149971029301</c:v>
                </c:pt>
                <c:pt idx="3">
                  <c:v>-14.25458143034415</c:v>
                </c:pt>
                <c:pt idx="4">
                  <c:v>-14.50438663994717</c:v>
                </c:pt>
                <c:pt idx="5">
                  <c:v>-14.53471960236702</c:v>
                </c:pt>
              </c:numCache>
            </c:numRef>
          </c:xVal>
          <c:yVal>
            <c:numRef>
              <c:f>Ggrid!$G$74:$L$74</c:f>
              <c:numCache>
                <c:formatCode>0.00</c:formatCode>
                <c:ptCount val="6"/>
                <c:pt idx="0">
                  <c:v>-0.350773439917597</c:v>
                </c:pt>
                <c:pt idx="1">
                  <c:v>-0.769994423938799</c:v>
                </c:pt>
                <c:pt idx="2">
                  <c:v>-1.041189575536595</c:v>
                </c:pt>
                <c:pt idx="3">
                  <c:v>-1.256036587284417</c:v>
                </c:pt>
                <c:pt idx="4">
                  <c:v>-1.28476129287221</c:v>
                </c:pt>
                <c:pt idx="5">
                  <c:v>-1.288073439917597</c:v>
                </c:pt>
              </c:numCache>
            </c:numRef>
          </c:yVal>
          <c:smooth val="1"/>
        </c:ser>
        <c:ser>
          <c:idx val="13"/>
          <c:order val="13"/>
          <c:tx>
            <c:v>data</c:v>
          </c:tx>
          <c:spPr>
            <a:ln w="28575">
              <a:noFill/>
            </a:ln>
          </c:spPr>
          <c:marker>
            <c:symbol val="diamond"/>
            <c:size val="7"/>
            <c:spPr>
              <a:solidFill>
                <a:srgbClr val="CC9CCC"/>
              </a:solidFill>
              <a:ln>
                <a:solidFill>
                  <a:srgbClr val="CC9CCC"/>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input!$BB$11:$BB$40</c:f>
              <c:numCache>
                <c:formatCode>0.00</c:formatCode>
                <c:ptCount val="30"/>
                <c:pt idx="0">
                  <c:v>-21.13890462847801</c:v>
                </c:pt>
                <c:pt idx="1">
                  <c:v>-10.04661094995709</c:v>
                </c:pt>
                <c:pt idx="2">
                  <c:v>-14.25223866757039</c:v>
                </c:pt>
                <c:pt idx="3">
                  <c:v>-8.500403599989176</c:v>
                </c:pt>
                <c:pt idx="4">
                  <c:v>-3.635383132302186</c:v>
                </c:pt>
                <c:pt idx="5">
                  <c:v>-15.44103523720488</c:v>
                </c:pt>
                <c:pt idx="6">
                  <c:v>-15.5701735668457</c:v>
                </c:pt>
                <c:pt idx="7">
                  <c:v>-10.06405086058366</c:v>
                </c:pt>
                <c:pt idx="8">
                  <c:v>-2.146683499677189</c:v>
                </c:pt>
                <c:pt idx="9">
                  <c:v>-8.357729026573728</c:v>
                </c:pt>
                <c:pt idx="10">
                  <c:v>-13.79170463415702</c:v>
                </c:pt>
                <c:pt idx="11">
                  <c:v>-20.08734067557031</c:v>
                </c:pt>
                <c:pt idx="12">
                  <c:v>-11.96576657981176</c:v>
                </c:pt>
                <c:pt idx="13">
                  <c:v>-19.98161304373061</c:v>
                </c:pt>
                <c:pt idx="14">
                  <c:v>-5.460456153829234</c:v>
                </c:pt>
                <c:pt idx="15">
                  <c:v>-4.142498085358394</c:v>
                </c:pt>
                <c:pt idx="16">
                  <c:v>-8.792543865410534</c:v>
                </c:pt>
                <c:pt idx="17">
                  <c:v>-7.122567296770798</c:v>
                </c:pt>
                <c:pt idx="18">
                  <c:v>-16.08843074183035</c:v>
                </c:pt>
                <c:pt idx="19">
                  <c:v>-17.21542644803975</c:v>
                </c:pt>
                <c:pt idx="20">
                  <c:v>0.0</c:v>
                </c:pt>
                <c:pt idx="21">
                  <c:v>0.0</c:v>
                </c:pt>
                <c:pt idx="22">
                  <c:v>0.0</c:v>
                </c:pt>
                <c:pt idx="23">
                  <c:v>0.0</c:v>
                </c:pt>
                <c:pt idx="24">
                  <c:v>0.0</c:v>
                </c:pt>
                <c:pt idx="25">
                  <c:v>0.0</c:v>
                </c:pt>
                <c:pt idx="26">
                  <c:v>0.0</c:v>
                </c:pt>
                <c:pt idx="27">
                  <c:v>0.0</c:v>
                </c:pt>
                <c:pt idx="28">
                  <c:v>0.0</c:v>
                </c:pt>
                <c:pt idx="29">
                  <c:v>0.0</c:v>
                </c:pt>
              </c:numCache>
            </c:numRef>
          </c:xVal>
          <c:yVal>
            <c:numRef>
              <c:f>input!$BE$11:$BE$40</c:f>
              <c:numCache>
                <c:formatCode>0.00</c:formatCode>
                <c:ptCount val="30"/>
                <c:pt idx="0">
                  <c:v>-3.147520006363143</c:v>
                </c:pt>
                <c:pt idx="1">
                  <c:v>-0.049253694188559</c:v>
                </c:pt>
                <c:pt idx="2">
                  <c:v>-1.796999767933378</c:v>
                </c:pt>
                <c:pt idx="3">
                  <c:v>-0.0476919903378748</c:v>
                </c:pt>
                <c:pt idx="4">
                  <c:v>-0.657972311912528</c:v>
                </c:pt>
                <c:pt idx="5">
                  <c:v>-2.009261671492462</c:v>
                </c:pt>
                <c:pt idx="6">
                  <c:v>-2.858236769724212</c:v>
                </c:pt>
                <c:pt idx="7">
                  <c:v>-2.053940939614876</c:v>
                </c:pt>
                <c:pt idx="8">
                  <c:v>-0.126408723321949</c:v>
                </c:pt>
                <c:pt idx="9">
                  <c:v>-1.361271198371941</c:v>
                </c:pt>
                <c:pt idx="10">
                  <c:v>-0.199351644636012</c:v>
                </c:pt>
                <c:pt idx="11">
                  <c:v>-0.902445228321045</c:v>
                </c:pt>
                <c:pt idx="12">
                  <c:v>-1.810004660035682</c:v>
                </c:pt>
                <c:pt idx="13">
                  <c:v>-3.262568799485417</c:v>
                </c:pt>
                <c:pt idx="14">
                  <c:v>-0.823124823506063</c:v>
                </c:pt>
                <c:pt idx="15">
                  <c:v>-0.0649968485463452</c:v>
                </c:pt>
                <c:pt idx="16">
                  <c:v>-0.720652507589268</c:v>
                </c:pt>
                <c:pt idx="17">
                  <c:v>-0.340036286721645</c:v>
                </c:pt>
                <c:pt idx="18">
                  <c:v>-2.130551187296794</c:v>
                </c:pt>
                <c:pt idx="19">
                  <c:v>-2.651695136951839</c:v>
                </c:pt>
                <c:pt idx="20">
                  <c:v>-2.342255943752624</c:v>
                </c:pt>
                <c:pt idx="21">
                  <c:v>0.0</c:v>
                </c:pt>
                <c:pt idx="22">
                  <c:v>0.0</c:v>
                </c:pt>
                <c:pt idx="23">
                  <c:v>0.0</c:v>
                </c:pt>
                <c:pt idx="24">
                  <c:v>0.0</c:v>
                </c:pt>
                <c:pt idx="25">
                  <c:v>0.0</c:v>
                </c:pt>
                <c:pt idx="26">
                  <c:v>0.0</c:v>
                </c:pt>
                <c:pt idx="27">
                  <c:v>0.0</c:v>
                </c:pt>
                <c:pt idx="28">
                  <c:v>0.0</c:v>
                </c:pt>
                <c:pt idx="29">
                  <c:v>0.0</c:v>
                </c:pt>
              </c:numCache>
            </c:numRef>
          </c:yVal>
          <c:smooth val="1"/>
        </c:ser>
        <c:dLbls>
          <c:showLegendKey val="0"/>
          <c:showVal val="0"/>
          <c:showCatName val="0"/>
          <c:showSerName val="0"/>
          <c:showPercent val="0"/>
          <c:showBubbleSize val="0"/>
        </c:dLbls>
        <c:axId val="2100546936"/>
        <c:axId val="2101159608"/>
      </c:scatterChart>
      <c:valAx>
        <c:axId val="2100546936"/>
        <c:scaling>
          <c:orientation val="minMax"/>
          <c:max val="-8.0"/>
          <c:min val="-26.0"/>
        </c:scaling>
        <c:delete val="0"/>
        <c:axPos val="b"/>
        <c:title>
          <c:tx>
            <c:rich>
              <a:bodyPr/>
              <a:lstStyle/>
              <a:p>
                <a:pPr>
                  <a:defRPr sz="1200" b="1" i="0" u="none" strike="noStrike" baseline="0">
                    <a:solidFill>
                      <a:srgbClr val="000000"/>
                    </a:solidFill>
                    <a:latin typeface="Arial"/>
                    <a:ea typeface="Arial"/>
                    <a:cs typeface="Arial"/>
                  </a:defRPr>
                </a:pPr>
                <a:r>
                  <a:t>FT  log (rCO2) + 4 log (rH2) - log (rCH4)  (WG 1980)</a:t>
                </a:r>
              </a:p>
            </c:rich>
          </c:tx>
          <c:layout>
            <c:manualLayout>
              <c:xMode val="edge"/>
              <c:yMode val="edge"/>
              <c:x val="0.308283518360376"/>
              <c:y val="0.954653937947494"/>
            </c:manualLayout>
          </c:layout>
          <c:overlay val="0"/>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159608"/>
        <c:crossesAt val="-25.0"/>
        <c:crossBetween val="midCat"/>
        <c:majorUnit val="2.0"/>
        <c:minorUnit val="1.0"/>
      </c:valAx>
      <c:valAx>
        <c:axId val="2101159608"/>
        <c:scaling>
          <c:orientation val="minMax"/>
        </c:scaling>
        <c:delete val="0"/>
        <c:axPos val="l"/>
        <c:title>
          <c:tx>
            <c:rich>
              <a:bodyPr/>
              <a:lstStyle/>
              <a:p>
                <a:pPr>
                  <a:defRPr sz="1200" b="1" i="0" u="none" strike="noStrike" baseline="0">
                    <a:solidFill>
                      <a:srgbClr val="000000"/>
                    </a:solidFill>
                    <a:latin typeface="Arial"/>
                    <a:ea typeface="Arial"/>
                    <a:cs typeface="Arial"/>
                  </a:defRPr>
                </a:pPr>
                <a:r>
                  <a:t>log (rCO2)  (WG 1997)</a:t>
                </a:r>
              </a:p>
            </c:rich>
          </c:tx>
          <c:layout>
            <c:manualLayout>
              <c:xMode val="edge"/>
              <c:yMode val="edge"/>
              <c:x val="0.0204953031596926"/>
              <c:y val="0.34009546539379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0546936"/>
        <c:crossesAt val="-35.0"/>
        <c:crossBetween val="midCat"/>
        <c:majorUnit val="1.0"/>
      </c:valAx>
      <c:spPr>
        <a:no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913748932536294"/>
          <c:y val="0.0417661097852029"/>
          <c:w val="0.865072587532024"/>
          <c:h val="0.859188544152745"/>
        </c:manualLayout>
      </c:layout>
      <c:scatterChart>
        <c:scatterStyle val="smoothMarker"/>
        <c:varyColors val="0"/>
        <c:ser>
          <c:idx val="4"/>
          <c:order val="0"/>
          <c:tx>
            <c:strRef>
              <c:f>Ggrid!$G$7</c:f>
              <c:strCache>
                <c:ptCount val="1"/>
                <c:pt idx="0">
                  <c:v>1</c:v>
                </c:pt>
              </c:strCache>
            </c:strRef>
          </c:tx>
          <c:spPr>
            <a:ln w="12700">
              <a:solidFill>
                <a:srgbClr val="424242"/>
              </a:solidFill>
              <a:prstDash val="solid"/>
            </a:ln>
          </c:spPr>
          <c:marker>
            <c:symbol val="none"/>
          </c:marker>
          <c:dLbls>
            <c:dLbl>
              <c:idx val="0"/>
              <c:tx>
                <c:strRef>
                  <c:f>Ggrid!$A$8</c:f>
                  <c:strCache>
                    <c:ptCount val="1"/>
                    <c:pt idx="0">
                      <c:v>200</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1"/>
              <c:tx>
                <c:strRef>
                  <c:f>Ggrid!$A$9</c:f>
                  <c:strCache>
                    <c:ptCount val="1"/>
                    <c:pt idx="0">
                      <c:v>225</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2"/>
              <c:tx>
                <c:strRef>
                  <c:f>Ggrid!$A$10</c:f>
                  <c:strCache>
                    <c:ptCount val="1"/>
                    <c:pt idx="0">
                      <c:v>250</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3"/>
              <c:tx>
                <c:strRef>
                  <c:f>Ggrid!$A$11</c:f>
                  <c:strCache>
                    <c:ptCount val="1"/>
                    <c:pt idx="0">
                      <c:v>275</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4"/>
              <c:tx>
                <c:strRef>
                  <c:f>Ggrid!$A$12</c:f>
                  <c:strCache>
                    <c:ptCount val="1"/>
                    <c:pt idx="0">
                      <c:v>300</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5"/>
              <c:tx>
                <c:strRef>
                  <c:f>Ggrid!$A$13</c:f>
                  <c:strCache>
                    <c:ptCount val="1"/>
                    <c:pt idx="0">
                      <c:v>325</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6"/>
              <c:tx>
                <c:strRef>
                  <c:f>Ggrid!$A$14</c:f>
                  <c:strCache>
                    <c:ptCount val="1"/>
                    <c:pt idx="0">
                      <c:v>350</c:v>
                    </c:pt>
                  </c:strCache>
                </c:strRef>
              </c:tx>
              <c:spPr>
                <a:noFill/>
                <a:ln w="25400">
                  <a:noFill/>
                </a:ln>
              </c:spPr>
              <c:txPr>
                <a:bodyPr rot="-900000" vert="horz"/>
                <a:lstStyle/>
                <a:p>
                  <a:pPr algn="ctr">
                    <a:defRPr sz="120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showLegendKey val="0"/>
            <c:showVal val="0"/>
            <c:showCatName val="0"/>
            <c:showSerName val="0"/>
            <c:showPercent val="0"/>
            <c:showBubbleSize val="0"/>
          </c:dLbls>
          <c:xVal>
            <c:numRef>
              <c:f>Ggrid!$G$8:$G$14</c:f>
              <c:numCache>
                <c:formatCode>0.00</c:formatCode>
                <c:ptCount val="7"/>
                <c:pt idx="0">
                  <c:v>-11.66883145512884</c:v>
                </c:pt>
                <c:pt idx="1">
                  <c:v>-11.21968042324771</c:v>
                </c:pt>
                <c:pt idx="2">
                  <c:v>-10.8176396426584</c:v>
                </c:pt>
                <c:pt idx="3">
                  <c:v>-10.45607113904697</c:v>
                </c:pt>
                <c:pt idx="4">
                  <c:v>-10.12951203062698</c:v>
                </c:pt>
                <c:pt idx="5">
                  <c:v>-9.833426809532237</c:v>
                </c:pt>
                <c:pt idx="6">
                  <c:v>-9.564019602367016</c:v>
                </c:pt>
              </c:numCache>
            </c:numRef>
          </c:xVal>
          <c:yVal>
            <c:numRef>
              <c:f>Ggrid!$G$88:$G$94</c:f>
              <c:numCache>
                <c:formatCode>0.00</c:formatCode>
                <c:ptCount val="7"/>
                <c:pt idx="0">
                  <c:v>-8.26917259860036</c:v>
                </c:pt>
                <c:pt idx="1">
                  <c:v>-7.680402460619838</c:v>
                </c:pt>
                <c:pt idx="2">
                  <c:v>-7.150005289780438</c:v>
                </c:pt>
                <c:pt idx="3">
                  <c:v>-6.669896883392097</c:v>
                </c:pt>
                <c:pt idx="4">
                  <c:v>-6.233412210775967</c:v>
                </c:pt>
                <c:pt idx="5">
                  <c:v>-5.835007719147391</c:v>
                </c:pt>
                <c:pt idx="6">
                  <c:v>-5.470035483366494</c:v>
                </c:pt>
              </c:numCache>
            </c:numRef>
          </c:yVal>
          <c:smooth val="1"/>
        </c:ser>
        <c:ser>
          <c:idx val="12"/>
          <c:order val="1"/>
          <c:tx>
            <c:strRef>
              <c:f>Ggrid!$H$7</c:f>
              <c:strCache>
                <c:ptCount val="1"/>
                <c:pt idx="0">
                  <c:v>0.3</c:v>
                </c:pt>
              </c:strCache>
            </c:strRef>
          </c:tx>
          <c:spPr>
            <a:ln w="12700">
              <a:solidFill>
                <a:srgbClr val="424242"/>
              </a:solidFill>
              <a:prstDash val="solid"/>
            </a:ln>
          </c:spPr>
          <c:marker>
            <c:symbol val="none"/>
          </c:marker>
          <c:xVal>
            <c:numRef>
              <c:f>Ggrid!$H$8:$H$14</c:f>
              <c:numCache>
                <c:formatCode>0.00</c:formatCode>
                <c:ptCount val="7"/>
                <c:pt idx="0">
                  <c:v>-13.75662153358427</c:v>
                </c:pt>
                <c:pt idx="1">
                  <c:v>-13.30383137213727</c:v>
                </c:pt>
                <c:pt idx="2">
                  <c:v>-12.89451131143589</c:v>
                </c:pt>
                <c:pt idx="3">
                  <c:v>-12.51832143649778</c:v>
                </c:pt>
                <c:pt idx="4">
                  <c:v>-12.1623591248654</c:v>
                </c:pt>
                <c:pt idx="5">
                  <c:v>-11.80742128940501</c:v>
                </c:pt>
                <c:pt idx="6">
                  <c:v>-11.42204821801093</c:v>
                </c:pt>
              </c:numCache>
            </c:numRef>
          </c:xVal>
          <c:yVal>
            <c:numRef>
              <c:f>Ggrid!$H$88:$H$94</c:f>
              <c:numCache>
                <c:formatCode>0.00</c:formatCode>
                <c:ptCount val="7"/>
                <c:pt idx="0">
                  <c:v>-9.290984320864746</c:v>
                </c:pt>
                <c:pt idx="1">
                  <c:v>-8.68452422934864</c:v>
                </c:pt>
                <c:pt idx="2">
                  <c:v>-8.123841591306885</c:v>
                </c:pt>
                <c:pt idx="3">
                  <c:v>-7.592734960277144</c:v>
                </c:pt>
                <c:pt idx="4">
                  <c:v>-7.072650120143565</c:v>
                </c:pt>
                <c:pt idx="5">
                  <c:v>-6.542881211873341</c:v>
                </c:pt>
                <c:pt idx="6">
                  <c:v>-5.98413884440953</c:v>
                </c:pt>
              </c:numCache>
            </c:numRef>
          </c:yVal>
          <c:smooth val="1"/>
        </c:ser>
        <c:ser>
          <c:idx val="3"/>
          <c:order val="2"/>
          <c:tx>
            <c:strRef>
              <c:f>Ggrid!$I$7</c:f>
              <c:strCache>
                <c:ptCount val="1"/>
                <c:pt idx="0">
                  <c:v>0.1</c:v>
                </c:pt>
              </c:strCache>
            </c:strRef>
          </c:tx>
          <c:spPr>
            <a:ln w="12700">
              <a:solidFill>
                <a:srgbClr val="424242"/>
              </a:solidFill>
              <a:prstDash val="solid"/>
            </a:ln>
          </c:spPr>
          <c:marker>
            <c:symbol val="none"/>
          </c:marker>
          <c:xVal>
            <c:numRef>
              <c:f>Ggrid!$I$8:$I$14</c:f>
              <c:numCache>
                <c:formatCode>0.00</c:formatCode>
                <c:ptCount val="7"/>
                <c:pt idx="0">
                  <c:v>-15.65455861827444</c:v>
                </c:pt>
                <c:pt idx="1">
                  <c:v>-15.19161051136909</c:v>
                </c:pt>
                <c:pt idx="2">
                  <c:v>-14.76233380538725</c:v>
                </c:pt>
                <c:pt idx="3">
                  <c:v>-14.34728946528636</c:v>
                </c:pt>
                <c:pt idx="4">
                  <c:v>-13.91724704951564</c:v>
                </c:pt>
                <c:pt idx="5">
                  <c:v>-13.42676775616523</c:v>
                </c:pt>
                <c:pt idx="6">
                  <c:v>-12.81149971029301</c:v>
                </c:pt>
              </c:numCache>
            </c:numRef>
          </c:xVal>
          <c:yVal>
            <c:numRef>
              <c:f>Ggrid!$I$88:$I$94</c:f>
              <c:numCache>
                <c:formatCode>0.00</c:formatCode>
                <c:ptCount val="7"/>
                <c:pt idx="0">
                  <c:v>-10.17921177852657</c:v>
                </c:pt>
                <c:pt idx="1">
                  <c:v>-9.526919576611955</c:v>
                </c:pt>
                <c:pt idx="2">
                  <c:v>-8.893045324356203</c:v>
                </c:pt>
                <c:pt idx="3">
                  <c:v>-8.251942744160391</c:v>
                </c:pt>
                <c:pt idx="4">
                  <c:v>-7.581081823587833</c:v>
                </c:pt>
                <c:pt idx="5">
                  <c:v>-6.870247376002599</c:v>
                </c:pt>
                <c:pt idx="6">
                  <c:v>-6.130099162304323</c:v>
                </c:pt>
              </c:numCache>
            </c:numRef>
          </c:yVal>
          <c:smooth val="1"/>
        </c:ser>
        <c:ser>
          <c:idx val="2"/>
          <c:order val="3"/>
          <c:tx>
            <c:strRef>
              <c:f>Ggrid!$J$7</c:f>
              <c:strCache>
                <c:ptCount val="1"/>
                <c:pt idx="0">
                  <c:v>0.01</c:v>
                </c:pt>
              </c:strCache>
            </c:strRef>
          </c:tx>
          <c:spPr>
            <a:ln w="12700">
              <a:solidFill>
                <a:srgbClr val="424242"/>
              </a:solidFill>
              <a:prstDash val="solid"/>
            </a:ln>
          </c:spPr>
          <c:marker>
            <c:symbol val="none"/>
          </c:marker>
          <c:xVal>
            <c:numRef>
              <c:f>Ggrid!$J$8:$J$14</c:f>
              <c:numCache>
                <c:formatCode>0.00</c:formatCode>
                <c:ptCount val="7"/>
                <c:pt idx="0">
                  <c:v>-19.52395461139317</c:v>
                </c:pt>
                <c:pt idx="1">
                  <c:v>-18.94952111205519</c:v>
                </c:pt>
                <c:pt idx="2">
                  <c:v>-18.32580747494376</c:v>
                </c:pt>
                <c:pt idx="3">
                  <c:v>-17.59058544008165</c:v>
                </c:pt>
                <c:pt idx="4">
                  <c:v>-16.67880538459116</c:v>
                </c:pt>
                <c:pt idx="5">
                  <c:v>-15.55772680723334</c:v>
                </c:pt>
                <c:pt idx="6">
                  <c:v>-14.25458143034415</c:v>
                </c:pt>
              </c:numCache>
            </c:numRef>
          </c:xVal>
          <c:yVal>
            <c:numRef>
              <c:f>Ggrid!$J$88:$J$94</c:f>
              <c:numCache>
                <c:formatCode>0.00</c:formatCode>
                <c:ptCount val="7"/>
                <c:pt idx="0">
                  <c:v>-11.51952441825422</c:v>
                </c:pt>
                <c:pt idx="1">
                  <c:v>-10.57117940070324</c:v>
                </c:pt>
                <c:pt idx="2">
                  <c:v>-9.602363704704876</c:v>
                </c:pt>
                <c:pt idx="3">
                  <c:v>-8.637338130891166</c:v>
                </c:pt>
                <c:pt idx="4">
                  <c:v>-7.710996289666633</c:v>
                </c:pt>
                <c:pt idx="5">
                  <c:v>-6.848775402766025</c:v>
                </c:pt>
                <c:pt idx="6">
                  <c:v>-6.05345713865849</c:v>
                </c:pt>
              </c:numCache>
            </c:numRef>
          </c:yVal>
          <c:smooth val="1"/>
        </c:ser>
        <c:ser>
          <c:idx val="1"/>
          <c:order val="4"/>
          <c:tx>
            <c:strRef>
              <c:f>Ggrid!$K$7</c:f>
              <c:strCache>
                <c:ptCount val="1"/>
                <c:pt idx="0">
                  <c:v>0.001</c:v>
                </c:pt>
              </c:strCache>
            </c:strRef>
          </c:tx>
          <c:spPr>
            <a:ln w="12700">
              <a:solidFill>
                <a:srgbClr val="424242"/>
              </a:solidFill>
              <a:prstDash val="solid"/>
            </a:ln>
          </c:spPr>
          <c:marker>
            <c:symbol val="none"/>
          </c:marker>
          <c:xVal>
            <c:numRef>
              <c:f>Ggrid!$K$8:$K$14</c:f>
              <c:numCache>
                <c:formatCode>0.00</c:formatCode>
                <c:ptCount val="7"/>
                <c:pt idx="0">
                  <c:v>-22.72127418361749</c:v>
                </c:pt>
                <c:pt idx="1">
                  <c:v>-21.69469066030357</c:v>
                </c:pt>
                <c:pt idx="2">
                  <c:v>-20.48402836046559</c:v>
                </c:pt>
                <c:pt idx="3">
                  <c:v>-19.10394038728131</c:v>
                </c:pt>
                <c:pt idx="4">
                  <c:v>-17.61197627437573</c:v>
                </c:pt>
                <c:pt idx="5">
                  <c:v>-16.06623845928295</c:v>
                </c:pt>
                <c:pt idx="6">
                  <c:v>-14.50438663994717</c:v>
                </c:pt>
              </c:numCache>
            </c:numRef>
          </c:xVal>
          <c:yVal>
            <c:numRef>
              <c:f>Ggrid!$K$88:$K$94</c:f>
              <c:numCache>
                <c:formatCode>0.00</c:formatCode>
                <c:ptCount val="7"/>
                <c:pt idx="0">
                  <c:v>-11.53555936505722</c:v>
                </c:pt>
                <c:pt idx="1">
                  <c:v>-10.4018836114704</c:v>
                </c:pt>
                <c:pt idx="2">
                  <c:v>-9.36914826035641</c:v>
                </c:pt>
                <c:pt idx="3">
                  <c:v>-8.43378654591675</c:v>
                </c:pt>
                <c:pt idx="4">
                  <c:v>-7.57654664439737</c:v>
                </c:pt>
                <c:pt idx="5">
                  <c:v>-6.776929890358842</c:v>
                </c:pt>
                <c:pt idx="6">
                  <c:v>-6.020208229429347</c:v>
                </c:pt>
              </c:numCache>
            </c:numRef>
          </c:yVal>
          <c:smooth val="1"/>
        </c:ser>
        <c:ser>
          <c:idx val="0"/>
          <c:order val="5"/>
          <c:tx>
            <c:strRef>
              <c:f>Ggrid!$L$7</c:f>
              <c:strCache>
                <c:ptCount val="1"/>
                <c:pt idx="0">
                  <c:v>0</c:v>
                </c:pt>
              </c:strCache>
            </c:strRef>
          </c:tx>
          <c:spPr>
            <a:ln w="12700">
              <a:solidFill>
                <a:srgbClr val="424242"/>
              </a:solidFill>
              <a:prstDash val="solid"/>
            </a:ln>
          </c:spPr>
          <c:marker>
            <c:symbol val="none"/>
          </c:marker>
          <c:xVal>
            <c:numRef>
              <c:f>Ggrid!$L$8:$L$14</c:f>
              <c:numCache>
                <c:formatCode>0.00</c:formatCode>
                <c:ptCount val="7"/>
                <c:pt idx="0">
                  <c:v>-24.62103145512884</c:v>
                </c:pt>
                <c:pt idx="1">
                  <c:v>-22.84163042324771</c:v>
                </c:pt>
                <c:pt idx="2">
                  <c:v>-21.10933964265839</c:v>
                </c:pt>
                <c:pt idx="3">
                  <c:v>-19.41752113904696</c:v>
                </c:pt>
                <c:pt idx="4">
                  <c:v>-17.76071203062698</c:v>
                </c:pt>
                <c:pt idx="5">
                  <c:v>-16.13437680953224</c:v>
                </c:pt>
                <c:pt idx="6">
                  <c:v>-14.53471960236702</c:v>
                </c:pt>
              </c:numCache>
            </c:numRef>
          </c:xVal>
          <c:yVal>
            <c:numRef>
              <c:f>Ggrid!$L$88:$L$94</c:f>
              <c:numCache>
                <c:formatCode>0.00</c:formatCode>
                <c:ptCount val="7"/>
                <c:pt idx="0">
                  <c:v>-11.12497259860036</c:v>
                </c:pt>
                <c:pt idx="1">
                  <c:v>-10.15120246061984</c:v>
                </c:pt>
                <c:pt idx="2">
                  <c:v>-9.23580528978044</c:v>
                </c:pt>
                <c:pt idx="3">
                  <c:v>-8.3706968833921</c:v>
                </c:pt>
                <c:pt idx="4">
                  <c:v>-7.549212210775971</c:v>
                </c:pt>
                <c:pt idx="5">
                  <c:v>-6.765807719147394</c:v>
                </c:pt>
                <c:pt idx="6">
                  <c:v>-6.015835483366496</c:v>
                </c:pt>
              </c:numCache>
            </c:numRef>
          </c:yVal>
          <c:smooth val="1"/>
        </c:ser>
        <c:ser>
          <c:idx val="5"/>
          <c:order val="6"/>
          <c:tx>
            <c:strRef>
              <c:f>Ggrid!$A$8</c:f>
              <c:strCache>
                <c:ptCount val="1"/>
                <c:pt idx="0">
                  <c:v>200</c:v>
                </c:pt>
              </c:strCache>
            </c:strRef>
          </c:tx>
          <c:spPr>
            <a:ln w="12700">
              <a:solidFill>
                <a:srgbClr val="424242"/>
              </a:solidFill>
              <a:prstDash val="solid"/>
            </a:ln>
          </c:spPr>
          <c:marker>
            <c:symbol val="none"/>
          </c:marker>
          <c:dLbls>
            <c:dLbl>
              <c:idx val="0"/>
              <c:tx>
                <c:strRef>
                  <c:f>Ggrid!$G$7</c:f>
                  <c:strCache>
                    <c:ptCount val="1"/>
                    <c:pt idx="0">
                      <c:v>1</c:v>
                    </c:pt>
                  </c:strCache>
                </c:strRef>
              </c:tx>
              <c:dLblPos val="b"/>
              <c:showLegendKey val="0"/>
              <c:showVal val="0"/>
              <c:showCatName val="0"/>
              <c:showSerName val="0"/>
              <c:showPercent val="0"/>
              <c:showBubbleSize val="0"/>
            </c:dLbl>
            <c:dLbl>
              <c:idx val="1"/>
              <c:tx>
                <c:strRef>
                  <c:f>Ggrid!$H$7</c:f>
                  <c:strCache>
                    <c:ptCount val="1"/>
                    <c:pt idx="0">
                      <c:v>0.3</c:v>
                    </c:pt>
                  </c:strCache>
                </c:strRef>
              </c:tx>
              <c:dLblPos val="b"/>
              <c:showLegendKey val="0"/>
              <c:showVal val="0"/>
              <c:showCatName val="0"/>
              <c:showSerName val="0"/>
              <c:showPercent val="0"/>
              <c:showBubbleSize val="0"/>
            </c:dLbl>
            <c:dLbl>
              <c:idx val="2"/>
              <c:tx>
                <c:strRef>
                  <c:f>Ggrid!$I$7</c:f>
                  <c:strCache>
                    <c:ptCount val="1"/>
                    <c:pt idx="0">
                      <c:v>0.1</c:v>
                    </c:pt>
                  </c:strCache>
                </c:strRef>
              </c:tx>
              <c:dLblPos val="b"/>
              <c:showLegendKey val="0"/>
              <c:showVal val="0"/>
              <c:showCatName val="0"/>
              <c:showSerName val="0"/>
              <c:showPercent val="0"/>
              <c:showBubbleSize val="0"/>
            </c:dLbl>
            <c:dLbl>
              <c:idx val="3"/>
              <c:tx>
                <c:strRef>
                  <c:f>Ggrid!$J$7</c:f>
                  <c:strCache>
                    <c:ptCount val="1"/>
                    <c:pt idx="0">
                      <c:v>0.01</c:v>
                    </c:pt>
                  </c:strCache>
                </c:strRef>
              </c:tx>
              <c:dLblPos val="b"/>
              <c:showLegendKey val="0"/>
              <c:showVal val="0"/>
              <c:showCatName val="0"/>
              <c:showSerName val="0"/>
              <c:showPercent val="0"/>
              <c:showBubbleSize val="0"/>
            </c:dLbl>
            <c:dLbl>
              <c:idx val="4"/>
              <c:tx>
                <c:strRef>
                  <c:f>Ggrid!$K$7</c:f>
                  <c:strCache>
                    <c:ptCount val="1"/>
                    <c:pt idx="0">
                      <c:v>0.001</c:v>
                    </c:pt>
                  </c:strCache>
                </c:strRef>
              </c:tx>
              <c:dLblPos val="b"/>
              <c:showLegendKey val="0"/>
              <c:showVal val="0"/>
              <c:showCatName val="0"/>
              <c:showSerName val="0"/>
              <c:showPercent val="0"/>
              <c:showBubbleSize val="0"/>
            </c:dLbl>
            <c:dLbl>
              <c:idx val="5"/>
              <c:tx>
                <c:strRef>
                  <c:f>Ggrid!$L$7</c:f>
                  <c:strCache>
                    <c:ptCount val="1"/>
                    <c:pt idx="0">
                      <c:v>0</c:v>
                    </c:pt>
                  </c:strCache>
                </c:strRef>
              </c:tx>
              <c:dLblPos val="b"/>
              <c:showLegendKey val="0"/>
              <c:showVal val="0"/>
              <c:showCatName val="0"/>
              <c:showSerName val="0"/>
              <c:showPercent val="0"/>
              <c:showBubbleSize val="0"/>
            </c:dLbl>
            <c:spPr>
              <a:noFill/>
              <a:ln w="25400">
                <a:noFill/>
              </a:ln>
            </c:spPr>
            <c:txPr>
              <a:bodyPr rot="-4500000" vert="horz"/>
              <a:lstStyle/>
              <a:p>
                <a:pPr algn="ctr">
                  <a:defRPr sz="1200" b="0" i="0" u="none" strike="noStrike" baseline="0">
                    <a:solidFill>
                      <a:srgbClr val="424242"/>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Ggrid!$G$8:$L$8</c:f>
              <c:numCache>
                <c:formatCode>0.00</c:formatCode>
                <c:ptCount val="6"/>
                <c:pt idx="0">
                  <c:v>-11.66883145512884</c:v>
                </c:pt>
                <c:pt idx="1">
                  <c:v>-13.75662153358427</c:v>
                </c:pt>
                <c:pt idx="2">
                  <c:v>-15.65455861827444</c:v>
                </c:pt>
                <c:pt idx="3">
                  <c:v>-19.52395461139317</c:v>
                </c:pt>
                <c:pt idx="4">
                  <c:v>-22.72127418361749</c:v>
                </c:pt>
                <c:pt idx="5">
                  <c:v>-24.62103145512884</c:v>
                </c:pt>
              </c:numCache>
            </c:numRef>
          </c:xVal>
          <c:yVal>
            <c:numRef>
              <c:f>Ggrid!$G$88:$L$88</c:f>
              <c:numCache>
                <c:formatCode>0.00</c:formatCode>
                <c:ptCount val="6"/>
                <c:pt idx="0">
                  <c:v>-8.26917259860036</c:v>
                </c:pt>
                <c:pt idx="1">
                  <c:v>-9.290984320864746</c:v>
                </c:pt>
                <c:pt idx="2">
                  <c:v>-10.17921177852657</c:v>
                </c:pt>
                <c:pt idx="3">
                  <c:v>-11.51952441825422</c:v>
                </c:pt>
                <c:pt idx="4">
                  <c:v>-11.53555936505722</c:v>
                </c:pt>
                <c:pt idx="5">
                  <c:v>-11.12497259860036</c:v>
                </c:pt>
              </c:numCache>
            </c:numRef>
          </c:yVal>
          <c:smooth val="1"/>
        </c:ser>
        <c:ser>
          <c:idx val="6"/>
          <c:order val="7"/>
          <c:tx>
            <c:strRef>
              <c:f>Ggrid!$A$9</c:f>
              <c:strCache>
                <c:ptCount val="1"/>
                <c:pt idx="0">
                  <c:v>225</c:v>
                </c:pt>
              </c:strCache>
            </c:strRef>
          </c:tx>
          <c:spPr>
            <a:ln w="12700">
              <a:solidFill>
                <a:srgbClr val="424242"/>
              </a:solidFill>
              <a:prstDash val="solid"/>
            </a:ln>
          </c:spPr>
          <c:marker>
            <c:symbol val="none"/>
          </c:marker>
          <c:xVal>
            <c:numRef>
              <c:f>Ggrid!$G$9:$L$9</c:f>
              <c:numCache>
                <c:formatCode>0.00</c:formatCode>
                <c:ptCount val="6"/>
                <c:pt idx="0">
                  <c:v>-11.21968042324771</c:v>
                </c:pt>
                <c:pt idx="1">
                  <c:v>-13.30383137213727</c:v>
                </c:pt>
                <c:pt idx="2">
                  <c:v>-15.19161051136909</c:v>
                </c:pt>
                <c:pt idx="3">
                  <c:v>-18.94952111205519</c:v>
                </c:pt>
                <c:pt idx="4">
                  <c:v>-21.69469066030357</c:v>
                </c:pt>
                <c:pt idx="5">
                  <c:v>-22.84163042324771</c:v>
                </c:pt>
              </c:numCache>
            </c:numRef>
          </c:xVal>
          <c:yVal>
            <c:numRef>
              <c:f>Ggrid!$G$89:$L$89</c:f>
              <c:numCache>
                <c:formatCode>0.00</c:formatCode>
                <c:ptCount val="6"/>
                <c:pt idx="0">
                  <c:v>-7.680402460619838</c:v>
                </c:pt>
                <c:pt idx="1">
                  <c:v>-8.68452422934864</c:v>
                </c:pt>
                <c:pt idx="2">
                  <c:v>-9.526919576611955</c:v>
                </c:pt>
                <c:pt idx="3">
                  <c:v>-10.57117940070324</c:v>
                </c:pt>
                <c:pt idx="4">
                  <c:v>-10.4018836114704</c:v>
                </c:pt>
                <c:pt idx="5">
                  <c:v>-10.15120246061984</c:v>
                </c:pt>
              </c:numCache>
            </c:numRef>
          </c:yVal>
          <c:smooth val="1"/>
        </c:ser>
        <c:ser>
          <c:idx val="7"/>
          <c:order val="8"/>
          <c:tx>
            <c:strRef>
              <c:f>Ggrid!$A$10</c:f>
              <c:strCache>
                <c:ptCount val="1"/>
                <c:pt idx="0">
                  <c:v>250</c:v>
                </c:pt>
              </c:strCache>
            </c:strRef>
          </c:tx>
          <c:spPr>
            <a:ln w="12700">
              <a:solidFill>
                <a:srgbClr val="424242"/>
              </a:solidFill>
              <a:prstDash val="solid"/>
            </a:ln>
          </c:spPr>
          <c:marker>
            <c:symbol val="none"/>
          </c:marker>
          <c:xVal>
            <c:numRef>
              <c:f>Ggrid!$G$10:$L$10</c:f>
              <c:numCache>
                <c:formatCode>0.00</c:formatCode>
                <c:ptCount val="6"/>
                <c:pt idx="0">
                  <c:v>-10.8176396426584</c:v>
                </c:pt>
                <c:pt idx="1">
                  <c:v>-12.89451131143589</c:v>
                </c:pt>
                <c:pt idx="2">
                  <c:v>-14.76233380538725</c:v>
                </c:pt>
                <c:pt idx="3">
                  <c:v>-18.32580747494376</c:v>
                </c:pt>
                <c:pt idx="4">
                  <c:v>-20.48402836046559</c:v>
                </c:pt>
                <c:pt idx="5">
                  <c:v>-21.10933964265839</c:v>
                </c:pt>
              </c:numCache>
            </c:numRef>
          </c:xVal>
          <c:yVal>
            <c:numRef>
              <c:f>Ggrid!$G$90:$L$90</c:f>
              <c:numCache>
                <c:formatCode>0.00</c:formatCode>
                <c:ptCount val="6"/>
                <c:pt idx="0">
                  <c:v>-7.150005289780438</c:v>
                </c:pt>
                <c:pt idx="1">
                  <c:v>-8.123841591306885</c:v>
                </c:pt>
                <c:pt idx="2">
                  <c:v>-8.893045324356203</c:v>
                </c:pt>
                <c:pt idx="3">
                  <c:v>-9.602363704704876</c:v>
                </c:pt>
                <c:pt idx="4">
                  <c:v>-9.36914826035641</c:v>
                </c:pt>
                <c:pt idx="5">
                  <c:v>-9.23580528978044</c:v>
                </c:pt>
              </c:numCache>
            </c:numRef>
          </c:yVal>
          <c:smooth val="1"/>
        </c:ser>
        <c:ser>
          <c:idx val="8"/>
          <c:order val="9"/>
          <c:tx>
            <c:strRef>
              <c:f>Ggrid!$A$11</c:f>
              <c:strCache>
                <c:ptCount val="1"/>
                <c:pt idx="0">
                  <c:v>275</c:v>
                </c:pt>
              </c:strCache>
            </c:strRef>
          </c:tx>
          <c:spPr>
            <a:ln w="12700">
              <a:solidFill>
                <a:srgbClr val="424242"/>
              </a:solidFill>
              <a:prstDash val="solid"/>
            </a:ln>
          </c:spPr>
          <c:marker>
            <c:symbol val="none"/>
          </c:marker>
          <c:xVal>
            <c:numRef>
              <c:f>Ggrid!$G$11:$L$11</c:f>
              <c:numCache>
                <c:formatCode>0.00</c:formatCode>
                <c:ptCount val="6"/>
                <c:pt idx="0">
                  <c:v>-10.45607113904697</c:v>
                </c:pt>
                <c:pt idx="1">
                  <c:v>-12.51832143649778</c:v>
                </c:pt>
                <c:pt idx="2">
                  <c:v>-14.34728946528636</c:v>
                </c:pt>
                <c:pt idx="3">
                  <c:v>-17.59058544008165</c:v>
                </c:pt>
                <c:pt idx="4">
                  <c:v>-19.10394038728131</c:v>
                </c:pt>
                <c:pt idx="5">
                  <c:v>-19.41752113904696</c:v>
                </c:pt>
              </c:numCache>
            </c:numRef>
          </c:xVal>
          <c:yVal>
            <c:numRef>
              <c:f>Ggrid!$G$91:$L$91</c:f>
              <c:numCache>
                <c:formatCode>0.00</c:formatCode>
                <c:ptCount val="6"/>
                <c:pt idx="0">
                  <c:v>-6.669896883392097</c:v>
                </c:pt>
                <c:pt idx="1">
                  <c:v>-7.592734960277144</c:v>
                </c:pt>
                <c:pt idx="2">
                  <c:v>-8.251942744160391</c:v>
                </c:pt>
                <c:pt idx="3">
                  <c:v>-8.637338130891166</c:v>
                </c:pt>
                <c:pt idx="4">
                  <c:v>-8.43378654591675</c:v>
                </c:pt>
                <c:pt idx="5">
                  <c:v>-8.3706968833921</c:v>
                </c:pt>
              </c:numCache>
            </c:numRef>
          </c:yVal>
          <c:smooth val="1"/>
        </c:ser>
        <c:ser>
          <c:idx val="9"/>
          <c:order val="10"/>
          <c:tx>
            <c:strRef>
              <c:f>Ggrid!$A$12</c:f>
              <c:strCache>
                <c:ptCount val="1"/>
                <c:pt idx="0">
                  <c:v>300</c:v>
                </c:pt>
              </c:strCache>
            </c:strRef>
          </c:tx>
          <c:spPr>
            <a:ln w="12700">
              <a:solidFill>
                <a:srgbClr val="424242"/>
              </a:solidFill>
              <a:prstDash val="solid"/>
            </a:ln>
          </c:spPr>
          <c:marker>
            <c:symbol val="none"/>
          </c:marker>
          <c:xVal>
            <c:numRef>
              <c:f>Ggrid!$G$12:$L$12</c:f>
              <c:numCache>
                <c:formatCode>0.00</c:formatCode>
                <c:ptCount val="6"/>
                <c:pt idx="0">
                  <c:v>-10.12951203062698</c:v>
                </c:pt>
                <c:pt idx="1">
                  <c:v>-12.1623591248654</c:v>
                </c:pt>
                <c:pt idx="2">
                  <c:v>-13.91724704951564</c:v>
                </c:pt>
                <c:pt idx="3">
                  <c:v>-16.67880538459116</c:v>
                </c:pt>
                <c:pt idx="4">
                  <c:v>-17.61197627437573</c:v>
                </c:pt>
                <c:pt idx="5">
                  <c:v>-17.76071203062698</c:v>
                </c:pt>
              </c:numCache>
            </c:numRef>
          </c:xVal>
          <c:yVal>
            <c:numRef>
              <c:f>Ggrid!$G$92:$L$92</c:f>
              <c:numCache>
                <c:formatCode>0.00</c:formatCode>
                <c:ptCount val="6"/>
                <c:pt idx="0">
                  <c:v>-6.233412210775967</c:v>
                </c:pt>
                <c:pt idx="1">
                  <c:v>-7.072650120143565</c:v>
                </c:pt>
                <c:pt idx="2">
                  <c:v>-7.581081823587833</c:v>
                </c:pt>
                <c:pt idx="3">
                  <c:v>-7.710996289666633</c:v>
                </c:pt>
                <c:pt idx="4">
                  <c:v>-7.57654664439737</c:v>
                </c:pt>
                <c:pt idx="5">
                  <c:v>-7.549212210775971</c:v>
                </c:pt>
              </c:numCache>
            </c:numRef>
          </c:yVal>
          <c:smooth val="1"/>
        </c:ser>
        <c:ser>
          <c:idx val="10"/>
          <c:order val="11"/>
          <c:tx>
            <c:strRef>
              <c:f>Ggrid!$A$13</c:f>
              <c:strCache>
                <c:ptCount val="1"/>
                <c:pt idx="0">
                  <c:v>325</c:v>
                </c:pt>
              </c:strCache>
            </c:strRef>
          </c:tx>
          <c:spPr>
            <a:ln w="12700">
              <a:solidFill>
                <a:srgbClr val="424242"/>
              </a:solidFill>
              <a:prstDash val="solid"/>
            </a:ln>
          </c:spPr>
          <c:marker>
            <c:symbol val="none"/>
          </c:marker>
          <c:xVal>
            <c:numRef>
              <c:f>Ggrid!$G$13:$L$13</c:f>
              <c:numCache>
                <c:formatCode>0.00</c:formatCode>
                <c:ptCount val="6"/>
                <c:pt idx="0">
                  <c:v>-9.833426809532237</c:v>
                </c:pt>
                <c:pt idx="1">
                  <c:v>-11.80742128940501</c:v>
                </c:pt>
                <c:pt idx="2">
                  <c:v>-13.42676775616523</c:v>
                </c:pt>
                <c:pt idx="3">
                  <c:v>-15.55772680723334</c:v>
                </c:pt>
                <c:pt idx="4">
                  <c:v>-16.06623845928295</c:v>
                </c:pt>
                <c:pt idx="5">
                  <c:v>-16.13437680953224</c:v>
                </c:pt>
              </c:numCache>
            </c:numRef>
          </c:xVal>
          <c:yVal>
            <c:numRef>
              <c:f>Ggrid!$G$93:$L$93</c:f>
              <c:numCache>
                <c:formatCode>0.00</c:formatCode>
                <c:ptCount val="6"/>
                <c:pt idx="0">
                  <c:v>-5.835007719147391</c:v>
                </c:pt>
                <c:pt idx="1">
                  <c:v>-6.542881211873341</c:v>
                </c:pt>
                <c:pt idx="2">
                  <c:v>-6.870247376002599</c:v>
                </c:pt>
                <c:pt idx="3">
                  <c:v>-6.848775402766025</c:v>
                </c:pt>
                <c:pt idx="4">
                  <c:v>-6.776929890358842</c:v>
                </c:pt>
                <c:pt idx="5">
                  <c:v>-6.765807719147394</c:v>
                </c:pt>
              </c:numCache>
            </c:numRef>
          </c:yVal>
          <c:smooth val="1"/>
        </c:ser>
        <c:ser>
          <c:idx val="11"/>
          <c:order val="12"/>
          <c:tx>
            <c:strRef>
              <c:f>Ggrid!$A$14</c:f>
              <c:strCache>
                <c:ptCount val="1"/>
                <c:pt idx="0">
                  <c:v>350</c:v>
                </c:pt>
              </c:strCache>
            </c:strRef>
          </c:tx>
          <c:spPr>
            <a:ln w="12700">
              <a:solidFill>
                <a:srgbClr val="424242"/>
              </a:solidFill>
              <a:prstDash val="solid"/>
            </a:ln>
          </c:spPr>
          <c:marker>
            <c:symbol val="none"/>
          </c:marker>
          <c:xVal>
            <c:numRef>
              <c:f>Ggrid!$G$14:$L$14</c:f>
              <c:numCache>
                <c:formatCode>0.00</c:formatCode>
                <c:ptCount val="6"/>
                <c:pt idx="0">
                  <c:v>-9.564019602367016</c:v>
                </c:pt>
                <c:pt idx="1">
                  <c:v>-11.42204821801093</c:v>
                </c:pt>
                <c:pt idx="2">
                  <c:v>-12.81149971029301</c:v>
                </c:pt>
                <c:pt idx="3">
                  <c:v>-14.25458143034415</c:v>
                </c:pt>
                <c:pt idx="4">
                  <c:v>-14.50438663994717</c:v>
                </c:pt>
                <c:pt idx="5">
                  <c:v>-14.53471960236702</c:v>
                </c:pt>
              </c:numCache>
            </c:numRef>
          </c:xVal>
          <c:yVal>
            <c:numRef>
              <c:f>Ggrid!$G$94:$L$94</c:f>
              <c:numCache>
                <c:formatCode>0.00</c:formatCode>
                <c:ptCount val="6"/>
                <c:pt idx="0">
                  <c:v>-5.470035483366494</c:v>
                </c:pt>
                <c:pt idx="1">
                  <c:v>-5.98413884440953</c:v>
                </c:pt>
                <c:pt idx="2">
                  <c:v>-6.130099162304323</c:v>
                </c:pt>
                <c:pt idx="3">
                  <c:v>-6.05345713865849</c:v>
                </c:pt>
                <c:pt idx="4">
                  <c:v>-6.020208229429347</c:v>
                </c:pt>
                <c:pt idx="5">
                  <c:v>-6.015835483366496</c:v>
                </c:pt>
              </c:numCache>
            </c:numRef>
          </c:yVal>
          <c:smooth val="1"/>
        </c:ser>
        <c:ser>
          <c:idx val="13"/>
          <c:order val="13"/>
          <c:tx>
            <c:v>data</c:v>
          </c:tx>
          <c:spPr>
            <a:ln w="28575">
              <a:noFill/>
            </a:ln>
          </c:spPr>
          <c:marker>
            <c:symbol val="diamond"/>
            <c:size val="7"/>
            <c:spPr>
              <a:solidFill>
                <a:srgbClr val="CC9CCC"/>
              </a:solidFill>
              <a:ln>
                <a:solidFill>
                  <a:srgbClr val="CC9CCC"/>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input!$BB$11:$BB$40</c:f>
              <c:numCache>
                <c:formatCode>0.00</c:formatCode>
                <c:ptCount val="30"/>
                <c:pt idx="0">
                  <c:v>-21.13890462847801</c:v>
                </c:pt>
                <c:pt idx="1">
                  <c:v>-10.04661094995709</c:v>
                </c:pt>
                <c:pt idx="2">
                  <c:v>-14.25223866757039</c:v>
                </c:pt>
                <c:pt idx="3">
                  <c:v>-8.500403599989176</c:v>
                </c:pt>
                <c:pt idx="4">
                  <c:v>-3.635383132302186</c:v>
                </c:pt>
                <c:pt idx="5">
                  <c:v>-15.44103523720488</c:v>
                </c:pt>
                <c:pt idx="6">
                  <c:v>-15.5701735668457</c:v>
                </c:pt>
                <c:pt idx="7">
                  <c:v>-10.06405086058366</c:v>
                </c:pt>
                <c:pt idx="8">
                  <c:v>-2.146683499677189</c:v>
                </c:pt>
                <c:pt idx="9">
                  <c:v>-8.357729026573728</c:v>
                </c:pt>
                <c:pt idx="10">
                  <c:v>-13.79170463415702</c:v>
                </c:pt>
                <c:pt idx="11">
                  <c:v>-20.08734067557031</c:v>
                </c:pt>
                <c:pt idx="12">
                  <c:v>-11.96576657981176</c:v>
                </c:pt>
                <c:pt idx="13">
                  <c:v>-19.98161304373061</c:v>
                </c:pt>
                <c:pt idx="14">
                  <c:v>-5.460456153829234</c:v>
                </c:pt>
                <c:pt idx="15">
                  <c:v>-4.142498085358394</c:v>
                </c:pt>
                <c:pt idx="16">
                  <c:v>-8.792543865410534</c:v>
                </c:pt>
                <c:pt idx="17">
                  <c:v>-7.122567296770798</c:v>
                </c:pt>
                <c:pt idx="18">
                  <c:v>-16.08843074183035</c:v>
                </c:pt>
                <c:pt idx="19">
                  <c:v>-17.21542644803975</c:v>
                </c:pt>
                <c:pt idx="20">
                  <c:v>0.0</c:v>
                </c:pt>
                <c:pt idx="21">
                  <c:v>0.0</c:v>
                </c:pt>
                <c:pt idx="22">
                  <c:v>0.0</c:v>
                </c:pt>
                <c:pt idx="23">
                  <c:v>0.0</c:v>
                </c:pt>
                <c:pt idx="24">
                  <c:v>0.0</c:v>
                </c:pt>
                <c:pt idx="25">
                  <c:v>0.0</c:v>
                </c:pt>
                <c:pt idx="26">
                  <c:v>0.0</c:v>
                </c:pt>
                <c:pt idx="27">
                  <c:v>0.0</c:v>
                </c:pt>
                <c:pt idx="28">
                  <c:v>0.0</c:v>
                </c:pt>
                <c:pt idx="29">
                  <c:v>0.0</c:v>
                </c:pt>
              </c:numCache>
            </c:numRef>
          </c:xVal>
          <c:yVal>
            <c:numRef>
              <c:f>input!$BC$11:$BC$40</c:f>
              <c:numCache>
                <c:formatCode>0.00</c:formatCode>
                <c:ptCount val="30"/>
                <c:pt idx="0">
                  <c:v>-8.210853365314893</c:v>
                </c:pt>
                <c:pt idx="1">
                  <c:v>-3.61298737464441</c:v>
                </c:pt>
                <c:pt idx="2">
                  <c:v>-3.829718565308888</c:v>
                </c:pt>
                <c:pt idx="3">
                  <c:v>-2.675559245272123</c:v>
                </c:pt>
                <c:pt idx="4">
                  <c:v>-3.69849331520244</c:v>
                </c:pt>
                <c:pt idx="5">
                  <c:v>-3.420691458408589</c:v>
                </c:pt>
                <c:pt idx="6">
                  <c:v>-5.106297217661752</c:v>
                </c:pt>
                <c:pt idx="7">
                  <c:v>-4.278187060118388</c:v>
                </c:pt>
                <c:pt idx="8">
                  <c:v>-0.927332908505953</c:v>
                </c:pt>
                <c:pt idx="9">
                  <c:v>-2.959692771184502</c:v>
                </c:pt>
                <c:pt idx="10">
                  <c:v>-5.29748330256185</c:v>
                </c:pt>
                <c:pt idx="11">
                  <c:v>-3.790649148937645</c:v>
                </c:pt>
                <c:pt idx="12">
                  <c:v>-3.489182983839688</c:v>
                </c:pt>
                <c:pt idx="13">
                  <c:v>-5.64432480675884</c:v>
                </c:pt>
                <c:pt idx="14">
                  <c:v>-3.226457927121313</c:v>
                </c:pt>
                <c:pt idx="15">
                  <c:v>-3.722146225141851</c:v>
                </c:pt>
                <c:pt idx="16">
                  <c:v>-3.226176228832704</c:v>
                </c:pt>
                <c:pt idx="17">
                  <c:v>-2.401829948195805</c:v>
                </c:pt>
                <c:pt idx="18">
                  <c:v>-5.593636304391267</c:v>
                </c:pt>
                <c:pt idx="19">
                  <c:v>-6.464705879957229</c:v>
                </c:pt>
                <c:pt idx="20">
                  <c:v>-5.260709884772745</c:v>
                </c:pt>
                <c:pt idx="21">
                  <c:v>0.0</c:v>
                </c:pt>
                <c:pt idx="22">
                  <c:v>0.0</c:v>
                </c:pt>
                <c:pt idx="23">
                  <c:v>0.0</c:v>
                </c:pt>
                <c:pt idx="24">
                  <c:v>0.0</c:v>
                </c:pt>
                <c:pt idx="25">
                  <c:v>0.0</c:v>
                </c:pt>
                <c:pt idx="26">
                  <c:v>0.0</c:v>
                </c:pt>
                <c:pt idx="27">
                  <c:v>0.0</c:v>
                </c:pt>
                <c:pt idx="28">
                  <c:v>0.0</c:v>
                </c:pt>
                <c:pt idx="29">
                  <c:v>0.0</c:v>
                </c:pt>
              </c:numCache>
            </c:numRef>
          </c:yVal>
          <c:smooth val="1"/>
        </c:ser>
        <c:dLbls>
          <c:showLegendKey val="0"/>
          <c:showVal val="0"/>
          <c:showCatName val="0"/>
          <c:showSerName val="0"/>
          <c:showPercent val="0"/>
          <c:showBubbleSize val="0"/>
        </c:dLbls>
        <c:axId val="2103287928"/>
        <c:axId val="2103295576"/>
      </c:scatterChart>
      <c:valAx>
        <c:axId val="2103287928"/>
        <c:scaling>
          <c:orientation val="minMax"/>
          <c:max val="-8.0"/>
          <c:min val="-26.0"/>
        </c:scaling>
        <c:delete val="0"/>
        <c:axPos val="b"/>
        <c:title>
          <c:tx>
            <c:rich>
              <a:bodyPr/>
              <a:lstStyle/>
              <a:p>
                <a:pPr>
                  <a:defRPr sz="1200" b="1"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FT  log (r</a:t>
                </a:r>
                <a:r>
                  <a:rPr lang="en-US" sz="1200" b="1" i="0" u="none" strike="noStrike" baseline="-25000">
                    <a:solidFill>
                      <a:srgbClr val="000000"/>
                    </a:solidFill>
                    <a:latin typeface="Arial"/>
                    <a:cs typeface="Arial"/>
                  </a:rPr>
                  <a:t>CO2</a:t>
                </a:r>
                <a:r>
                  <a:rPr lang="en-US" sz="1200" b="1" i="0" u="none" strike="noStrike" baseline="0">
                    <a:solidFill>
                      <a:srgbClr val="000000"/>
                    </a:solidFill>
                    <a:latin typeface="Arial"/>
                    <a:cs typeface="Arial"/>
                  </a:rPr>
                  <a:t>) + 4 log (r</a:t>
                </a:r>
                <a:r>
                  <a:rPr lang="en-US" sz="1200" b="1" i="0" u="none" strike="noStrike" baseline="-25000">
                    <a:solidFill>
                      <a:srgbClr val="000000"/>
                    </a:solidFill>
                    <a:latin typeface="Arial"/>
                    <a:cs typeface="Arial"/>
                  </a:rPr>
                  <a:t>H2</a:t>
                </a:r>
                <a:r>
                  <a:rPr lang="en-US" sz="1200" b="1" i="0" u="none" strike="noStrike" baseline="0">
                    <a:solidFill>
                      <a:srgbClr val="000000"/>
                    </a:solidFill>
                    <a:latin typeface="Arial"/>
                    <a:cs typeface="Arial"/>
                  </a:rPr>
                  <a:t>) - log (r</a:t>
                </a:r>
                <a:r>
                  <a:rPr lang="en-US" sz="1200" b="1" i="0" u="none" strike="noStrike" baseline="-25000">
                    <a:solidFill>
                      <a:srgbClr val="000000"/>
                    </a:solidFill>
                    <a:latin typeface="Arial"/>
                    <a:cs typeface="Arial"/>
                  </a:rPr>
                  <a:t>CH4</a:t>
                </a:r>
                <a:r>
                  <a:rPr lang="en-US" sz="1200" b="1" i="0" u="none" strike="noStrike" baseline="0">
                    <a:solidFill>
                      <a:srgbClr val="000000"/>
                    </a:solidFill>
                    <a:latin typeface="Arial"/>
                    <a:cs typeface="Arial"/>
                  </a:rPr>
                  <a:t>)  (WG 1980)</a:t>
                </a:r>
              </a:p>
            </c:rich>
          </c:tx>
          <c:layout>
            <c:manualLayout>
              <c:xMode val="edge"/>
              <c:yMode val="edge"/>
              <c:x val="0.330486763450043"/>
              <c:y val="0.952267303102625"/>
            </c:manualLayout>
          </c:layout>
          <c:overlay val="0"/>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3295576"/>
        <c:crossesAt val="-25.0"/>
        <c:crossBetween val="midCat"/>
        <c:majorUnit val="4.0"/>
        <c:minorUnit val="1.0"/>
      </c:valAx>
      <c:valAx>
        <c:axId val="2103295576"/>
        <c:scaling>
          <c:orientation val="minMax"/>
          <c:max val="-4.0"/>
          <c:min val="-13.0"/>
        </c:scaling>
        <c:delete val="0"/>
        <c:axPos val="l"/>
        <c:title>
          <c:tx>
            <c:rich>
              <a:bodyPr/>
              <a:lstStyle/>
              <a:p>
                <a:pPr>
                  <a:defRPr sz="1200" b="1"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HSH  3log (r</a:t>
                </a:r>
                <a:r>
                  <a:rPr lang="en-US" sz="1200" b="1" i="0" u="none" strike="noStrike" baseline="-25000">
                    <a:solidFill>
                      <a:srgbClr val="000000"/>
                    </a:solidFill>
                    <a:latin typeface="Arial"/>
                    <a:cs typeface="Arial"/>
                  </a:rPr>
                  <a:t>H2S</a:t>
                </a:r>
                <a:r>
                  <a:rPr lang="en-US" sz="1200" b="1" i="0" u="none" strike="noStrike" baseline="0">
                    <a:solidFill>
                      <a:srgbClr val="000000"/>
                    </a:solidFill>
                    <a:latin typeface="Arial"/>
                    <a:cs typeface="Arial"/>
                  </a:rPr>
                  <a:t>) - log(r</a:t>
                </a:r>
                <a:r>
                  <a:rPr lang="en-US" sz="1200" b="1" i="0" u="none" strike="noStrike" baseline="-25000">
                    <a:solidFill>
                      <a:srgbClr val="000000"/>
                    </a:solidFill>
                    <a:latin typeface="Arial"/>
                    <a:cs typeface="Arial"/>
                  </a:rPr>
                  <a:t>H2</a:t>
                </a:r>
                <a:r>
                  <a:rPr lang="en-US" sz="1200" b="1" i="0" u="none" strike="noStrike" baseline="0">
                    <a:solidFill>
                      <a:srgbClr val="000000"/>
                    </a:solidFill>
                    <a:latin typeface="Arial"/>
                    <a:cs typeface="Arial"/>
                  </a:rPr>
                  <a:t>)  (WG 1980)</a:t>
                </a:r>
              </a:p>
            </c:rich>
          </c:tx>
          <c:layout>
            <c:manualLayout>
              <c:xMode val="edge"/>
              <c:yMode val="edge"/>
              <c:x val="0.0170794192997438"/>
              <c:y val="0.26372315035799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3287928"/>
        <c:crossesAt val="-35.0"/>
        <c:crossBetween val="midCat"/>
        <c:majorUnit val="1.0"/>
        <c:minorUnit val="1.0"/>
      </c:valAx>
      <c:spPr>
        <a:noFill/>
        <a:ln w="12700">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22572815533981"/>
          <c:y val="0.0432330827067669"/>
          <c:w val="0.854368932038835"/>
          <c:h val="0.885338345864661"/>
        </c:manualLayout>
      </c:layout>
      <c:scatterChart>
        <c:scatterStyle val="smoothMarker"/>
        <c:varyColors val="0"/>
        <c:ser>
          <c:idx val="0"/>
          <c:order val="0"/>
          <c:tx>
            <c:v>vapor</c:v>
          </c:tx>
          <c:spPr>
            <a:ln w="12700">
              <a:solidFill>
                <a:srgbClr val="424242"/>
              </a:solidFill>
              <a:prstDash val="solid"/>
            </a:ln>
          </c:spPr>
          <c:marker>
            <c:symbol val="none"/>
          </c:marker>
          <c:xVal>
            <c:numRef>
              <c:f>Ggrid!$J$108:$J$113</c:f>
              <c:numCache>
                <c:formatCode>0.00</c:formatCode>
                <c:ptCount val="6"/>
                <c:pt idx="0">
                  <c:v>-6.34180965147453</c:v>
                </c:pt>
                <c:pt idx="1">
                  <c:v>-5.629420803782505</c:v>
                </c:pt>
                <c:pt idx="2">
                  <c:v>-5.067642706131078</c:v>
                </c:pt>
                <c:pt idx="3">
                  <c:v>-4.61327915869981</c:v>
                </c:pt>
                <c:pt idx="4">
                  <c:v>-4.238211169284467</c:v>
                </c:pt>
                <c:pt idx="5">
                  <c:v>-3.923346709470305</c:v>
                </c:pt>
              </c:numCache>
            </c:numRef>
          </c:xVal>
          <c:yVal>
            <c:numRef>
              <c:f>Ggrid!$J$128:$J$133</c:f>
              <c:numCache>
                <c:formatCode>0.00</c:formatCode>
                <c:ptCount val="6"/>
                <c:pt idx="0">
                  <c:v>2.825080428954424</c:v>
                </c:pt>
                <c:pt idx="1">
                  <c:v>1.18322695035461</c:v>
                </c:pt>
                <c:pt idx="2">
                  <c:v>-0.111511627906976</c:v>
                </c:pt>
                <c:pt idx="3">
                  <c:v>-1.158690248565964</c:v>
                </c:pt>
                <c:pt idx="4">
                  <c:v>-2.023115183246073</c:v>
                </c:pt>
                <c:pt idx="5">
                  <c:v>-2.74878812199037</c:v>
                </c:pt>
              </c:numCache>
            </c:numRef>
          </c:yVal>
          <c:smooth val="1"/>
        </c:ser>
        <c:ser>
          <c:idx val="1"/>
          <c:order val="1"/>
          <c:tx>
            <c:v>liquid</c:v>
          </c:tx>
          <c:spPr>
            <a:ln w="12700">
              <a:solidFill>
                <a:srgbClr val="424242"/>
              </a:solidFill>
              <a:prstDash val="solid"/>
            </a:ln>
          </c:spPr>
          <c:marker>
            <c:symbol val="none"/>
          </c:marker>
          <c:dLbls>
            <c:dLbl>
              <c:idx val="0"/>
              <c:tx>
                <c:strRef>
                  <c:f>Ggrid!$A$108</c:f>
                  <c:strCache>
                    <c:ptCount val="1"/>
                    <c:pt idx="0">
                      <c:v>100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1"/>
              <c:tx>
                <c:strRef>
                  <c:f>Ggrid!$A$109</c:f>
                  <c:strCache>
                    <c:ptCount val="1"/>
                    <c:pt idx="0">
                      <c:v>150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2"/>
              <c:tx>
                <c:strRef>
                  <c:f>Ggrid!$A$110</c:f>
                  <c:strCache>
                    <c:ptCount val="1"/>
                    <c:pt idx="0">
                      <c:v>200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3"/>
              <c:tx>
                <c:strRef>
                  <c:f>Ggrid!$A$111</c:f>
                  <c:strCache>
                    <c:ptCount val="1"/>
                    <c:pt idx="0">
                      <c:v>250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4"/>
              <c:tx>
                <c:strRef>
                  <c:f>Ggrid!$A$112</c:f>
                  <c:strCache>
                    <c:ptCount val="1"/>
                    <c:pt idx="0">
                      <c:v>300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dLbl>
              <c:idx val="5"/>
              <c:tx>
                <c:strRef>
                  <c:f>Ggrid!$A$113</c:f>
                  <c:strCache>
                    <c:ptCount val="1"/>
                    <c:pt idx="0">
                      <c:v>350</c:v>
                    </c:pt>
                  </c:strCache>
                </c:strRef>
              </c:tx>
              <c:spPr>
                <a:noFill/>
                <a:ln w="25400">
                  <a:noFill/>
                </a:ln>
              </c:spPr>
              <c:txPr>
                <a:bodyPr rot="-1800000" vert="horz"/>
                <a:lstStyle/>
                <a:p>
                  <a:pPr algn="ctr">
                    <a:defRPr sz="1150" b="0" i="0" u="none" strike="noStrike" baseline="0">
                      <a:solidFill>
                        <a:srgbClr val="424242"/>
                      </a:solidFill>
                      <a:latin typeface="Arial"/>
                      <a:ea typeface="Arial"/>
                      <a:cs typeface="Arial"/>
                    </a:defRPr>
                  </a:pPr>
                  <a:endParaRPr lang="en-US"/>
                </a:p>
              </c:txPr>
              <c:dLblPos val="r"/>
              <c:showLegendKey val="0"/>
              <c:showVal val="0"/>
              <c:showCatName val="0"/>
              <c:showSerName val="0"/>
              <c:showPercent val="0"/>
              <c:showBubbleSize val="0"/>
            </c:dLbl>
            <c:showLegendKey val="0"/>
            <c:showVal val="0"/>
            <c:showCatName val="0"/>
            <c:showSerName val="0"/>
            <c:showPercent val="0"/>
            <c:showBubbleSize val="0"/>
          </c:dLbls>
          <c:xVal>
            <c:numRef>
              <c:f>Ggrid!$K$108:$K$113</c:f>
              <c:numCache>
                <c:formatCode>0.00</c:formatCode>
                <c:ptCount val="6"/>
                <c:pt idx="0">
                  <c:v>-7.603809651474531</c:v>
                </c:pt>
                <c:pt idx="1">
                  <c:v>-6.743420803782505</c:v>
                </c:pt>
                <c:pt idx="2">
                  <c:v>-6.03364270613108</c:v>
                </c:pt>
                <c:pt idx="3">
                  <c:v>-5.43127915869981</c:v>
                </c:pt>
                <c:pt idx="4">
                  <c:v>-4.908211169284467</c:v>
                </c:pt>
                <c:pt idx="5">
                  <c:v>-4.445346709470305</c:v>
                </c:pt>
              </c:numCache>
            </c:numRef>
          </c:xVal>
          <c:yVal>
            <c:numRef>
              <c:f>Ggrid!$K$128:$K$133</c:f>
              <c:numCache>
                <c:formatCode>0.00</c:formatCode>
                <c:ptCount val="6"/>
                <c:pt idx="0">
                  <c:v>1.797080428954424</c:v>
                </c:pt>
                <c:pt idx="1">
                  <c:v>0.30072695035461</c:v>
                </c:pt>
                <c:pt idx="2">
                  <c:v>-0.848511627906976</c:v>
                </c:pt>
                <c:pt idx="3">
                  <c:v>-1.750190248565964</c:v>
                </c:pt>
                <c:pt idx="4">
                  <c:v>-2.469115183246073</c:v>
                </c:pt>
                <c:pt idx="5">
                  <c:v>-3.049288121990368</c:v>
                </c:pt>
              </c:numCache>
            </c:numRef>
          </c:yVal>
          <c:smooth val="1"/>
        </c:ser>
        <c:ser>
          <c:idx val="2"/>
          <c:order val="2"/>
          <c:tx>
            <c:v>100</c:v>
          </c:tx>
          <c:spPr>
            <a:ln w="12700">
              <a:solidFill>
                <a:srgbClr val="424242"/>
              </a:solidFill>
              <a:prstDash val="solid"/>
            </a:ln>
          </c:spPr>
          <c:marker>
            <c:symbol val="none"/>
          </c:marker>
          <c:dLbls>
            <c:dLbl>
              <c:idx val="0"/>
              <c:delete val="1"/>
            </c:dLbl>
            <c:dLbl>
              <c:idx val="1"/>
              <c:delete val="1"/>
            </c:dLbl>
            <c:dLbl>
              <c:idx val="2"/>
              <c:layout>
                <c:manualLayout>
                  <c:xMode val="edge"/>
                  <c:yMode val="edge"/>
                  <c:x val="0.513349514563107"/>
                  <c:y val="0.132518796992481"/>
                </c:manualLayout>
              </c:layout>
              <c:tx>
                <c:rich>
                  <a:bodyPr/>
                  <a:lstStyle/>
                  <a:p>
                    <a:r>
                      <a:t>Equilibrated Vapor </a:t>
                    </a:r>
                  </a:p>
                </c:rich>
              </c:tx>
              <c:dLblPos val="r"/>
              <c:showLegendKey val="0"/>
              <c:showVal val="0"/>
              <c:showCatName val="0"/>
              <c:showSerName val="0"/>
              <c:showPercent val="0"/>
              <c:showBubbleSize val="0"/>
            </c:dLbl>
            <c:dLbl>
              <c:idx val="3"/>
              <c:layout>
                <c:manualLayout>
                  <c:xMode val="edge"/>
                  <c:yMode val="edge"/>
                  <c:x val="0.37621359223301"/>
                  <c:y val="0.236842105263158"/>
                </c:manualLayout>
              </c:layout>
              <c:tx>
                <c:rich>
                  <a:bodyPr rot="3300000" vert="horz"/>
                  <a:lstStyle/>
                  <a:p>
                    <a:pPr algn="l">
                      <a:defRPr sz="1150" b="1" i="1" u="none" strike="noStrike" baseline="0">
                        <a:solidFill>
                          <a:srgbClr val="424242"/>
                        </a:solidFill>
                        <a:latin typeface="Arial"/>
                        <a:ea typeface="Arial"/>
                        <a:cs typeface="Arial"/>
                      </a:defRPr>
                    </a:pPr>
                    <a:r>
                      <a:t>Equilibrated Liquid 
              </a:t>
                    </a:r>
                  </a:p>
                </c:rich>
              </c:tx>
              <c:spPr>
                <a:noFill/>
                <a:ln w="25400">
                  <a:noFill/>
                </a:ln>
              </c:spPr>
              <c:dLblPos val="r"/>
              <c:showLegendKey val="0"/>
              <c:showVal val="0"/>
              <c:showCatName val="0"/>
              <c:showSerName val="0"/>
              <c:showPercent val="0"/>
              <c:showBubbleSize val="0"/>
            </c:dLbl>
            <c:dLbl>
              <c:idx val="4"/>
              <c:delete val="1"/>
            </c:dLbl>
            <c:dLbl>
              <c:idx val="5"/>
              <c:delete val="1"/>
            </c:dLbl>
            <c:dLbl>
              <c:idx val="6"/>
              <c:delete val="1"/>
            </c:dLbl>
            <c:dLbl>
              <c:idx val="7"/>
              <c:delete val="1"/>
            </c:dLbl>
            <c:dLbl>
              <c:idx val="8"/>
              <c:delete val="1"/>
            </c:dLbl>
            <c:spPr>
              <a:noFill/>
              <a:ln w="25400">
                <a:noFill/>
              </a:ln>
            </c:spPr>
            <c:txPr>
              <a:bodyPr rot="3600000" vert="horz"/>
              <a:lstStyle/>
              <a:p>
                <a:pPr algn="l">
                  <a:defRPr sz="1150" b="1" i="1" u="none" strike="noStrike" baseline="0">
                    <a:solidFill>
                      <a:srgbClr val="424242"/>
                    </a:solidFill>
                    <a:latin typeface="Arial"/>
                    <a:ea typeface="Arial"/>
                    <a:cs typeface="Arial"/>
                  </a:defRPr>
                </a:pPr>
                <a:endParaRPr lang="en-US"/>
              </a:p>
            </c:txPr>
            <c:dLblPos val="ctr"/>
            <c:showLegendKey val="0"/>
            <c:showVal val="1"/>
            <c:showCatName val="0"/>
            <c:showSerName val="0"/>
            <c:showPercent val="0"/>
            <c:showBubbleSize val="0"/>
            <c:showLeaderLines val="0"/>
          </c:dLbls>
          <c:xVal>
            <c:numRef>
              <c:f>Ggrid!$H$108:$P$108</c:f>
              <c:numCache>
                <c:formatCode>0.00</c:formatCode>
                <c:ptCount val="9"/>
                <c:pt idx="0">
                  <c:v>-4.34180965147453</c:v>
                </c:pt>
                <c:pt idx="1">
                  <c:v>-5.34180965147453</c:v>
                </c:pt>
                <c:pt idx="2">
                  <c:v>-6.34180965147453</c:v>
                </c:pt>
                <c:pt idx="3">
                  <c:v>-7.603809651474531</c:v>
                </c:pt>
                <c:pt idx="4">
                  <c:v>-8.603809651474531</c:v>
                </c:pt>
                <c:pt idx="5">
                  <c:v>-9.603809651474531</c:v>
                </c:pt>
                <c:pt idx="6">
                  <c:v>-10.60380965147453</c:v>
                </c:pt>
                <c:pt idx="7">
                  <c:v>-12.60380965147453</c:v>
                </c:pt>
                <c:pt idx="8">
                  <c:v>-13.60380965147453</c:v>
                </c:pt>
              </c:numCache>
            </c:numRef>
          </c:xVal>
          <c:yVal>
            <c:numRef>
              <c:f>Ggrid!$H$128:$P$128</c:f>
              <c:numCache>
                <c:formatCode>0.00</c:formatCode>
                <c:ptCount val="9"/>
                <c:pt idx="0">
                  <c:v>10.82508042895442</c:v>
                </c:pt>
                <c:pt idx="1">
                  <c:v>6.825080428954424</c:v>
                </c:pt>
                <c:pt idx="2">
                  <c:v>2.825080428954424</c:v>
                </c:pt>
                <c:pt idx="3">
                  <c:v>1.797080428954424</c:v>
                </c:pt>
                <c:pt idx="4">
                  <c:v>-2.202919571045576</c:v>
                </c:pt>
                <c:pt idx="5">
                  <c:v>-6.202919571045574</c:v>
                </c:pt>
                <c:pt idx="6">
                  <c:v>-10.20291957104557</c:v>
                </c:pt>
                <c:pt idx="7">
                  <c:v>-18.20291957104557</c:v>
                </c:pt>
                <c:pt idx="8">
                  <c:v>-22.20291957104558</c:v>
                </c:pt>
              </c:numCache>
            </c:numRef>
          </c:yVal>
          <c:smooth val="0"/>
        </c:ser>
        <c:ser>
          <c:idx val="3"/>
          <c:order val="3"/>
          <c:tx>
            <c:v>150</c:v>
          </c:tx>
          <c:spPr>
            <a:ln w="12700">
              <a:solidFill>
                <a:srgbClr val="424242"/>
              </a:solidFill>
              <a:prstDash val="solid"/>
            </a:ln>
          </c:spPr>
          <c:marker>
            <c:symbol val="none"/>
          </c:marker>
          <c:xVal>
            <c:numRef>
              <c:f>Ggrid!$G$109:$P$109</c:f>
              <c:numCache>
                <c:formatCode>0.00</c:formatCode>
                <c:ptCount val="10"/>
                <c:pt idx="0">
                  <c:v>-2.629420803782505</c:v>
                </c:pt>
                <c:pt idx="1">
                  <c:v>-3.629420803782505</c:v>
                </c:pt>
                <c:pt idx="2">
                  <c:v>-4.629420803782505</c:v>
                </c:pt>
                <c:pt idx="3">
                  <c:v>-5.629420803782505</c:v>
                </c:pt>
                <c:pt idx="4">
                  <c:v>-6.743420803782505</c:v>
                </c:pt>
                <c:pt idx="5">
                  <c:v>-7.743420803782505</c:v>
                </c:pt>
                <c:pt idx="6">
                  <c:v>-8.743420803782506</c:v>
                </c:pt>
                <c:pt idx="7">
                  <c:v>-9.743420803782506</c:v>
                </c:pt>
                <c:pt idx="8">
                  <c:v>-11.74342080378251</c:v>
                </c:pt>
                <c:pt idx="9">
                  <c:v>-12.74342080378251</c:v>
                </c:pt>
              </c:numCache>
            </c:numRef>
          </c:xVal>
          <c:yVal>
            <c:numRef>
              <c:f>Ggrid!$G$129:$P$129</c:f>
              <c:numCache>
                <c:formatCode>0.00</c:formatCode>
                <c:ptCount val="10"/>
                <c:pt idx="0">
                  <c:v>13.18322695035461</c:v>
                </c:pt>
                <c:pt idx="1">
                  <c:v>9.18322695035461</c:v>
                </c:pt>
                <c:pt idx="2">
                  <c:v>5.18322695035461</c:v>
                </c:pt>
                <c:pt idx="3">
                  <c:v>1.18322695035461</c:v>
                </c:pt>
                <c:pt idx="4">
                  <c:v>0.30072695035461</c:v>
                </c:pt>
                <c:pt idx="5">
                  <c:v>-3.69927304964539</c:v>
                </c:pt>
                <c:pt idx="6">
                  <c:v>-7.699273049645388</c:v>
                </c:pt>
                <c:pt idx="7">
                  <c:v>-11.69927304964539</c:v>
                </c:pt>
                <c:pt idx="8">
                  <c:v>-19.69927304964539</c:v>
                </c:pt>
                <c:pt idx="9">
                  <c:v>-23.6992730496454</c:v>
                </c:pt>
              </c:numCache>
            </c:numRef>
          </c:yVal>
          <c:smooth val="0"/>
        </c:ser>
        <c:ser>
          <c:idx val="5"/>
          <c:order val="4"/>
          <c:tx>
            <c:v>200</c:v>
          </c:tx>
          <c:spPr>
            <a:ln w="12700">
              <a:solidFill>
                <a:srgbClr val="424242"/>
              </a:solidFill>
              <a:prstDash val="solid"/>
            </a:ln>
          </c:spPr>
          <c:marker>
            <c:symbol val="none"/>
          </c:marker>
          <c:xVal>
            <c:numRef>
              <c:f>Ggrid!$G$110:$P$110</c:f>
              <c:numCache>
                <c:formatCode>0.00</c:formatCode>
                <c:ptCount val="10"/>
                <c:pt idx="0">
                  <c:v>-2.067642706131078</c:v>
                </c:pt>
                <c:pt idx="1">
                  <c:v>-3.067642706131078</c:v>
                </c:pt>
                <c:pt idx="2">
                  <c:v>-4.067642706131078</c:v>
                </c:pt>
                <c:pt idx="3">
                  <c:v>-5.067642706131078</c:v>
                </c:pt>
                <c:pt idx="4">
                  <c:v>-6.03364270613108</c:v>
                </c:pt>
                <c:pt idx="5">
                  <c:v>-7.03364270613108</c:v>
                </c:pt>
                <c:pt idx="6">
                  <c:v>-8.033642706131079</c:v>
                </c:pt>
                <c:pt idx="7">
                  <c:v>-9.033642706131079</c:v>
                </c:pt>
                <c:pt idx="8">
                  <c:v>-11.03364270613108</c:v>
                </c:pt>
                <c:pt idx="9">
                  <c:v>-12.03364270613108</c:v>
                </c:pt>
              </c:numCache>
            </c:numRef>
          </c:xVal>
          <c:yVal>
            <c:numRef>
              <c:f>Ggrid!$G$130:$P$130</c:f>
              <c:numCache>
                <c:formatCode>0.00</c:formatCode>
                <c:ptCount val="10"/>
                <c:pt idx="0">
                  <c:v>11.88848837209302</c:v>
                </c:pt>
                <c:pt idx="1">
                  <c:v>7.888488372093024</c:v>
                </c:pt>
                <c:pt idx="2">
                  <c:v>3.888488372093024</c:v>
                </c:pt>
                <c:pt idx="3">
                  <c:v>-0.111511627906976</c:v>
                </c:pt>
                <c:pt idx="4">
                  <c:v>-0.848511627906976</c:v>
                </c:pt>
                <c:pt idx="5">
                  <c:v>-4.848511627906976</c:v>
                </c:pt>
                <c:pt idx="6">
                  <c:v>-8.848511627906975</c:v>
                </c:pt>
                <c:pt idx="7">
                  <c:v>-12.84851162790697</c:v>
                </c:pt>
                <c:pt idx="8">
                  <c:v>-20.84851162790697</c:v>
                </c:pt>
                <c:pt idx="9">
                  <c:v>-24.84851162790698</c:v>
                </c:pt>
              </c:numCache>
            </c:numRef>
          </c:yVal>
          <c:smooth val="0"/>
        </c:ser>
        <c:ser>
          <c:idx val="4"/>
          <c:order val="5"/>
          <c:tx>
            <c:v>250</c:v>
          </c:tx>
          <c:spPr>
            <a:ln w="12700">
              <a:solidFill>
                <a:srgbClr val="424242"/>
              </a:solidFill>
              <a:prstDash val="solid"/>
            </a:ln>
          </c:spPr>
          <c:marker>
            <c:symbol val="none"/>
          </c:marker>
          <c:xVal>
            <c:numRef>
              <c:f>Ggrid!$F$111:$P$111</c:f>
              <c:numCache>
                <c:formatCode>0.00</c:formatCode>
                <c:ptCount val="11"/>
                <c:pt idx="0">
                  <c:v>-0.613279158699809</c:v>
                </c:pt>
                <c:pt idx="1">
                  <c:v>-1.613279158699809</c:v>
                </c:pt>
                <c:pt idx="2">
                  <c:v>-2.613279158699809</c:v>
                </c:pt>
                <c:pt idx="3">
                  <c:v>-3.613279158699809</c:v>
                </c:pt>
                <c:pt idx="4">
                  <c:v>-4.61327915869981</c:v>
                </c:pt>
                <c:pt idx="5">
                  <c:v>-5.43127915869981</c:v>
                </c:pt>
                <c:pt idx="6">
                  <c:v>-6.43127915869981</c:v>
                </c:pt>
                <c:pt idx="7">
                  <c:v>-7.43127915869981</c:v>
                </c:pt>
                <c:pt idx="8">
                  <c:v>-8.431279158699811</c:v>
                </c:pt>
                <c:pt idx="9">
                  <c:v>-10.43127915869981</c:v>
                </c:pt>
                <c:pt idx="10">
                  <c:v>-11.43127915869981</c:v>
                </c:pt>
              </c:numCache>
            </c:numRef>
          </c:xVal>
          <c:yVal>
            <c:numRef>
              <c:f>Ggrid!$F$131:$P$131</c:f>
              <c:numCache>
                <c:formatCode>0.00</c:formatCode>
                <c:ptCount val="11"/>
                <c:pt idx="0">
                  <c:v>14.84130975143404</c:v>
                </c:pt>
                <c:pt idx="1">
                  <c:v>10.84130975143404</c:v>
                </c:pt>
                <c:pt idx="2">
                  <c:v>6.841309751434035</c:v>
                </c:pt>
                <c:pt idx="3">
                  <c:v>2.841309751434036</c:v>
                </c:pt>
                <c:pt idx="4">
                  <c:v>-1.158690248565964</c:v>
                </c:pt>
                <c:pt idx="5">
                  <c:v>-1.750190248565964</c:v>
                </c:pt>
                <c:pt idx="6">
                  <c:v>-5.750190248565964</c:v>
                </c:pt>
                <c:pt idx="7">
                  <c:v>-9.75019024856596</c:v>
                </c:pt>
                <c:pt idx="8">
                  <c:v>-13.75019024856596</c:v>
                </c:pt>
                <c:pt idx="9">
                  <c:v>-21.75019024856596</c:v>
                </c:pt>
                <c:pt idx="10">
                  <c:v>-25.75019024856597</c:v>
                </c:pt>
              </c:numCache>
            </c:numRef>
          </c:yVal>
          <c:smooth val="0"/>
        </c:ser>
        <c:ser>
          <c:idx val="6"/>
          <c:order val="6"/>
          <c:tx>
            <c:v>300</c:v>
          </c:tx>
          <c:spPr>
            <a:ln w="12700">
              <a:solidFill>
                <a:srgbClr val="424242"/>
              </a:solidFill>
              <a:prstDash val="solid"/>
            </a:ln>
          </c:spPr>
          <c:marker>
            <c:symbol val="none"/>
          </c:marker>
          <c:xVal>
            <c:numRef>
              <c:f>Ggrid!$G$112:$P$112</c:f>
              <c:numCache>
                <c:formatCode>0.00</c:formatCode>
                <c:ptCount val="10"/>
                <c:pt idx="0">
                  <c:v>-1.238211169284467</c:v>
                </c:pt>
                <c:pt idx="1">
                  <c:v>-2.238211169284467</c:v>
                </c:pt>
                <c:pt idx="2">
                  <c:v>-3.238211169284467</c:v>
                </c:pt>
                <c:pt idx="3">
                  <c:v>-4.238211169284467</c:v>
                </c:pt>
                <c:pt idx="4">
                  <c:v>-4.908211169284467</c:v>
                </c:pt>
                <c:pt idx="5">
                  <c:v>-5.908211169284467</c:v>
                </c:pt>
                <c:pt idx="6">
                  <c:v>-6.908211169284467</c:v>
                </c:pt>
                <c:pt idx="7">
                  <c:v>-7.908211169284467</c:v>
                </c:pt>
                <c:pt idx="8">
                  <c:v>-9.908211169284469</c:v>
                </c:pt>
                <c:pt idx="9">
                  <c:v>-10.90821116928447</c:v>
                </c:pt>
              </c:numCache>
            </c:numRef>
          </c:xVal>
          <c:yVal>
            <c:numRef>
              <c:f>Ggrid!$G$132:$P$132</c:f>
              <c:numCache>
                <c:formatCode>0.00</c:formatCode>
                <c:ptCount val="10"/>
                <c:pt idx="0">
                  <c:v>9.976884816753926</c:v>
                </c:pt>
                <c:pt idx="1">
                  <c:v>5.976884816753927</c:v>
                </c:pt>
                <c:pt idx="2">
                  <c:v>1.976884816753927</c:v>
                </c:pt>
                <c:pt idx="3">
                  <c:v>-2.023115183246073</c:v>
                </c:pt>
                <c:pt idx="4">
                  <c:v>-2.469115183246073</c:v>
                </c:pt>
                <c:pt idx="5">
                  <c:v>-6.469115183246073</c:v>
                </c:pt>
                <c:pt idx="6">
                  <c:v>-10.46911518324607</c:v>
                </c:pt>
                <c:pt idx="7">
                  <c:v>-14.46911518324607</c:v>
                </c:pt>
                <c:pt idx="8">
                  <c:v>-22.46911518324607</c:v>
                </c:pt>
                <c:pt idx="9">
                  <c:v>-26.46911518324608</c:v>
                </c:pt>
              </c:numCache>
            </c:numRef>
          </c:yVal>
          <c:smooth val="0"/>
        </c:ser>
        <c:ser>
          <c:idx val="7"/>
          <c:order val="7"/>
          <c:tx>
            <c:v>350</c:v>
          </c:tx>
          <c:spPr>
            <a:ln w="12700">
              <a:solidFill>
                <a:srgbClr val="424242"/>
              </a:solidFill>
              <a:prstDash val="solid"/>
            </a:ln>
          </c:spPr>
          <c:marker>
            <c:symbol val="none"/>
          </c:marker>
          <c:xVal>
            <c:numRef>
              <c:f>Ggrid!$G$113:$P$113</c:f>
              <c:numCache>
                <c:formatCode>0.00</c:formatCode>
                <c:ptCount val="10"/>
                <c:pt idx="0">
                  <c:v>-0.923346709470305</c:v>
                </c:pt>
                <c:pt idx="1">
                  <c:v>-1.923346709470305</c:v>
                </c:pt>
                <c:pt idx="2">
                  <c:v>-2.923346709470305</c:v>
                </c:pt>
                <c:pt idx="3">
                  <c:v>-3.923346709470305</c:v>
                </c:pt>
                <c:pt idx="4">
                  <c:v>-4.445346709470305</c:v>
                </c:pt>
                <c:pt idx="5">
                  <c:v>-5.445346709470306</c:v>
                </c:pt>
                <c:pt idx="6">
                  <c:v>-6.445346709470306</c:v>
                </c:pt>
                <c:pt idx="7">
                  <c:v>-7.445346709470306</c:v>
                </c:pt>
                <c:pt idx="8">
                  <c:v>-9.445346709470305</c:v>
                </c:pt>
                <c:pt idx="9">
                  <c:v>-10.44534670947031</c:v>
                </c:pt>
              </c:numCache>
            </c:numRef>
          </c:xVal>
          <c:yVal>
            <c:numRef>
              <c:f>Ggrid!$G$133:$P$133</c:f>
              <c:numCache>
                <c:formatCode>0.00</c:formatCode>
                <c:ptCount val="10"/>
                <c:pt idx="0">
                  <c:v>9.25121187800963</c:v>
                </c:pt>
                <c:pt idx="1">
                  <c:v>5.251211878009631</c:v>
                </c:pt>
                <c:pt idx="2">
                  <c:v>1.251211878009631</c:v>
                </c:pt>
                <c:pt idx="3">
                  <c:v>-2.74878812199037</c:v>
                </c:pt>
                <c:pt idx="4">
                  <c:v>-3.049288121990368</c:v>
                </c:pt>
                <c:pt idx="5">
                  <c:v>-7.049288121990368</c:v>
                </c:pt>
                <c:pt idx="6">
                  <c:v>-11.04928812199037</c:v>
                </c:pt>
                <c:pt idx="7">
                  <c:v>-15.04928812199037</c:v>
                </c:pt>
                <c:pt idx="8">
                  <c:v>-23.04928812199037</c:v>
                </c:pt>
                <c:pt idx="9">
                  <c:v>-27.04928812199037</c:v>
                </c:pt>
              </c:numCache>
            </c:numRef>
          </c:yVal>
          <c:smooth val="0"/>
        </c:ser>
        <c:ser>
          <c:idx val="15"/>
          <c:order val="8"/>
          <c:tx>
            <c:v>data</c:v>
          </c:tx>
          <c:spPr>
            <a:ln w="28575">
              <a:noFill/>
            </a:ln>
          </c:spPr>
          <c:marker>
            <c:symbol val="diamond"/>
            <c:size val="7"/>
            <c:spPr>
              <a:solidFill>
                <a:srgbClr val="FF0000"/>
              </a:solidFill>
              <a:ln>
                <a:solidFill>
                  <a:srgbClr val="FF0000"/>
                </a:solidFill>
                <a:prstDash val="solid"/>
              </a:ln>
            </c:spPr>
          </c:marker>
          <c:dLbls>
            <c:dLbl>
              <c:idx val="0"/>
              <c:tx>
                <c:strRef>
                  <c:f>input!$AN$11</c:f>
                  <c:strCache>
                    <c:ptCount val="1"/>
                    <c:pt idx="0">
                      <c:v>3</c:v>
                    </c:pt>
                  </c:strCache>
                </c:strRef>
              </c:tx>
              <c:dLblPos val="t"/>
              <c:showLegendKey val="0"/>
              <c:showVal val="0"/>
              <c:showCatName val="0"/>
              <c:showSerName val="0"/>
              <c:showPercent val="0"/>
              <c:showBubbleSize val="0"/>
            </c:dLbl>
            <c:dLbl>
              <c:idx val="1"/>
              <c:tx>
                <c:strRef>
                  <c:f>input!$AN$12</c:f>
                  <c:strCache>
                    <c:ptCount val="1"/>
                  </c:strCache>
                </c:strRef>
              </c:tx>
              <c:dLblPos val="t"/>
              <c:showLegendKey val="0"/>
              <c:showVal val="0"/>
              <c:showCatName val="0"/>
              <c:showSerName val="0"/>
              <c:showPercent val="0"/>
              <c:showBubbleSize val="0"/>
            </c:dLbl>
            <c:dLbl>
              <c:idx val="2"/>
              <c:tx>
                <c:strRef>
                  <c:f>input!$AN$13</c:f>
                  <c:strCache>
                    <c:ptCount val="1"/>
                    <c:pt idx="0">
                      <c:v>8</c:v>
                    </c:pt>
                  </c:strCache>
                </c:strRef>
              </c:tx>
              <c:dLblPos val="t"/>
              <c:showLegendKey val="0"/>
              <c:showVal val="0"/>
              <c:showCatName val="0"/>
              <c:showSerName val="0"/>
              <c:showPercent val="0"/>
              <c:showBubbleSize val="0"/>
            </c:dLbl>
            <c:dLbl>
              <c:idx val="3"/>
              <c:tx>
                <c:strRef>
                  <c:f>input!$AN$14</c:f>
                  <c:strCache>
                    <c:ptCount val="1"/>
                    <c:pt idx="0">
                      <c:v>12</c:v>
                    </c:pt>
                  </c:strCache>
                </c:strRef>
              </c:tx>
              <c:dLblPos val="t"/>
              <c:showLegendKey val="0"/>
              <c:showVal val="0"/>
              <c:showCatName val="0"/>
              <c:showSerName val="0"/>
              <c:showPercent val="0"/>
              <c:showBubbleSize val="0"/>
            </c:dLbl>
            <c:dLbl>
              <c:idx val="4"/>
              <c:tx>
                <c:strRef>
                  <c:f>input!$AN$15</c:f>
                  <c:strCache>
                    <c:ptCount val="1"/>
                    <c:pt idx="0">
                      <c:v>15</c:v>
                    </c:pt>
                  </c:strCache>
                </c:strRef>
              </c:tx>
              <c:dLblPos val="t"/>
              <c:showLegendKey val="0"/>
              <c:showVal val="0"/>
              <c:showCatName val="0"/>
              <c:showSerName val="0"/>
              <c:showPercent val="0"/>
              <c:showBubbleSize val="0"/>
            </c:dLbl>
            <c:dLbl>
              <c:idx val="5"/>
              <c:tx>
                <c:strRef>
                  <c:f>input!$AN$16</c:f>
                  <c:strCache>
                    <c:ptCount val="1"/>
                    <c:pt idx="0">
                      <c:v>16</c:v>
                    </c:pt>
                  </c:strCache>
                </c:strRef>
              </c:tx>
              <c:dLblPos val="t"/>
              <c:showLegendKey val="0"/>
              <c:showVal val="0"/>
              <c:showCatName val="0"/>
              <c:showSerName val="0"/>
              <c:showPercent val="0"/>
              <c:showBubbleSize val="0"/>
            </c:dLbl>
            <c:dLbl>
              <c:idx val="6"/>
              <c:tx>
                <c:strRef>
                  <c:f>input!$AN$17</c:f>
                  <c:strCache>
                    <c:ptCount val="1"/>
                  </c:strCache>
                </c:strRef>
              </c:tx>
              <c:dLblPos val="t"/>
              <c:showLegendKey val="0"/>
              <c:showVal val="0"/>
              <c:showCatName val="0"/>
              <c:showSerName val="0"/>
              <c:showPercent val="0"/>
              <c:showBubbleSize val="0"/>
            </c:dLbl>
            <c:dLbl>
              <c:idx val="7"/>
              <c:tx>
                <c:strRef>
                  <c:f>input!$AN$18</c:f>
                  <c:strCache>
                    <c:ptCount val="1"/>
                    <c:pt idx="0">
                      <c:v>23</c:v>
                    </c:pt>
                  </c:strCache>
                </c:strRef>
              </c:tx>
              <c:dLblPos val="t"/>
              <c:showLegendKey val="0"/>
              <c:showVal val="0"/>
              <c:showCatName val="0"/>
              <c:showSerName val="0"/>
              <c:showPercent val="0"/>
              <c:showBubbleSize val="0"/>
            </c:dLbl>
            <c:dLbl>
              <c:idx val="8"/>
              <c:tx>
                <c:strRef>
                  <c:f>input!$AN$19</c:f>
                  <c:strCache>
                    <c:ptCount val="1"/>
                    <c:pt idx="0">
                      <c:v>23</c:v>
                    </c:pt>
                  </c:strCache>
                </c:strRef>
              </c:tx>
              <c:dLblPos val="t"/>
              <c:showLegendKey val="0"/>
              <c:showVal val="0"/>
              <c:showCatName val="0"/>
              <c:showSerName val="0"/>
              <c:showPercent val="0"/>
              <c:showBubbleSize val="0"/>
            </c:dLbl>
            <c:dLbl>
              <c:idx val="9"/>
              <c:tx>
                <c:strRef>
                  <c:f>input!$AN$20</c:f>
                  <c:strCache>
                    <c:ptCount val="1"/>
                    <c:pt idx="0">
                      <c:v>26</c:v>
                    </c:pt>
                  </c:strCache>
                </c:strRef>
              </c:tx>
              <c:dLblPos val="t"/>
              <c:showLegendKey val="0"/>
              <c:showVal val="0"/>
              <c:showCatName val="0"/>
              <c:showSerName val="0"/>
              <c:showPercent val="0"/>
              <c:showBubbleSize val="0"/>
            </c:dLbl>
            <c:dLbl>
              <c:idx val="10"/>
              <c:tx>
                <c:strRef>
                  <c:f>input!$AN$21</c:f>
                  <c:strCache>
                    <c:ptCount val="1"/>
                  </c:strCache>
                </c:strRef>
              </c:tx>
              <c:dLblPos val="t"/>
              <c:showLegendKey val="0"/>
              <c:showVal val="0"/>
              <c:showCatName val="0"/>
              <c:showSerName val="0"/>
              <c:showPercent val="0"/>
              <c:showBubbleSize val="0"/>
            </c:dLbl>
            <c:dLbl>
              <c:idx val="11"/>
              <c:tx>
                <c:strRef>
                  <c:f>input!$AN$22</c:f>
                  <c:strCache>
                    <c:ptCount val="1"/>
                  </c:strCache>
                </c:strRef>
              </c:tx>
              <c:dLblPos val="t"/>
              <c:showLegendKey val="0"/>
              <c:showVal val="0"/>
              <c:showCatName val="0"/>
              <c:showSerName val="0"/>
              <c:showPercent val="0"/>
              <c:showBubbleSize val="0"/>
            </c:dLbl>
            <c:dLbl>
              <c:idx val="12"/>
              <c:tx>
                <c:strRef>
                  <c:f>input!$AN$23</c:f>
                  <c:strCache>
                    <c:ptCount val="1"/>
                  </c:strCache>
                </c:strRef>
              </c:tx>
              <c:dLblPos val="t"/>
              <c:showLegendKey val="0"/>
              <c:showVal val="0"/>
              <c:showCatName val="0"/>
              <c:showSerName val="0"/>
              <c:showPercent val="0"/>
              <c:showBubbleSize val="0"/>
            </c:dLbl>
            <c:dLbl>
              <c:idx val="13"/>
              <c:tx>
                <c:strRef>
                  <c:f>input!$AN$24</c:f>
                  <c:strCache>
                    <c:ptCount val="1"/>
                  </c:strCache>
                </c:strRef>
              </c:tx>
              <c:dLblPos val="t"/>
              <c:showLegendKey val="0"/>
              <c:showVal val="0"/>
              <c:showCatName val="0"/>
              <c:showSerName val="0"/>
              <c:showPercent val="0"/>
              <c:showBubbleSize val="0"/>
            </c:dLbl>
            <c:dLbl>
              <c:idx val="14"/>
              <c:tx>
                <c:strRef>
                  <c:f>input!$AN$25</c:f>
                  <c:strCache>
                    <c:ptCount val="1"/>
                  </c:strCache>
                </c:strRef>
              </c:tx>
              <c:dLblPos val="t"/>
              <c:showLegendKey val="0"/>
              <c:showVal val="0"/>
              <c:showCatName val="0"/>
              <c:showSerName val="0"/>
              <c:showPercent val="0"/>
              <c:showBubbleSize val="0"/>
            </c:dLbl>
            <c:dLbl>
              <c:idx val="15"/>
              <c:tx>
                <c:strRef>
                  <c:f>input!$AN$26</c:f>
                  <c:strCache>
                    <c:ptCount val="1"/>
                  </c:strCache>
                </c:strRef>
              </c:tx>
              <c:dLblPos val="t"/>
              <c:showLegendKey val="0"/>
              <c:showVal val="0"/>
              <c:showCatName val="0"/>
              <c:showSerName val="0"/>
              <c:showPercent val="0"/>
              <c:showBubbleSize val="0"/>
            </c:dLbl>
            <c:dLbl>
              <c:idx val="16"/>
              <c:tx>
                <c:strRef>
                  <c:f>input!$AN$27</c:f>
                  <c:strCache>
                    <c:ptCount val="1"/>
                  </c:strCache>
                </c:strRef>
              </c:tx>
              <c:dLblPos val="t"/>
              <c:showLegendKey val="0"/>
              <c:showVal val="0"/>
              <c:showCatName val="0"/>
              <c:showSerName val="0"/>
              <c:showPercent val="0"/>
              <c:showBubbleSize val="0"/>
            </c:dLbl>
            <c:dLbl>
              <c:idx val="17"/>
              <c:tx>
                <c:strRef>
                  <c:f>input!$AN$28</c:f>
                  <c:strCache>
                    <c:ptCount val="1"/>
                    <c:pt idx="0">
                      <c:v>41</c:v>
                    </c:pt>
                  </c:strCache>
                </c:strRef>
              </c:tx>
              <c:dLblPos val="t"/>
              <c:showLegendKey val="0"/>
              <c:showVal val="0"/>
              <c:showCatName val="0"/>
              <c:showSerName val="0"/>
              <c:showPercent val="0"/>
              <c:showBubbleSize val="0"/>
            </c:dLbl>
            <c:dLbl>
              <c:idx val="18"/>
              <c:tx>
                <c:strRef>
                  <c:f>input!$AN$29</c:f>
                  <c:strCache>
                    <c:ptCount val="1"/>
                  </c:strCache>
                </c:strRef>
              </c:tx>
              <c:dLblPos val="t"/>
              <c:showLegendKey val="0"/>
              <c:showVal val="0"/>
              <c:showCatName val="0"/>
              <c:showSerName val="0"/>
              <c:showPercent val="0"/>
              <c:showBubbleSize val="0"/>
            </c:dLbl>
            <c:dLbl>
              <c:idx val="19"/>
              <c:tx>
                <c:strRef>
                  <c:f>input!$AN$30</c:f>
                  <c:strCache>
                    <c:ptCount val="1"/>
                    <c:pt idx="0">
                      <c:v>43</c:v>
                    </c:pt>
                  </c:strCache>
                </c:strRef>
              </c:tx>
              <c:dLblPos val="t"/>
              <c:showLegendKey val="0"/>
              <c:showVal val="0"/>
              <c:showCatName val="0"/>
              <c:showSerName val="0"/>
              <c:showPercent val="0"/>
              <c:showBubbleSize val="0"/>
            </c:dLbl>
            <c:dLbl>
              <c:idx val="20"/>
              <c:tx>
                <c:strRef>
                  <c:f>input!$AN$31</c:f>
                  <c:strCache>
                    <c:ptCount val="1"/>
                  </c:strCache>
                </c:strRef>
              </c:tx>
              <c:dLblPos val="t"/>
              <c:showLegendKey val="0"/>
              <c:showVal val="0"/>
              <c:showCatName val="0"/>
              <c:showSerName val="0"/>
              <c:showPercent val="0"/>
              <c:showBubbleSize val="0"/>
            </c:dLbl>
            <c:dLbl>
              <c:idx val="21"/>
              <c:tx>
                <c:strRef>
                  <c:f>input!$AN$32</c:f>
                  <c:strCache>
                    <c:ptCount val="1"/>
                  </c:strCache>
                </c:strRef>
              </c:tx>
              <c:dLblPos val="t"/>
              <c:showLegendKey val="0"/>
              <c:showVal val="0"/>
              <c:showCatName val="0"/>
              <c:showSerName val="0"/>
              <c:showPercent val="0"/>
              <c:showBubbleSize val="0"/>
            </c:dLbl>
            <c:dLbl>
              <c:idx val="22"/>
              <c:tx>
                <c:strRef>
                  <c:f>input!$AN$33</c:f>
                  <c:strCache>
                    <c:ptCount val="1"/>
                  </c:strCache>
                </c:strRef>
              </c:tx>
              <c:dLblPos val="t"/>
              <c:showLegendKey val="0"/>
              <c:showVal val="0"/>
              <c:showCatName val="0"/>
              <c:showSerName val="0"/>
              <c:showPercent val="0"/>
              <c:showBubbleSize val="0"/>
            </c:dLbl>
            <c:dLbl>
              <c:idx val="23"/>
              <c:tx>
                <c:strRef>
                  <c:f>input!$AN$34</c:f>
                  <c:strCache>
                    <c:ptCount val="1"/>
                  </c:strCache>
                </c:strRef>
              </c:tx>
              <c:dLblPos val="t"/>
              <c:showLegendKey val="0"/>
              <c:showVal val="0"/>
              <c:showCatName val="0"/>
              <c:showSerName val="0"/>
              <c:showPercent val="0"/>
              <c:showBubbleSize val="0"/>
            </c:dLbl>
            <c:dLbl>
              <c:idx val="24"/>
              <c:tx>
                <c:strRef>
                  <c:f>input!$AN$35</c:f>
                  <c:strCache>
                    <c:ptCount val="1"/>
                  </c:strCache>
                </c:strRef>
              </c:tx>
              <c:dLblPos val="t"/>
              <c:showLegendKey val="0"/>
              <c:showVal val="0"/>
              <c:showCatName val="0"/>
              <c:showSerName val="0"/>
              <c:showPercent val="0"/>
              <c:showBubbleSize val="0"/>
            </c:dLbl>
            <c:dLbl>
              <c:idx val="25"/>
              <c:tx>
                <c:strRef>
                  <c:f>input!$AN$36</c:f>
                  <c:strCache>
                    <c:ptCount val="1"/>
                  </c:strCache>
                </c:strRef>
              </c:tx>
              <c:dLblPos val="t"/>
              <c:showLegendKey val="0"/>
              <c:showVal val="0"/>
              <c:showCatName val="0"/>
              <c:showSerName val="0"/>
              <c:showPercent val="0"/>
              <c:showBubbleSize val="0"/>
            </c:dLbl>
            <c:dLbl>
              <c:idx val="26"/>
              <c:tx>
                <c:strRef>
                  <c:f>input!$AN$37</c:f>
                  <c:strCache>
                    <c:ptCount val="1"/>
                  </c:strCache>
                </c:strRef>
              </c:tx>
              <c:dLblPos val="t"/>
              <c:showLegendKey val="0"/>
              <c:showVal val="0"/>
              <c:showCatName val="0"/>
              <c:showSerName val="0"/>
              <c:showPercent val="0"/>
              <c:showBubbleSize val="0"/>
            </c:dLbl>
            <c:dLbl>
              <c:idx val="27"/>
              <c:tx>
                <c:strRef>
                  <c:f>input!$AN$38</c:f>
                  <c:strCache>
                    <c:ptCount val="1"/>
                  </c:strCache>
                </c:strRef>
              </c:tx>
              <c:dLblPos val="t"/>
              <c:showLegendKey val="0"/>
              <c:showVal val="0"/>
              <c:showCatName val="0"/>
              <c:showSerName val="0"/>
              <c:showPercent val="0"/>
              <c:showBubbleSize val="0"/>
            </c:dLbl>
            <c:dLbl>
              <c:idx val="28"/>
              <c:tx>
                <c:strRef>
                  <c:f>input!$AN$39</c:f>
                  <c:strCache>
                    <c:ptCount val="1"/>
                  </c:strCache>
                </c:strRef>
              </c:tx>
              <c:dLblPos val="t"/>
              <c:showLegendKey val="0"/>
              <c:showVal val="0"/>
              <c:showCatName val="0"/>
              <c:showSerName val="0"/>
              <c:showPercent val="0"/>
              <c:showBubbleSize val="0"/>
            </c:dLbl>
            <c:dLbl>
              <c:idx val="29"/>
              <c:tx>
                <c:strRef>
                  <c:f>input!$AN$40</c:f>
                  <c:strCache>
                    <c:ptCount val="1"/>
                  </c:strCache>
                </c:strRef>
              </c:tx>
              <c:dLblPos val="t"/>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input!$BI$11:$BI$40</c:f>
              <c:numCache>
                <c:formatCode>0.0</c:formatCode>
                <c:ptCount val="30"/>
                <c:pt idx="0">
                  <c:v>-5.074328743253213</c:v>
                </c:pt>
                <c:pt idx="1">
                  <c:v>-5.650793039651931</c:v>
                </c:pt>
                <c:pt idx="2">
                  <c:v>-5.456366033129042</c:v>
                </c:pt>
                <c:pt idx="3">
                  <c:v>-5.253338005326106</c:v>
                </c:pt>
                <c:pt idx="4">
                  <c:v>-5.195899652409234</c:v>
                </c:pt>
                <c:pt idx="5">
                  <c:v>-5.177824971864681</c:v>
                </c:pt>
                <c:pt idx="6">
                  <c:v>-5.498310553789601</c:v>
                </c:pt>
                <c:pt idx="7">
                  <c:v>-4.194779956401781</c:v>
                </c:pt>
                <c:pt idx="8">
                  <c:v>-4.832508912706237</c:v>
                </c:pt>
                <c:pt idx="9">
                  <c:v>-4.45917701046287</c:v>
                </c:pt>
                <c:pt idx="10">
                  <c:v>-5.949390006644913</c:v>
                </c:pt>
                <c:pt idx="11">
                  <c:v>-4.103803720955957</c:v>
                </c:pt>
                <c:pt idx="12">
                  <c:v>-5.54654266347813</c:v>
                </c:pt>
                <c:pt idx="13">
                  <c:v>-5.181128699747295</c:v>
                </c:pt>
                <c:pt idx="14">
                  <c:v>-4.902486380943558</c:v>
                </c:pt>
                <c:pt idx="15">
                  <c:v>-5.633973155789673</c:v>
                </c:pt>
                <c:pt idx="16">
                  <c:v>-5.656098202012831</c:v>
                </c:pt>
                <c:pt idx="17">
                  <c:v>-5.317541032456148</c:v>
                </c:pt>
                <c:pt idx="18">
                  <c:v>0.0</c:v>
                </c:pt>
                <c:pt idx="19">
                  <c:v>-4.908972169217898</c:v>
                </c:pt>
                <c:pt idx="20">
                  <c:v>0.0</c:v>
                </c:pt>
                <c:pt idx="21">
                  <c:v>0.0</c:v>
                </c:pt>
                <c:pt idx="22">
                  <c:v>0.0</c:v>
                </c:pt>
                <c:pt idx="23">
                  <c:v>0.0</c:v>
                </c:pt>
                <c:pt idx="24">
                  <c:v>0.0</c:v>
                </c:pt>
                <c:pt idx="25">
                  <c:v>0.0</c:v>
                </c:pt>
                <c:pt idx="26">
                  <c:v>0.0</c:v>
                </c:pt>
                <c:pt idx="27">
                  <c:v>0.0</c:v>
                </c:pt>
                <c:pt idx="28">
                  <c:v>0.0</c:v>
                </c:pt>
                <c:pt idx="29">
                  <c:v>0.0</c:v>
                </c:pt>
              </c:numCache>
            </c:numRef>
          </c:xVal>
          <c:yVal>
            <c:numRef>
              <c:f>input!$BJ$11:$BJ$40</c:f>
              <c:numCache>
                <c:formatCode>0.00</c:formatCode>
                <c:ptCount val="30"/>
                <c:pt idx="0">
                  <c:v>-2.405321962294637</c:v>
                </c:pt>
                <c:pt idx="1">
                  <c:v>-1.37318382534784</c:v>
                </c:pt>
                <c:pt idx="2">
                  <c:v>-2.654733686895876</c:v>
                </c:pt>
                <c:pt idx="3">
                  <c:v>-1.482485993683962</c:v>
                </c:pt>
                <c:pt idx="4">
                  <c:v>-2.222771798809535</c:v>
                </c:pt>
                <c:pt idx="5">
                  <c:v>-3.478854967528663</c:v>
                </c:pt>
                <c:pt idx="6">
                  <c:v>-2.907245946763101</c:v>
                </c:pt>
                <c:pt idx="7">
                  <c:v>-2.335398897295243</c:v>
                </c:pt>
                <c:pt idx="8">
                  <c:v>-2.022643249145386</c:v>
                </c:pt>
                <c:pt idx="9">
                  <c:v>-2.401185063485185</c:v>
                </c:pt>
                <c:pt idx="10">
                  <c:v>-1.806375206390818</c:v>
                </c:pt>
                <c:pt idx="11">
                  <c:v>-0.431705863020239</c:v>
                </c:pt>
                <c:pt idx="12">
                  <c:v>-2.671481400086431</c:v>
                </c:pt>
                <c:pt idx="13">
                  <c:v>-2.741796005917032</c:v>
                </c:pt>
                <c:pt idx="14">
                  <c:v>-1.999396393951614</c:v>
                </c:pt>
                <c:pt idx="15">
                  <c:v>-1.545837067089122</c:v>
                </c:pt>
                <c:pt idx="16">
                  <c:v>-2.525764433517826</c:v>
                </c:pt>
                <c:pt idx="17">
                  <c:v>-1.822691010776055</c:v>
                </c:pt>
                <c:pt idx="18">
                  <c:v>-1.850748314036963</c:v>
                </c:pt>
                <c:pt idx="19">
                  <c:v>-2.02094592866183</c:v>
                </c:pt>
                <c:pt idx="20">
                  <c:v>-2.494582681270357</c:v>
                </c:pt>
                <c:pt idx="21">
                  <c:v>0.0</c:v>
                </c:pt>
                <c:pt idx="22">
                  <c:v>0.0</c:v>
                </c:pt>
                <c:pt idx="23">
                  <c:v>0.0</c:v>
                </c:pt>
                <c:pt idx="24">
                  <c:v>0.0</c:v>
                </c:pt>
                <c:pt idx="25">
                  <c:v>0.0</c:v>
                </c:pt>
                <c:pt idx="26">
                  <c:v>0.0</c:v>
                </c:pt>
                <c:pt idx="27">
                  <c:v>0.0</c:v>
                </c:pt>
                <c:pt idx="28">
                  <c:v>0.0</c:v>
                </c:pt>
                <c:pt idx="29">
                  <c:v>0.0</c:v>
                </c:pt>
              </c:numCache>
            </c:numRef>
          </c:yVal>
          <c:smooth val="1"/>
        </c:ser>
        <c:dLbls>
          <c:showLegendKey val="0"/>
          <c:showVal val="0"/>
          <c:showCatName val="0"/>
          <c:showSerName val="0"/>
          <c:showPercent val="0"/>
          <c:showBubbleSize val="0"/>
        </c:dLbls>
        <c:axId val="2098735096"/>
        <c:axId val="2098741768"/>
      </c:scatterChart>
      <c:valAx>
        <c:axId val="2098735096"/>
        <c:scaling>
          <c:orientation val="minMax"/>
          <c:max val="-3.0"/>
          <c:min val="-10.0"/>
        </c:scaling>
        <c:delete val="0"/>
        <c:axPos val="b"/>
        <c:title>
          <c:tx>
            <c:rich>
              <a:bodyPr/>
              <a:lstStyle/>
              <a:p>
                <a:pPr>
                  <a:defRPr sz="1150" b="1" i="0" u="none" strike="noStrike" baseline="0">
                    <a:solidFill>
                      <a:srgbClr val="000000"/>
                    </a:solidFill>
                    <a:latin typeface="Arial"/>
                    <a:ea typeface="Arial"/>
                    <a:cs typeface="Arial"/>
                  </a:defRPr>
                </a:pPr>
                <a:r>
                  <a:rPr lang="en-US" sz="1150" b="1" i="0" u="none" strike="noStrike" baseline="0">
                    <a:solidFill>
                      <a:srgbClr val="000000"/>
                    </a:solidFill>
                    <a:latin typeface="Arial"/>
                    <a:cs typeface="Arial"/>
                  </a:rPr>
                  <a:t>log(CO/CO</a:t>
                </a:r>
                <a:r>
                  <a:rPr lang="en-US" sz="1150" b="1" i="0" u="none" strike="noStrike" baseline="-25000">
                    <a:solidFill>
                      <a:srgbClr val="000000"/>
                    </a:solidFill>
                    <a:latin typeface="Arial"/>
                    <a:cs typeface="Arial"/>
                  </a:rPr>
                  <a:t>2</a:t>
                </a:r>
                <a:r>
                  <a:rPr lang="en-US" sz="1150" b="1" i="0" u="none" strike="noStrike" baseline="0">
                    <a:solidFill>
                      <a:srgbClr val="000000"/>
                    </a:solidFill>
                    <a:latin typeface="Arial"/>
                    <a:cs typeface="Arial"/>
                  </a:rPr>
                  <a:t>)</a:t>
                </a:r>
              </a:p>
            </c:rich>
          </c:tx>
          <c:layout>
            <c:manualLayout>
              <c:xMode val="edge"/>
              <c:yMode val="edge"/>
              <c:x val="0.479368932038835"/>
              <c:y val="0.966165413533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098741768"/>
        <c:crossesAt val="-6.0"/>
        <c:crossBetween val="midCat"/>
        <c:majorUnit val="1.0"/>
      </c:valAx>
      <c:valAx>
        <c:axId val="2098741768"/>
        <c:scaling>
          <c:orientation val="minMax"/>
          <c:max val="4.0"/>
          <c:min val="-6.0"/>
        </c:scaling>
        <c:delete val="0"/>
        <c:axPos val="l"/>
        <c:title>
          <c:tx>
            <c:rich>
              <a:bodyPr/>
              <a:lstStyle/>
              <a:p>
                <a:pPr>
                  <a:defRPr sz="1150" b="1" i="0" u="none" strike="noStrike" baseline="0">
                    <a:solidFill>
                      <a:srgbClr val="000000"/>
                    </a:solidFill>
                    <a:latin typeface="Arial"/>
                    <a:ea typeface="Arial"/>
                    <a:cs typeface="Arial"/>
                  </a:defRPr>
                </a:pPr>
                <a:r>
                  <a:rPr lang="en-US" sz="1150" b="1" i="0" u="none" strike="noStrike" baseline="0">
                    <a:solidFill>
                      <a:srgbClr val="000000"/>
                    </a:solidFill>
                    <a:latin typeface="Arial"/>
                    <a:cs typeface="Arial"/>
                  </a:rPr>
                  <a:t>log(CH</a:t>
                </a:r>
                <a:r>
                  <a:rPr lang="en-US" sz="1150" b="1" i="0" u="none" strike="noStrike" baseline="-25000">
                    <a:solidFill>
                      <a:srgbClr val="000000"/>
                    </a:solidFill>
                    <a:latin typeface="Arial"/>
                    <a:cs typeface="Arial"/>
                  </a:rPr>
                  <a:t>4</a:t>
                </a:r>
                <a:r>
                  <a:rPr lang="en-US" sz="1150" b="1" i="0" u="none" strike="noStrike" baseline="0">
                    <a:solidFill>
                      <a:srgbClr val="000000"/>
                    </a:solidFill>
                    <a:latin typeface="Arial"/>
                    <a:cs typeface="Arial"/>
                  </a:rPr>
                  <a:t>/CO</a:t>
                </a:r>
                <a:r>
                  <a:rPr lang="en-US" sz="1150" b="1" i="0" u="none" strike="noStrike" baseline="-25000">
                    <a:solidFill>
                      <a:srgbClr val="000000"/>
                    </a:solidFill>
                    <a:latin typeface="Arial"/>
                    <a:cs typeface="Arial"/>
                  </a:rPr>
                  <a:t>2</a:t>
                </a:r>
                <a:r>
                  <a:rPr lang="en-US" sz="1150" b="1" i="0" u="none" strike="noStrike" baseline="0">
                    <a:solidFill>
                      <a:srgbClr val="000000"/>
                    </a:solidFill>
                    <a:latin typeface="Arial"/>
                    <a:cs typeface="Arial"/>
                  </a:rPr>
                  <a:t>)</a:t>
                </a:r>
              </a:p>
            </c:rich>
          </c:tx>
          <c:layout>
            <c:manualLayout>
              <c:xMode val="edge"/>
              <c:yMode val="edge"/>
              <c:x val="0.0364077669902913"/>
              <c:y val="0.428571428571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2098735096"/>
        <c:crossesAt val="-10.0"/>
        <c:crossBetween val="midCat"/>
        <c:majorUnit val="1.0"/>
      </c:valAx>
      <c:spPr>
        <a:noFill/>
        <a:ln w="12700">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765124555160142"/>
          <c:y val="0.0575916230366492"/>
          <c:w val="0.893238434163701"/>
          <c:h val="0.81413612565445"/>
        </c:manualLayout>
      </c:layout>
      <c:scatterChart>
        <c:scatterStyle val="smoothMarker"/>
        <c:varyColors val="0"/>
        <c:ser>
          <c:idx val="0"/>
          <c:order val="0"/>
          <c:tx>
            <c:v>-2.8 vap</c:v>
          </c:tx>
          <c:spPr>
            <a:ln w="12700">
              <a:solidFill>
                <a:srgbClr val="424242"/>
              </a:solidFill>
              <a:prstDash val="solid"/>
            </a:ln>
          </c:spPr>
          <c:marker>
            <c:symbol val="none"/>
          </c:marker>
          <c:xVal>
            <c:numRef>
              <c:f>Ggrid!$E$167:$E$177</c:f>
              <c:numCache>
                <c:formatCode>0.00</c:formatCode>
                <c:ptCount val="11"/>
                <c:pt idx="0">
                  <c:v>4.397016621983914</c:v>
                </c:pt>
                <c:pt idx="1">
                  <c:v>4.47212864321608</c:v>
                </c:pt>
                <c:pt idx="2">
                  <c:v>4.58800756501182</c:v>
                </c:pt>
                <c:pt idx="3">
                  <c:v>4.737828571428571</c:v>
                </c:pt>
                <c:pt idx="4">
                  <c:v>4.91620972515856</c:v>
                </c:pt>
                <c:pt idx="5">
                  <c:v>5.118849799196785</c:v>
                </c:pt>
                <c:pt idx="6">
                  <c:v>5.34226998087954</c:v>
                </c:pt>
                <c:pt idx="7">
                  <c:v>5.583626277372261</c:v>
                </c:pt>
                <c:pt idx="8">
                  <c:v>5.840571029668412</c:v>
                </c:pt>
                <c:pt idx="9">
                  <c:v>6.111149163879599</c:v>
                </c:pt>
                <c:pt idx="10">
                  <c:v>6.393719422150882</c:v>
                </c:pt>
              </c:numCache>
            </c:numRef>
          </c:xVal>
          <c:yVal>
            <c:numRef>
              <c:f>Ggrid!$K$167:$K$177</c:f>
              <c:numCache>
                <c:formatCode>0.00</c:formatCode>
                <c:ptCount val="11"/>
                <c:pt idx="0">
                  <c:v>3.72</c:v>
                </c:pt>
                <c:pt idx="1">
                  <c:v>3.72</c:v>
                </c:pt>
                <c:pt idx="2">
                  <c:v>3.72</c:v>
                </c:pt>
                <c:pt idx="3">
                  <c:v>3.72</c:v>
                </c:pt>
                <c:pt idx="4">
                  <c:v>3.72</c:v>
                </c:pt>
                <c:pt idx="5">
                  <c:v>3.72</c:v>
                </c:pt>
                <c:pt idx="6">
                  <c:v>3.72</c:v>
                </c:pt>
                <c:pt idx="7">
                  <c:v>3.72</c:v>
                </c:pt>
                <c:pt idx="8">
                  <c:v>3.72</c:v>
                </c:pt>
                <c:pt idx="9">
                  <c:v>3.72</c:v>
                </c:pt>
                <c:pt idx="10">
                  <c:v>3.72</c:v>
                </c:pt>
              </c:numCache>
            </c:numRef>
          </c:yVal>
          <c:smooth val="0"/>
        </c:ser>
        <c:ser>
          <c:idx val="1"/>
          <c:order val="1"/>
          <c:tx>
            <c:v>-2.8 liq</c:v>
          </c:tx>
          <c:spPr>
            <a:ln w="12700">
              <a:solidFill>
                <a:srgbClr val="424242"/>
              </a:solidFill>
              <a:prstDash val="solid"/>
            </a:ln>
          </c:spPr>
          <c:marker>
            <c:symbol val="none"/>
          </c:marker>
          <c:dLbls>
            <c:dLbl>
              <c:idx val="0"/>
              <c:tx>
                <c:strRef>
                  <c:f>Ggrid!$A$167</c:f>
                  <c:strCache>
                    <c:ptCount val="1"/>
                    <c:pt idx="0">
                      <c:v>100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1"/>
              <c:tx>
                <c:strRef>
                  <c:f>Ggrid!$A$168</c:f>
                  <c:strCache>
                    <c:ptCount val="1"/>
                    <c:pt idx="0">
                      <c:v>125</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2"/>
              <c:tx>
                <c:strRef>
                  <c:f>Ggrid!$A$169</c:f>
                  <c:strCache>
                    <c:ptCount val="1"/>
                    <c:pt idx="0">
                      <c:v>150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3"/>
              <c:tx>
                <c:strRef>
                  <c:f>Ggrid!$A$170</c:f>
                  <c:strCache>
                    <c:ptCount val="1"/>
                    <c:pt idx="0">
                      <c:v>175</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4"/>
              <c:tx>
                <c:strRef>
                  <c:f>Ggrid!$A$171</c:f>
                  <c:strCache>
                    <c:ptCount val="1"/>
                    <c:pt idx="0">
                      <c:v>200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5"/>
              <c:tx>
                <c:strRef>
                  <c:f>Ggrid!$A$172</c:f>
                  <c:strCache>
                    <c:ptCount val="1"/>
                    <c:pt idx="0">
                      <c:v>225</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6"/>
              <c:tx>
                <c:strRef>
                  <c:f>Ggrid!$A$173</c:f>
                  <c:strCache>
                    <c:ptCount val="1"/>
                    <c:pt idx="0">
                      <c:v>250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7"/>
              <c:tx>
                <c:strRef>
                  <c:f>Ggrid!$A$174</c:f>
                  <c:strCache>
                    <c:ptCount val="1"/>
                    <c:pt idx="0">
                      <c:v>275</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8"/>
              <c:tx>
                <c:strRef>
                  <c:f>Ggrid!$A$175</c:f>
                  <c:strCache>
                    <c:ptCount val="1"/>
                    <c:pt idx="0">
                      <c:v>300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9"/>
              <c:tx>
                <c:strRef>
                  <c:f>Ggrid!$A$176</c:f>
                  <c:strCache>
                    <c:ptCount val="1"/>
                    <c:pt idx="0">
                      <c:v>325</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dLbl>
              <c:idx val="10"/>
              <c:tx>
                <c:strRef>
                  <c:f>Ggrid!$A$177</c:f>
                  <c:strCache>
                    <c:ptCount val="1"/>
                    <c:pt idx="0">
                      <c:v>350</c:v>
                    </c:pt>
                  </c:strCache>
                </c:strRef>
              </c:tx>
              <c:spPr>
                <a:noFill/>
                <a:ln w="25400">
                  <a:noFill/>
                </a:ln>
              </c:spPr>
              <c:txPr>
                <a:bodyPr rot="-4500000" vert="horz"/>
                <a:lstStyle/>
                <a:p>
                  <a:pPr algn="ctr">
                    <a:defRPr sz="1400" b="0" i="0" u="none" strike="noStrike" baseline="0">
                      <a:solidFill>
                        <a:srgbClr val="424242"/>
                      </a:solidFill>
                      <a:latin typeface="Arial"/>
                      <a:ea typeface="Arial"/>
                      <a:cs typeface="Arial"/>
                    </a:defRPr>
                  </a:pPr>
                  <a:endParaRPr lang="en-US"/>
                </a:p>
              </c:txPr>
              <c:dLblPos val="b"/>
              <c:showLegendKey val="0"/>
              <c:showVal val="0"/>
              <c:showCatName val="0"/>
              <c:showSerName val="0"/>
              <c:showPercent val="0"/>
              <c:showBubbleSize val="0"/>
            </c:dLbl>
            <c:showLegendKey val="0"/>
            <c:showVal val="0"/>
            <c:showCatName val="0"/>
            <c:showSerName val="0"/>
            <c:showPercent val="0"/>
            <c:showBubbleSize val="0"/>
          </c:dLbls>
          <c:xVal>
            <c:numRef>
              <c:f>Ggrid!$F$167:$F$177</c:f>
              <c:numCache>
                <c:formatCode>0.00</c:formatCode>
                <c:ptCount val="11"/>
                <c:pt idx="0">
                  <c:v>0.722716621983913</c:v>
                </c:pt>
                <c:pt idx="1">
                  <c:v>1.07032864321608</c:v>
                </c:pt>
                <c:pt idx="2">
                  <c:v>1.458707565011821</c:v>
                </c:pt>
                <c:pt idx="3">
                  <c:v>1.881028571428571</c:v>
                </c:pt>
                <c:pt idx="4">
                  <c:v>2.331909725158563</c:v>
                </c:pt>
                <c:pt idx="5">
                  <c:v>2.807049799196786</c:v>
                </c:pt>
                <c:pt idx="6">
                  <c:v>3.302969980879541</c:v>
                </c:pt>
                <c:pt idx="7">
                  <c:v>3.816826277372262</c:v>
                </c:pt>
                <c:pt idx="8">
                  <c:v>4.346271029668411</c:v>
                </c:pt>
                <c:pt idx="9">
                  <c:v>4.889349163879597</c:v>
                </c:pt>
                <c:pt idx="10">
                  <c:v>5.444419422150881</c:v>
                </c:pt>
              </c:numCache>
            </c:numRef>
          </c:xVal>
          <c:yVal>
            <c:numRef>
              <c:f>Ggrid!$L$167:$L$177</c:f>
              <c:numCache>
                <c:formatCode>0.00</c:formatCode>
                <c:ptCount val="11"/>
                <c:pt idx="0">
                  <c:v>-1.108</c:v>
                </c:pt>
                <c:pt idx="1">
                  <c:v>-0.758</c:v>
                </c:pt>
                <c:pt idx="2">
                  <c:v>-0.408</c:v>
                </c:pt>
                <c:pt idx="3">
                  <c:v>-0.0579999999999998</c:v>
                </c:pt>
                <c:pt idx="4">
                  <c:v>0.292</c:v>
                </c:pt>
                <c:pt idx="5">
                  <c:v>0.642</c:v>
                </c:pt>
                <c:pt idx="6">
                  <c:v>0.992</c:v>
                </c:pt>
                <c:pt idx="7">
                  <c:v>1.342</c:v>
                </c:pt>
                <c:pt idx="8">
                  <c:v>1.692</c:v>
                </c:pt>
                <c:pt idx="9">
                  <c:v>2.042</c:v>
                </c:pt>
                <c:pt idx="10">
                  <c:v>2.391999999999999</c:v>
                </c:pt>
              </c:numCache>
            </c:numRef>
          </c:yVal>
          <c:smooth val="0"/>
        </c:ser>
        <c:ser>
          <c:idx val="10"/>
          <c:order val="2"/>
          <c:tx>
            <c:v>100</c:v>
          </c:tx>
          <c:spPr>
            <a:ln w="12700">
              <a:solidFill>
                <a:srgbClr val="424242"/>
              </a:solidFill>
              <a:prstDash val="solid"/>
            </a:ln>
          </c:spPr>
          <c:marker>
            <c:symbol val="none"/>
          </c:marker>
          <c:xVal>
            <c:numRef>
              <c:f>Ggrid!$E$167:$F$167</c:f>
              <c:numCache>
                <c:formatCode>0.00</c:formatCode>
                <c:ptCount val="2"/>
                <c:pt idx="0">
                  <c:v>4.397016621983914</c:v>
                </c:pt>
                <c:pt idx="1">
                  <c:v>0.722716621983913</c:v>
                </c:pt>
              </c:numCache>
            </c:numRef>
          </c:xVal>
          <c:yVal>
            <c:numRef>
              <c:f>Ggrid!$K$167:$L$167</c:f>
              <c:numCache>
                <c:formatCode>0.00</c:formatCode>
                <c:ptCount val="2"/>
                <c:pt idx="0">
                  <c:v>3.72</c:v>
                </c:pt>
                <c:pt idx="1">
                  <c:v>-1.108</c:v>
                </c:pt>
              </c:numCache>
            </c:numRef>
          </c:yVal>
          <c:smooth val="0"/>
        </c:ser>
        <c:ser>
          <c:idx val="11"/>
          <c:order val="3"/>
          <c:tx>
            <c:v>125</c:v>
          </c:tx>
          <c:spPr>
            <a:ln w="12700">
              <a:solidFill>
                <a:srgbClr val="424242"/>
              </a:solidFill>
              <a:prstDash val="solid"/>
            </a:ln>
          </c:spPr>
          <c:marker>
            <c:symbol val="none"/>
          </c:marker>
          <c:xVal>
            <c:numRef>
              <c:f>Ggrid!$E$168:$F$168</c:f>
              <c:numCache>
                <c:formatCode>0.00</c:formatCode>
                <c:ptCount val="2"/>
                <c:pt idx="0">
                  <c:v>4.47212864321608</c:v>
                </c:pt>
                <c:pt idx="1">
                  <c:v>1.07032864321608</c:v>
                </c:pt>
              </c:numCache>
            </c:numRef>
          </c:xVal>
          <c:yVal>
            <c:numRef>
              <c:f>Ggrid!$K$168:$L$168</c:f>
              <c:numCache>
                <c:formatCode>0.00</c:formatCode>
                <c:ptCount val="2"/>
                <c:pt idx="0">
                  <c:v>3.72</c:v>
                </c:pt>
                <c:pt idx="1">
                  <c:v>-0.758</c:v>
                </c:pt>
              </c:numCache>
            </c:numRef>
          </c:yVal>
          <c:smooth val="0"/>
        </c:ser>
        <c:ser>
          <c:idx val="12"/>
          <c:order val="4"/>
          <c:tx>
            <c:v>150</c:v>
          </c:tx>
          <c:spPr>
            <a:ln w="12700">
              <a:solidFill>
                <a:srgbClr val="424242"/>
              </a:solidFill>
              <a:prstDash val="solid"/>
            </a:ln>
          </c:spPr>
          <c:marker>
            <c:symbol val="none"/>
          </c:marker>
          <c:xVal>
            <c:numRef>
              <c:f>Ggrid!$E$169:$F$169</c:f>
              <c:numCache>
                <c:formatCode>0.00</c:formatCode>
                <c:ptCount val="2"/>
                <c:pt idx="0">
                  <c:v>4.58800756501182</c:v>
                </c:pt>
                <c:pt idx="1">
                  <c:v>1.458707565011821</c:v>
                </c:pt>
              </c:numCache>
            </c:numRef>
          </c:xVal>
          <c:yVal>
            <c:numRef>
              <c:f>Ggrid!$K$169:$L$169</c:f>
              <c:numCache>
                <c:formatCode>0.00</c:formatCode>
                <c:ptCount val="2"/>
                <c:pt idx="0">
                  <c:v>3.72</c:v>
                </c:pt>
                <c:pt idx="1">
                  <c:v>-0.408</c:v>
                </c:pt>
              </c:numCache>
            </c:numRef>
          </c:yVal>
          <c:smooth val="0"/>
        </c:ser>
        <c:ser>
          <c:idx val="14"/>
          <c:order val="5"/>
          <c:tx>
            <c:v>175</c:v>
          </c:tx>
          <c:spPr>
            <a:ln w="12700">
              <a:solidFill>
                <a:srgbClr val="424242"/>
              </a:solidFill>
              <a:prstDash val="solid"/>
            </a:ln>
          </c:spPr>
          <c:marker>
            <c:symbol val="none"/>
          </c:marker>
          <c:xVal>
            <c:numRef>
              <c:f>Ggrid!$E$170:$F$170</c:f>
              <c:numCache>
                <c:formatCode>0.00</c:formatCode>
                <c:ptCount val="2"/>
                <c:pt idx="0">
                  <c:v>4.737828571428571</c:v>
                </c:pt>
                <c:pt idx="1">
                  <c:v>1.881028571428571</c:v>
                </c:pt>
              </c:numCache>
            </c:numRef>
          </c:xVal>
          <c:yVal>
            <c:numRef>
              <c:f>Ggrid!$K$170:$L$170</c:f>
              <c:numCache>
                <c:formatCode>0.00</c:formatCode>
                <c:ptCount val="2"/>
                <c:pt idx="0">
                  <c:v>3.72</c:v>
                </c:pt>
                <c:pt idx="1">
                  <c:v>-0.0579999999999998</c:v>
                </c:pt>
              </c:numCache>
            </c:numRef>
          </c:yVal>
          <c:smooth val="0"/>
        </c:ser>
        <c:ser>
          <c:idx val="15"/>
          <c:order val="6"/>
          <c:tx>
            <c:v>200</c:v>
          </c:tx>
          <c:spPr>
            <a:ln w="12700">
              <a:solidFill>
                <a:srgbClr val="424242"/>
              </a:solidFill>
              <a:prstDash val="solid"/>
            </a:ln>
          </c:spPr>
          <c:marker>
            <c:symbol val="none"/>
          </c:marker>
          <c:xVal>
            <c:numRef>
              <c:f>Ggrid!$E$171:$F$171</c:f>
              <c:numCache>
                <c:formatCode>0.00</c:formatCode>
                <c:ptCount val="2"/>
                <c:pt idx="0">
                  <c:v>4.91620972515856</c:v>
                </c:pt>
                <c:pt idx="1">
                  <c:v>2.331909725158563</c:v>
                </c:pt>
              </c:numCache>
            </c:numRef>
          </c:xVal>
          <c:yVal>
            <c:numRef>
              <c:f>Ggrid!$K$171:$L$171</c:f>
              <c:numCache>
                <c:formatCode>0.00</c:formatCode>
                <c:ptCount val="2"/>
                <c:pt idx="0">
                  <c:v>3.72</c:v>
                </c:pt>
                <c:pt idx="1">
                  <c:v>0.292</c:v>
                </c:pt>
              </c:numCache>
            </c:numRef>
          </c:yVal>
          <c:smooth val="0"/>
        </c:ser>
        <c:ser>
          <c:idx val="16"/>
          <c:order val="7"/>
          <c:tx>
            <c:v>225</c:v>
          </c:tx>
          <c:spPr>
            <a:ln w="12700">
              <a:solidFill>
                <a:srgbClr val="424242"/>
              </a:solidFill>
              <a:prstDash val="solid"/>
            </a:ln>
          </c:spPr>
          <c:marker>
            <c:symbol val="none"/>
          </c:marker>
          <c:xVal>
            <c:numRef>
              <c:f>Ggrid!$E$172:$F$172</c:f>
              <c:numCache>
                <c:formatCode>0.00</c:formatCode>
                <c:ptCount val="2"/>
                <c:pt idx="0">
                  <c:v>5.118849799196785</c:v>
                </c:pt>
                <c:pt idx="1">
                  <c:v>2.807049799196786</c:v>
                </c:pt>
              </c:numCache>
            </c:numRef>
          </c:xVal>
          <c:yVal>
            <c:numRef>
              <c:f>Ggrid!$K$172:$L$172</c:f>
              <c:numCache>
                <c:formatCode>0.00</c:formatCode>
                <c:ptCount val="2"/>
                <c:pt idx="0">
                  <c:v>3.72</c:v>
                </c:pt>
                <c:pt idx="1">
                  <c:v>0.642</c:v>
                </c:pt>
              </c:numCache>
            </c:numRef>
          </c:yVal>
          <c:smooth val="0"/>
        </c:ser>
        <c:ser>
          <c:idx val="2"/>
          <c:order val="8"/>
          <c:tx>
            <c:v>250</c:v>
          </c:tx>
          <c:spPr>
            <a:ln w="12700">
              <a:solidFill>
                <a:srgbClr val="424242"/>
              </a:solidFill>
              <a:prstDash val="solid"/>
            </a:ln>
          </c:spPr>
          <c:marker>
            <c:symbol val="none"/>
          </c:marker>
          <c:xVal>
            <c:numRef>
              <c:f>Ggrid!$E$173:$F$173</c:f>
              <c:numCache>
                <c:formatCode>0.00</c:formatCode>
                <c:ptCount val="2"/>
                <c:pt idx="0">
                  <c:v>5.34226998087954</c:v>
                </c:pt>
                <c:pt idx="1">
                  <c:v>3.302969980879541</c:v>
                </c:pt>
              </c:numCache>
            </c:numRef>
          </c:xVal>
          <c:yVal>
            <c:numRef>
              <c:f>Ggrid!$K$173:$L$173</c:f>
              <c:numCache>
                <c:formatCode>0.00</c:formatCode>
                <c:ptCount val="2"/>
                <c:pt idx="0">
                  <c:v>3.72</c:v>
                </c:pt>
                <c:pt idx="1">
                  <c:v>0.992</c:v>
                </c:pt>
              </c:numCache>
            </c:numRef>
          </c:yVal>
          <c:smooth val="0"/>
        </c:ser>
        <c:ser>
          <c:idx val="3"/>
          <c:order val="9"/>
          <c:tx>
            <c:v>275</c:v>
          </c:tx>
          <c:spPr>
            <a:ln w="12700">
              <a:solidFill>
                <a:srgbClr val="424242"/>
              </a:solidFill>
              <a:prstDash val="solid"/>
            </a:ln>
          </c:spPr>
          <c:marker>
            <c:symbol val="none"/>
          </c:marker>
          <c:xVal>
            <c:numRef>
              <c:f>Ggrid!$E$174:$F$174</c:f>
              <c:numCache>
                <c:formatCode>0.00</c:formatCode>
                <c:ptCount val="2"/>
                <c:pt idx="0">
                  <c:v>5.583626277372261</c:v>
                </c:pt>
                <c:pt idx="1">
                  <c:v>3.816826277372262</c:v>
                </c:pt>
              </c:numCache>
            </c:numRef>
          </c:xVal>
          <c:yVal>
            <c:numRef>
              <c:f>Ggrid!$K$174:$L$174</c:f>
              <c:numCache>
                <c:formatCode>0.00</c:formatCode>
                <c:ptCount val="2"/>
                <c:pt idx="0">
                  <c:v>3.72</c:v>
                </c:pt>
                <c:pt idx="1">
                  <c:v>1.342</c:v>
                </c:pt>
              </c:numCache>
            </c:numRef>
          </c:yVal>
          <c:smooth val="0"/>
        </c:ser>
        <c:ser>
          <c:idx val="4"/>
          <c:order val="10"/>
          <c:tx>
            <c:v>300</c:v>
          </c:tx>
          <c:spPr>
            <a:ln w="12700">
              <a:solidFill>
                <a:srgbClr val="424242"/>
              </a:solidFill>
              <a:prstDash val="solid"/>
            </a:ln>
          </c:spPr>
          <c:marker>
            <c:symbol val="none"/>
          </c:marker>
          <c:xVal>
            <c:numRef>
              <c:f>Ggrid!$E$175:$F$175</c:f>
              <c:numCache>
                <c:formatCode>0.00</c:formatCode>
                <c:ptCount val="2"/>
                <c:pt idx="0">
                  <c:v>5.840571029668412</c:v>
                </c:pt>
                <c:pt idx="1">
                  <c:v>4.346271029668411</c:v>
                </c:pt>
              </c:numCache>
            </c:numRef>
          </c:xVal>
          <c:yVal>
            <c:numRef>
              <c:f>Ggrid!$K$175:$L$175</c:f>
              <c:numCache>
                <c:formatCode>0.00</c:formatCode>
                <c:ptCount val="2"/>
                <c:pt idx="0">
                  <c:v>3.72</c:v>
                </c:pt>
                <c:pt idx="1">
                  <c:v>1.692</c:v>
                </c:pt>
              </c:numCache>
            </c:numRef>
          </c:yVal>
          <c:smooth val="1"/>
        </c:ser>
        <c:ser>
          <c:idx val="5"/>
          <c:order val="11"/>
          <c:tx>
            <c:strRef>
              <c:f>Ggrid!$A$176</c:f>
              <c:strCache>
                <c:ptCount val="1"/>
                <c:pt idx="0">
                  <c:v>325</c:v>
                </c:pt>
              </c:strCache>
            </c:strRef>
          </c:tx>
          <c:spPr>
            <a:ln w="12700">
              <a:solidFill>
                <a:srgbClr val="424242"/>
              </a:solidFill>
              <a:prstDash val="solid"/>
            </a:ln>
          </c:spPr>
          <c:marker>
            <c:symbol val="none"/>
          </c:marker>
          <c:xVal>
            <c:numRef>
              <c:f>Ggrid!$E$176:$F$176</c:f>
              <c:numCache>
                <c:formatCode>0.00</c:formatCode>
                <c:ptCount val="2"/>
                <c:pt idx="0">
                  <c:v>6.111149163879599</c:v>
                </c:pt>
                <c:pt idx="1">
                  <c:v>4.889349163879597</c:v>
                </c:pt>
              </c:numCache>
            </c:numRef>
          </c:xVal>
          <c:yVal>
            <c:numRef>
              <c:f>Ggrid!$K$176:$L$176</c:f>
              <c:numCache>
                <c:formatCode>0.00</c:formatCode>
                <c:ptCount val="2"/>
                <c:pt idx="0">
                  <c:v>3.72</c:v>
                </c:pt>
                <c:pt idx="1">
                  <c:v>2.042</c:v>
                </c:pt>
              </c:numCache>
            </c:numRef>
          </c:yVal>
          <c:smooth val="0"/>
        </c:ser>
        <c:ser>
          <c:idx val="6"/>
          <c:order val="12"/>
          <c:tx>
            <c:strRef>
              <c:f>Ggrid!$A$177</c:f>
              <c:strCache>
                <c:ptCount val="1"/>
                <c:pt idx="0">
                  <c:v>350</c:v>
                </c:pt>
              </c:strCache>
            </c:strRef>
          </c:tx>
          <c:spPr>
            <a:ln w="12700">
              <a:solidFill>
                <a:srgbClr val="424242"/>
              </a:solidFill>
              <a:prstDash val="solid"/>
            </a:ln>
          </c:spPr>
          <c:marker>
            <c:symbol val="none"/>
          </c:marker>
          <c:dLbls>
            <c:dLbl>
              <c:idx val="0"/>
              <c:tx>
                <c:rich>
                  <a:bodyPr/>
                  <a:lstStyle/>
                  <a:p>
                    <a:pPr>
                      <a:defRPr sz="1200" b="0" i="0" u="none" strike="noStrike" baseline="0">
                        <a:solidFill>
                          <a:srgbClr val="000000"/>
                        </a:solidFill>
                        <a:latin typeface="Arial"/>
                        <a:ea typeface="Arial"/>
                        <a:cs typeface="Arial"/>
                      </a:defRPr>
                    </a:pPr>
                    <a:r>
                      <a:t>equilibrated vapor</a:t>
                    </a:r>
                  </a:p>
                </c:rich>
              </c:tx>
              <c:spPr>
                <a:noFill/>
                <a:ln w="25400">
                  <a:noFill/>
                </a:ln>
              </c:spPr>
              <c:showLegendKey val="0"/>
              <c:showVal val="0"/>
              <c:showCatName val="0"/>
              <c:showSerName val="0"/>
              <c:showPercent val="0"/>
              <c:showBubbleSize val="0"/>
            </c:dLbl>
            <c:dLbl>
              <c:idx val="1"/>
              <c:tx>
                <c:rich>
                  <a:bodyPr/>
                  <a:lstStyle/>
                  <a:p>
                    <a:pPr>
                      <a:defRPr sz="1200" b="0" i="0" u="none" strike="noStrike" baseline="0">
                        <a:solidFill>
                          <a:srgbClr val="000000"/>
                        </a:solidFill>
                        <a:latin typeface="Arial"/>
                        <a:ea typeface="Arial"/>
                        <a:cs typeface="Arial"/>
                      </a:defRPr>
                    </a:pPr>
                    <a:r>
                      <a:t>equilibrated liquid</a:t>
                    </a:r>
                  </a:p>
                </c:rich>
              </c:tx>
              <c:spPr>
                <a:noFill/>
                <a:ln w="25400">
                  <a:noFill/>
                </a:ln>
              </c:spPr>
              <c:showLegendKey val="0"/>
              <c:showVal val="0"/>
              <c:showCatName val="0"/>
              <c:showSerName val="0"/>
              <c:showPercent val="0"/>
              <c:showBubbleSize val="0"/>
            </c:dLbl>
            <c:showLegendKey val="0"/>
            <c:showVal val="0"/>
            <c:showCatName val="0"/>
            <c:showSerName val="0"/>
            <c:showPercent val="0"/>
            <c:showBubbleSize val="0"/>
          </c:dLbls>
          <c:xVal>
            <c:numRef>
              <c:f>Ggrid!$E$177:$F$177</c:f>
              <c:numCache>
                <c:formatCode>0.00</c:formatCode>
                <c:ptCount val="2"/>
                <c:pt idx="0">
                  <c:v>6.393719422150882</c:v>
                </c:pt>
                <c:pt idx="1">
                  <c:v>5.444419422150881</c:v>
                </c:pt>
              </c:numCache>
            </c:numRef>
          </c:xVal>
          <c:yVal>
            <c:numRef>
              <c:f>Ggrid!$K$177:$L$177</c:f>
              <c:numCache>
                <c:formatCode>0.00</c:formatCode>
                <c:ptCount val="2"/>
                <c:pt idx="0">
                  <c:v>3.72</c:v>
                </c:pt>
                <c:pt idx="1">
                  <c:v>2.391999999999999</c:v>
                </c:pt>
              </c:numCache>
            </c:numRef>
          </c:yVal>
          <c:smooth val="1"/>
        </c:ser>
        <c:ser>
          <c:idx val="7"/>
          <c:order val="13"/>
          <c:tx>
            <c:v>data</c:v>
          </c:tx>
          <c:spPr>
            <a:ln w="28575">
              <a:noFill/>
            </a:ln>
          </c:spPr>
          <c:marker>
            <c:symbol val="diamond"/>
            <c:size val="10"/>
            <c:spPr>
              <a:noFill/>
              <a:ln>
                <a:solidFill>
                  <a:srgbClr val="0000FF"/>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input!$BG$11:$BG$40</c:f>
              <c:numCache>
                <c:formatCode>0.00</c:formatCode>
                <c:ptCount val="30"/>
                <c:pt idx="0">
                  <c:v>2.14490981753892</c:v>
                </c:pt>
                <c:pt idx="1">
                  <c:v>3.138909678673056</c:v>
                </c:pt>
                <c:pt idx="2">
                  <c:v>3.300018832269119</c:v>
                </c:pt>
                <c:pt idx="3">
                  <c:v>3.043822990783475</c:v>
                </c:pt>
                <c:pt idx="4">
                  <c:v>3.043611308026177</c:v>
                </c:pt>
                <c:pt idx="5">
                  <c:v>2.899071370911853</c:v>
                </c:pt>
                <c:pt idx="6">
                  <c:v>2.757947864295356</c:v>
                </c:pt>
                <c:pt idx="7">
                  <c:v>3.787696568289874</c:v>
                </c:pt>
                <c:pt idx="8">
                  <c:v>3.261117741144725</c:v>
                </c:pt>
                <c:pt idx="9">
                  <c:v>4.128183791421447</c:v>
                </c:pt>
                <c:pt idx="10">
                  <c:v>2.803261970966675</c:v>
                </c:pt>
                <c:pt idx="11">
                  <c:v>0.825050120003128</c:v>
                </c:pt>
                <c:pt idx="12">
                  <c:v>2.847572659142112</c:v>
                </c:pt>
                <c:pt idx="13">
                  <c:v>2.35182492691627</c:v>
                </c:pt>
                <c:pt idx="14">
                  <c:v>2.577975289430054</c:v>
                </c:pt>
                <c:pt idx="15">
                  <c:v>2.85582190540603</c:v>
                </c:pt>
                <c:pt idx="16">
                  <c:v>2.957128197676813</c:v>
                </c:pt>
                <c:pt idx="17">
                  <c:v>2.664328518680805</c:v>
                </c:pt>
                <c:pt idx="18">
                  <c:v>2.78380152440635</c:v>
                </c:pt>
                <c:pt idx="19">
                  <c:v>3.172213603992479</c:v>
                </c:pt>
                <c:pt idx="20">
                  <c:v>0.0</c:v>
                </c:pt>
                <c:pt idx="21">
                  <c:v>0.0</c:v>
                </c:pt>
                <c:pt idx="22">
                  <c:v>0.0</c:v>
                </c:pt>
                <c:pt idx="23">
                  <c:v>0.0</c:v>
                </c:pt>
                <c:pt idx="24">
                  <c:v>0.0</c:v>
                </c:pt>
                <c:pt idx="25">
                  <c:v>0.0</c:v>
                </c:pt>
                <c:pt idx="26">
                  <c:v>0.0</c:v>
                </c:pt>
                <c:pt idx="27">
                  <c:v>0.0</c:v>
                </c:pt>
                <c:pt idx="28">
                  <c:v>0.0</c:v>
                </c:pt>
                <c:pt idx="29">
                  <c:v>0.0</c:v>
                </c:pt>
              </c:numCache>
            </c:numRef>
          </c:xVal>
          <c:yVal>
            <c:numRef>
              <c:f>input!$BH$11:$BH$40</c:f>
              <c:numCache>
                <c:formatCode>0.00</c:formatCode>
                <c:ptCount val="30"/>
                <c:pt idx="0">
                  <c:v>-0.5936268237911</c:v>
                </c:pt>
                <c:pt idx="1">
                  <c:v>0.333214679035382</c:v>
                </c:pt>
                <c:pt idx="2">
                  <c:v>0.70895422524262</c:v>
                </c:pt>
                <c:pt idx="3">
                  <c:v>0.205458333428187</c:v>
                </c:pt>
                <c:pt idx="4">
                  <c:v>2.031835009856615</c:v>
                </c:pt>
                <c:pt idx="5">
                  <c:v>0.323306390375133</c:v>
                </c:pt>
                <c:pt idx="6">
                  <c:v>1.034154276234306</c:v>
                </c:pt>
                <c:pt idx="7">
                  <c:v>2.378700650686367</c:v>
                </c:pt>
                <c:pt idx="8">
                  <c:v>2.035576154261196</c:v>
                </c:pt>
                <c:pt idx="9">
                  <c:v>2.367976785294594</c:v>
                </c:pt>
                <c:pt idx="10">
                  <c:v>-1.146128035678238</c:v>
                </c:pt>
                <c:pt idx="11">
                  <c:v>-3.500602350569185</c:v>
                </c:pt>
                <c:pt idx="12">
                  <c:v>0.954242509439325</c:v>
                </c:pt>
                <c:pt idx="13">
                  <c:v>0.0310342337399687</c:v>
                </c:pt>
                <c:pt idx="14">
                  <c:v>1.391492252121295</c:v>
                </c:pt>
                <c:pt idx="15">
                  <c:v>1.17123875626127</c:v>
                </c:pt>
                <c:pt idx="16">
                  <c:v>0.740362689494244</c:v>
                </c:pt>
                <c:pt idx="17">
                  <c:v>0.55764085153955</c:v>
                </c:pt>
                <c:pt idx="18">
                  <c:v>0.196294645143968</c:v>
                </c:pt>
                <c:pt idx="19">
                  <c:v>0.726998727936262</c:v>
                </c:pt>
                <c:pt idx="20">
                  <c:v>-99.0</c:v>
                </c:pt>
                <c:pt idx="21">
                  <c:v>-99.0</c:v>
                </c:pt>
                <c:pt idx="22">
                  <c:v>-99.0</c:v>
                </c:pt>
                <c:pt idx="23">
                  <c:v>-99.0</c:v>
                </c:pt>
                <c:pt idx="24">
                  <c:v>-99.0</c:v>
                </c:pt>
                <c:pt idx="25">
                  <c:v>-99.0</c:v>
                </c:pt>
                <c:pt idx="26">
                  <c:v>-99.0</c:v>
                </c:pt>
                <c:pt idx="27">
                  <c:v>-99.0</c:v>
                </c:pt>
                <c:pt idx="28">
                  <c:v>-99.0</c:v>
                </c:pt>
                <c:pt idx="29">
                  <c:v>-99.0</c:v>
                </c:pt>
              </c:numCache>
            </c:numRef>
          </c:yVal>
          <c:smooth val="1"/>
        </c:ser>
        <c:ser>
          <c:idx val="8"/>
          <c:order val="14"/>
          <c:tx>
            <c:v>Ar error arrow</c:v>
          </c:tx>
          <c:spPr>
            <a:ln w="25400">
              <a:solidFill>
                <a:srgbClr val="424242"/>
              </a:solidFill>
              <a:prstDash val="solid"/>
            </a:ln>
          </c:spPr>
          <c:marker>
            <c:symbol val="none"/>
          </c:marker>
          <c:dLbls>
            <c:dLbl>
              <c:idx val="0"/>
              <c:layout>
                <c:manualLayout>
                  <c:xMode val="edge"/>
                  <c:yMode val="edge"/>
                  <c:x val="0.130782918149466"/>
                  <c:y val="0.502617801047121"/>
                </c:manualLayout>
              </c:layout>
              <c:tx>
                <c:rich>
                  <a:bodyPr/>
                  <a:lstStyle/>
                  <a:p>
                    <a:pPr>
                      <a:defRPr sz="1400" b="1" i="0" u="none" strike="noStrike" baseline="0">
                        <a:solidFill>
                          <a:srgbClr val="000000"/>
                        </a:solidFill>
                        <a:latin typeface="Arial"/>
                        <a:ea typeface="Arial"/>
                        <a:cs typeface="Arial"/>
                      </a:defRPr>
                    </a:pPr>
                    <a:r>
                      <a:t>Argon Error</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Ggrid!$N$167:$N$177</c:f>
              <c:numCache>
                <c:formatCode>0.0</c:formatCode>
                <c:ptCount val="11"/>
                <c:pt idx="0" formatCode="General">
                  <c:v>1.07</c:v>
                </c:pt>
                <c:pt idx="1">
                  <c:v>1.0</c:v>
                </c:pt>
                <c:pt idx="2" formatCode="0.00">
                  <c:v>1.13</c:v>
                </c:pt>
                <c:pt idx="3" formatCode="0.00">
                  <c:v>1.0</c:v>
                </c:pt>
                <c:pt idx="4" formatCode="0.00">
                  <c:v>2.0</c:v>
                </c:pt>
                <c:pt idx="5" formatCode="0.00">
                  <c:v>1.87</c:v>
                </c:pt>
                <c:pt idx="6" formatCode="0.00">
                  <c:v>2.0</c:v>
                </c:pt>
                <c:pt idx="7" formatCode="0.00">
                  <c:v>1.97</c:v>
                </c:pt>
              </c:numCache>
            </c:numRef>
          </c:xVal>
          <c:yVal>
            <c:numRef>
              <c:f>Ggrid!$O$167:$O$177</c:f>
              <c:numCache>
                <c:formatCode>General</c:formatCode>
                <c:ptCount val="11"/>
                <c:pt idx="0">
                  <c:v>1.4</c:v>
                </c:pt>
                <c:pt idx="1">
                  <c:v>1.2</c:v>
                </c:pt>
                <c:pt idx="2" formatCode="0.00">
                  <c:v>1.2</c:v>
                </c:pt>
                <c:pt idx="3" formatCode="0.00">
                  <c:v>1.2</c:v>
                </c:pt>
                <c:pt idx="4" formatCode="0.00">
                  <c:v>2.2</c:v>
                </c:pt>
                <c:pt idx="5" formatCode="0.00">
                  <c:v>2.2</c:v>
                </c:pt>
                <c:pt idx="6" formatCode="0.00">
                  <c:v>2.2</c:v>
                </c:pt>
                <c:pt idx="7" formatCode="0.00">
                  <c:v>2.0</c:v>
                </c:pt>
              </c:numCache>
            </c:numRef>
          </c:yVal>
          <c:smooth val="0"/>
        </c:ser>
        <c:dLbls>
          <c:showLegendKey val="0"/>
          <c:showVal val="0"/>
          <c:showCatName val="0"/>
          <c:showSerName val="0"/>
          <c:showPercent val="0"/>
          <c:showBubbleSize val="0"/>
        </c:dLbls>
        <c:axId val="2098102264"/>
        <c:axId val="2098109112"/>
      </c:scatterChart>
      <c:valAx>
        <c:axId val="2098102264"/>
        <c:scaling>
          <c:orientation val="minMax"/>
          <c:max val="8.0"/>
          <c:min val="0.0"/>
        </c:scaling>
        <c:delete val="0"/>
        <c:axPos val="b"/>
        <c:title>
          <c:tx>
            <c:rich>
              <a:bodyPr/>
              <a:lstStyle/>
              <a:p>
                <a:pPr>
                  <a:defRPr sz="1400" b="1"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log(CO</a:t>
                </a:r>
                <a:r>
                  <a:rPr lang="en-US" sz="1400" b="1" i="0" u="none" strike="noStrike" baseline="-25000">
                    <a:solidFill>
                      <a:srgbClr val="000000"/>
                    </a:solidFill>
                    <a:latin typeface="Arial"/>
                    <a:cs typeface="Arial"/>
                  </a:rPr>
                  <a:t>2</a:t>
                </a:r>
                <a:r>
                  <a:rPr lang="en-US" sz="1400" b="1" i="0" u="none" strike="noStrike" baseline="0">
                    <a:solidFill>
                      <a:srgbClr val="000000"/>
                    </a:solidFill>
                    <a:latin typeface="Arial"/>
                    <a:cs typeface="Arial"/>
                  </a:rPr>
                  <a:t>/Ar)</a:t>
                </a:r>
              </a:p>
            </c:rich>
          </c:tx>
          <c:layout>
            <c:manualLayout>
              <c:xMode val="edge"/>
              <c:yMode val="edge"/>
              <c:x val="0.463523131672598"/>
              <c:y val="0.9306282722513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098109112"/>
        <c:crossesAt val="-4.0"/>
        <c:crossBetween val="midCat"/>
        <c:majorUnit val="1.0"/>
      </c:valAx>
      <c:valAx>
        <c:axId val="2098109112"/>
        <c:scaling>
          <c:orientation val="minMax"/>
          <c:max val="5.0"/>
          <c:min val="-2.0"/>
        </c:scaling>
        <c:delete val="0"/>
        <c:axPos val="l"/>
        <c:title>
          <c:tx>
            <c:rich>
              <a:bodyPr/>
              <a:lstStyle/>
              <a:p>
                <a:pPr>
                  <a:defRPr sz="1400" b="1"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log(H</a:t>
                </a:r>
                <a:r>
                  <a:rPr lang="en-US" sz="1400" b="1" i="0" u="none" strike="noStrike" baseline="-25000">
                    <a:solidFill>
                      <a:srgbClr val="000000"/>
                    </a:solidFill>
                    <a:latin typeface="Arial"/>
                    <a:cs typeface="Arial"/>
                  </a:rPr>
                  <a:t>2</a:t>
                </a:r>
                <a:r>
                  <a:rPr lang="en-US" sz="1400" b="1" i="0" u="none" strike="noStrike" baseline="0">
                    <a:solidFill>
                      <a:srgbClr val="000000"/>
                    </a:solidFill>
                    <a:latin typeface="Arial"/>
                    <a:cs typeface="Arial"/>
                  </a:rPr>
                  <a:t>/Ar)</a:t>
                </a:r>
              </a:p>
            </c:rich>
          </c:tx>
          <c:layout>
            <c:manualLayout>
              <c:xMode val="edge"/>
              <c:yMode val="edge"/>
              <c:x val="0.00444839857651245"/>
              <c:y val="0.3887434554973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098102264"/>
        <c:crosses val="autoZero"/>
        <c:crossBetween val="midCat"/>
      </c:valAx>
      <c:spPr>
        <a:noFill/>
        <a:ln w="12700">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115658362989324"/>
          <c:y val="0.0997732426303855"/>
          <c:w val="0.975978647686833"/>
          <c:h val="0.884353741496599"/>
        </c:manualLayout>
      </c:layout>
      <c:scatterChart>
        <c:scatterStyle val="lineMarker"/>
        <c:varyColors val="0"/>
        <c:ser>
          <c:idx val="0"/>
          <c:order val="0"/>
          <c:tx>
            <c:v>border</c:v>
          </c:tx>
          <c:spPr>
            <a:ln w="25400">
              <a:solidFill>
                <a:srgbClr val="000000"/>
              </a:solidFill>
              <a:prstDash val="solid"/>
            </a:ln>
          </c:spPr>
          <c:marker>
            <c:symbol val="none"/>
          </c:marker>
          <c:dLbls>
            <c:dLbl>
              <c:idx val="0"/>
              <c:delete val="1"/>
            </c:dLbl>
            <c:dLbl>
              <c:idx val="1"/>
              <c:tx>
                <c:strRef>
                  <c:f>input!$BL$10</c:f>
                  <c:strCache>
                    <c:ptCount val="1"/>
                    <c:pt idx="0">
                      <c:v>CO2</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t"/>
              <c:showLegendKey val="0"/>
              <c:showVal val="0"/>
              <c:showCatName val="0"/>
              <c:showSerName val="0"/>
              <c:showPercent val="0"/>
              <c:showBubbleSize val="0"/>
            </c:dLbl>
            <c:dLbl>
              <c:idx val="2"/>
              <c:tx>
                <c:strRef>
                  <c:f>input!$BN$10</c:f>
                  <c:strCache>
                    <c:ptCount val="1"/>
                    <c:pt idx="0">
                      <c:v>200 NH3</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showLegendKey val="0"/>
              <c:showVal val="0"/>
              <c:showCatName val="0"/>
              <c:showSerName val="0"/>
              <c:showPercent val="0"/>
              <c:showBubbleSize val="0"/>
            </c:dLbl>
            <c:dLbl>
              <c:idx val="3"/>
              <c:tx>
                <c:strRef>
                  <c:f>input!$BM$10</c:f>
                  <c:strCache>
                    <c:ptCount val="1"/>
                    <c:pt idx="0">
                      <c:v>10 H2S</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l"/>
              <c:showLegendKey val="0"/>
              <c:showVal val="0"/>
              <c:showCatName val="0"/>
              <c:showSerName val="0"/>
              <c:showPercent val="0"/>
              <c:showBubbleSize val="0"/>
            </c:dLbl>
            <c:spPr>
              <a:noFill/>
              <a:ln w="25400">
                <a:noFill/>
              </a:ln>
            </c:spPr>
            <c:txPr>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xVal>
            <c:numRef>
              <c:f>Tgrid!$A$5:$A$8</c:f>
              <c:numCache>
                <c:formatCode>General</c:formatCode>
                <c:ptCount val="4"/>
                <c:pt idx="0">
                  <c:v>0.0</c:v>
                </c:pt>
                <c:pt idx="1">
                  <c:v>0.5774</c:v>
                </c:pt>
                <c:pt idx="2">
                  <c:v>1.1547</c:v>
                </c:pt>
                <c:pt idx="3">
                  <c:v>0.0</c:v>
                </c:pt>
              </c:numCache>
            </c:numRef>
          </c:xVal>
          <c:yVal>
            <c:numRef>
              <c:f>Tgrid!$B$5:$B$8</c:f>
              <c:numCache>
                <c:formatCode>General</c:formatCode>
                <c:ptCount val="4"/>
                <c:pt idx="0">
                  <c:v>0.0</c:v>
                </c:pt>
                <c:pt idx="1">
                  <c:v>1.0</c:v>
                </c:pt>
                <c:pt idx="2">
                  <c:v>0.0</c:v>
                </c:pt>
                <c:pt idx="3">
                  <c:v>0.0</c:v>
                </c:pt>
              </c:numCache>
            </c:numRef>
          </c:yVal>
          <c:smooth val="0"/>
        </c:ser>
        <c:ser>
          <c:idx val="1"/>
          <c:order val="1"/>
          <c:tx>
            <c:v>A grid</c:v>
          </c:tx>
          <c:spPr>
            <a:ln w="3175">
              <a:solidFill>
                <a:srgbClr val="C0C0C0"/>
              </a:solidFill>
              <a:prstDash val="sysDash"/>
            </a:ln>
          </c:spPr>
          <c:marker>
            <c:symbol val="none"/>
          </c:marker>
          <c:dLbls>
            <c:dLbl>
              <c:idx val="0"/>
              <c:tx>
                <c:rich>
                  <a:bodyPr/>
                  <a:lstStyle/>
                  <a:p>
                    <a:r>
                      <a:t>10%</a:t>
                    </a:r>
                  </a:p>
                </c:rich>
              </c:tx>
              <c:dLblPos val="l"/>
              <c:showLegendKey val="0"/>
              <c:showVal val="0"/>
              <c:showCatName val="0"/>
              <c:showSerName val="0"/>
              <c:showPercent val="0"/>
              <c:showBubbleSize val="0"/>
            </c:dLbl>
            <c:dLbl>
              <c:idx val="1"/>
              <c:delete val="1"/>
            </c:dLbl>
            <c:dLbl>
              <c:idx val="2"/>
              <c:delete val="1"/>
            </c:dLbl>
            <c:dLbl>
              <c:idx val="3"/>
              <c:tx>
                <c:rich>
                  <a:bodyPr/>
                  <a:lstStyle/>
                  <a:p>
                    <a:r>
                      <a:t>20%</a:t>
                    </a:r>
                  </a:p>
                </c:rich>
              </c:tx>
              <c:dLblPos val="l"/>
              <c:showLegendKey val="0"/>
              <c:showVal val="0"/>
              <c:showCatName val="0"/>
              <c:showSerName val="0"/>
              <c:showPercent val="0"/>
              <c:showBubbleSize val="0"/>
            </c:dLbl>
            <c:dLbl>
              <c:idx val="4"/>
              <c:tx>
                <c:rich>
                  <a:bodyPr/>
                  <a:lstStyle/>
                  <a:p>
                    <a:r>
                      <a:t>30%</a:t>
                    </a:r>
                  </a:p>
                </c:rich>
              </c:tx>
              <c:dLblPos val="l"/>
              <c:showLegendKey val="0"/>
              <c:showVal val="0"/>
              <c:showCatName val="0"/>
              <c:showSerName val="0"/>
              <c:showPercent val="0"/>
              <c:showBubbleSize val="0"/>
            </c:dLbl>
            <c:dLbl>
              <c:idx val="5"/>
              <c:delete val="1"/>
            </c:dLbl>
            <c:dLbl>
              <c:idx val="6"/>
              <c:delete val="1"/>
            </c:dLbl>
            <c:dLbl>
              <c:idx val="7"/>
              <c:tx>
                <c:rich>
                  <a:bodyPr/>
                  <a:lstStyle/>
                  <a:p>
                    <a:r>
                      <a:t>40%</a:t>
                    </a:r>
                  </a:p>
                </c:rich>
              </c:tx>
              <c:dLblPos val="l"/>
              <c:showLegendKey val="0"/>
              <c:showVal val="0"/>
              <c:showCatName val="0"/>
              <c:showSerName val="0"/>
              <c:showPercent val="0"/>
              <c:showBubbleSize val="0"/>
            </c:dLbl>
            <c:dLbl>
              <c:idx val="8"/>
              <c:tx>
                <c:rich>
                  <a:bodyPr/>
                  <a:lstStyle/>
                  <a:p>
                    <a:r>
                      <a:t>50%</a:t>
                    </a:r>
                  </a:p>
                </c:rich>
              </c:tx>
              <c:dLblPos val="l"/>
              <c:showLegendKey val="0"/>
              <c:showVal val="0"/>
              <c:showCatName val="0"/>
              <c:showSerName val="0"/>
              <c:showPercent val="0"/>
              <c:showBubbleSize val="0"/>
            </c:dLbl>
            <c:dLbl>
              <c:idx val="9"/>
              <c:delete val="1"/>
            </c:dLbl>
            <c:dLbl>
              <c:idx val="10"/>
              <c:delete val="1"/>
            </c:dLbl>
            <c:dLbl>
              <c:idx val="11"/>
              <c:tx>
                <c:rich>
                  <a:bodyPr/>
                  <a:lstStyle/>
                  <a:p>
                    <a:r>
                      <a:t>60%</a:t>
                    </a:r>
                  </a:p>
                </c:rich>
              </c:tx>
              <c:dLblPos val="l"/>
              <c:showLegendKey val="0"/>
              <c:showVal val="0"/>
              <c:showCatName val="0"/>
              <c:showSerName val="0"/>
              <c:showPercent val="0"/>
              <c:showBubbleSize val="0"/>
            </c:dLbl>
            <c:dLbl>
              <c:idx val="12"/>
              <c:tx>
                <c:rich>
                  <a:bodyPr/>
                  <a:lstStyle/>
                  <a:p>
                    <a:r>
                      <a:t>70%</a:t>
                    </a:r>
                  </a:p>
                </c:rich>
              </c:tx>
              <c:dLblPos val="l"/>
              <c:showLegendKey val="0"/>
              <c:showVal val="0"/>
              <c:showCatName val="0"/>
              <c:showSerName val="0"/>
              <c:showPercent val="0"/>
              <c:showBubbleSize val="0"/>
            </c:dLbl>
            <c:dLbl>
              <c:idx val="13"/>
              <c:delete val="1"/>
            </c:dLbl>
            <c:dLbl>
              <c:idx val="14"/>
              <c:delete val="1"/>
            </c:dLbl>
            <c:dLbl>
              <c:idx val="15"/>
              <c:tx>
                <c:rich>
                  <a:bodyPr/>
                  <a:lstStyle/>
                  <a:p>
                    <a:r>
                      <a:t>80%</a:t>
                    </a:r>
                  </a:p>
                </c:rich>
              </c:tx>
              <c:dLblPos val="l"/>
              <c:showLegendKey val="0"/>
              <c:showVal val="0"/>
              <c:showCatName val="0"/>
              <c:showSerName val="0"/>
              <c:showPercent val="0"/>
              <c:showBubbleSize val="0"/>
            </c:dLbl>
            <c:dLbl>
              <c:idx val="16"/>
              <c:tx>
                <c:rich>
                  <a:bodyPr/>
                  <a:lstStyle/>
                  <a:p>
                    <a:r>
                      <a:t>90%</a:t>
                    </a:r>
                  </a:p>
                </c:rich>
              </c:tx>
              <c:dLblPos val="l"/>
              <c:showLegendKey val="0"/>
              <c:showVal val="0"/>
              <c:showCatName val="0"/>
              <c:showSerName val="0"/>
              <c:showPercent val="0"/>
              <c:showBubbleSize val="0"/>
            </c:dLbl>
            <c:dLbl>
              <c:idx val="17"/>
              <c:delete val="1"/>
            </c:dLbl>
            <c:spPr>
              <a:noFill/>
              <a:ln w="25400">
                <a:noFill/>
              </a:ln>
            </c:spPr>
            <c:txPr>
              <a:bodyPr/>
              <a:lstStyle/>
              <a:p>
                <a:pPr>
                  <a:defRPr sz="1200" b="0" i="0" u="none" strike="noStrike" baseline="0">
                    <a:solidFill>
                      <a:srgbClr val="C0C0C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Tgrid!$F$5:$F$22</c:f>
              <c:numCache>
                <c:formatCode>General</c:formatCode>
                <c:ptCount val="18"/>
                <c:pt idx="0">
                  <c:v>0.05774</c:v>
                </c:pt>
                <c:pt idx="1">
                  <c:v>1.09697</c:v>
                </c:pt>
                <c:pt idx="2">
                  <c:v>1.03924</c:v>
                </c:pt>
                <c:pt idx="3">
                  <c:v>0.11548</c:v>
                </c:pt>
                <c:pt idx="4">
                  <c:v>0.17322</c:v>
                </c:pt>
                <c:pt idx="5">
                  <c:v>0.98151</c:v>
                </c:pt>
                <c:pt idx="6">
                  <c:v>0.92378</c:v>
                </c:pt>
                <c:pt idx="7">
                  <c:v>0.23096</c:v>
                </c:pt>
                <c:pt idx="8">
                  <c:v>0.2887</c:v>
                </c:pt>
                <c:pt idx="9">
                  <c:v>0.86605</c:v>
                </c:pt>
                <c:pt idx="10">
                  <c:v>0.80832</c:v>
                </c:pt>
                <c:pt idx="11">
                  <c:v>0.34644</c:v>
                </c:pt>
                <c:pt idx="12">
                  <c:v>0.40418</c:v>
                </c:pt>
                <c:pt idx="13">
                  <c:v>0.75059</c:v>
                </c:pt>
                <c:pt idx="14">
                  <c:v>0.69286</c:v>
                </c:pt>
                <c:pt idx="15">
                  <c:v>0.46192</c:v>
                </c:pt>
                <c:pt idx="16">
                  <c:v>0.51966</c:v>
                </c:pt>
                <c:pt idx="17">
                  <c:v>0.63513</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mooth val="0"/>
        </c:ser>
        <c:ser>
          <c:idx val="2"/>
          <c:order val="2"/>
          <c:tx>
            <c:v>B grid</c:v>
          </c:tx>
          <c:spPr>
            <a:ln w="3175">
              <a:solidFill>
                <a:srgbClr val="C0C0C0"/>
              </a:solidFill>
              <a:prstDash val="sysDash"/>
            </a:ln>
          </c:spPr>
          <c:marker>
            <c:symbol val="none"/>
          </c:marker>
          <c:xVal>
            <c:numRef>
              <c:f>Tgrid!$K$5:$K$22</c:f>
              <c:numCache>
                <c:formatCode>General</c:formatCode>
                <c:ptCount val="18"/>
                <c:pt idx="0">
                  <c:v>0.11547</c:v>
                </c:pt>
                <c:pt idx="1">
                  <c:v>0.05774</c:v>
                </c:pt>
                <c:pt idx="2">
                  <c:v>0.11548</c:v>
                </c:pt>
                <c:pt idx="3">
                  <c:v>0.23094</c:v>
                </c:pt>
                <c:pt idx="4">
                  <c:v>0.34641</c:v>
                </c:pt>
                <c:pt idx="5">
                  <c:v>0.17322</c:v>
                </c:pt>
                <c:pt idx="6">
                  <c:v>0.23096</c:v>
                </c:pt>
                <c:pt idx="7">
                  <c:v>0.46188</c:v>
                </c:pt>
                <c:pt idx="8">
                  <c:v>0.57735</c:v>
                </c:pt>
                <c:pt idx="9">
                  <c:v>0.2887</c:v>
                </c:pt>
                <c:pt idx="10">
                  <c:v>0.34644</c:v>
                </c:pt>
                <c:pt idx="11">
                  <c:v>0.69282</c:v>
                </c:pt>
                <c:pt idx="12">
                  <c:v>0.80829</c:v>
                </c:pt>
                <c:pt idx="13">
                  <c:v>0.40418</c:v>
                </c:pt>
                <c:pt idx="14">
                  <c:v>0.46192</c:v>
                </c:pt>
                <c:pt idx="15">
                  <c:v>0.92376</c:v>
                </c:pt>
                <c:pt idx="16">
                  <c:v>1.03923</c:v>
                </c:pt>
                <c:pt idx="17">
                  <c:v>0.51966</c:v>
                </c:pt>
              </c:numCache>
            </c:numRef>
          </c:xVal>
          <c:yVal>
            <c:numRef>
              <c:f>Tgrid!$L$5:$L$22</c:f>
              <c:numCache>
                <c:formatCode>0.00</c:formatCode>
                <c:ptCount val="18"/>
                <c:pt idx="0">
                  <c:v>0.0</c:v>
                </c:pt>
                <c:pt idx="1">
                  <c:v>0.1</c:v>
                </c:pt>
                <c:pt idx="2">
                  <c:v>0.2</c:v>
                </c:pt>
                <c:pt idx="3">
                  <c:v>0.0</c:v>
                </c:pt>
                <c:pt idx="4">
                  <c:v>0.0</c:v>
                </c:pt>
                <c:pt idx="5">
                  <c:v>0.3</c:v>
                </c:pt>
                <c:pt idx="6">
                  <c:v>0.4</c:v>
                </c:pt>
                <c:pt idx="7">
                  <c:v>0.0</c:v>
                </c:pt>
                <c:pt idx="8">
                  <c:v>0.0</c:v>
                </c:pt>
                <c:pt idx="9">
                  <c:v>0.5</c:v>
                </c:pt>
                <c:pt idx="10">
                  <c:v>0.6</c:v>
                </c:pt>
                <c:pt idx="11">
                  <c:v>0.0</c:v>
                </c:pt>
                <c:pt idx="12">
                  <c:v>0.0</c:v>
                </c:pt>
                <c:pt idx="13">
                  <c:v>0.7</c:v>
                </c:pt>
                <c:pt idx="14">
                  <c:v>0.8</c:v>
                </c:pt>
                <c:pt idx="15">
                  <c:v>0.0</c:v>
                </c:pt>
                <c:pt idx="16">
                  <c:v>0.0</c:v>
                </c:pt>
                <c:pt idx="17">
                  <c:v>0.9</c:v>
                </c:pt>
              </c:numCache>
            </c:numRef>
          </c:yVal>
          <c:smooth val="0"/>
        </c:ser>
        <c:ser>
          <c:idx val="3"/>
          <c:order val="3"/>
          <c:tx>
            <c:v>C grid</c:v>
          </c:tx>
          <c:spPr>
            <a:ln w="3175">
              <a:solidFill>
                <a:srgbClr val="C0C0C0"/>
              </a:solidFill>
              <a:prstDash val="sysDash"/>
            </a:ln>
          </c:spPr>
          <c:marker>
            <c:symbol val="none"/>
          </c:marker>
          <c:dLbls>
            <c:dLbl>
              <c:idx val="0"/>
              <c:delete val="1"/>
            </c:dLbl>
            <c:dLbl>
              <c:idx val="1"/>
              <c:layout>
                <c:manualLayout>
                  <c:xMode val="edge"/>
                  <c:yMode val="edge"/>
                  <c:x val="0.518683274021352"/>
                  <c:y val="0.113378684807256"/>
                </c:manualLayout>
              </c:layout>
              <c:tx>
                <c:rich>
                  <a:bodyPr/>
                  <a:lstStyle/>
                  <a:p>
                    <a:r>
                      <a:t>10%</a:t>
                    </a:r>
                  </a:p>
                </c:rich>
              </c:tx>
              <c:dLblPos val="r"/>
              <c:showLegendKey val="0"/>
              <c:showVal val="0"/>
              <c:showCatName val="0"/>
              <c:showSerName val="0"/>
              <c:showPercent val="0"/>
              <c:showBubbleSize val="0"/>
            </c:dLbl>
            <c:dLbl>
              <c:idx val="2"/>
              <c:layout>
                <c:manualLayout>
                  <c:xMode val="edge"/>
                  <c:yMode val="edge"/>
                  <c:x val="0.551601423487545"/>
                  <c:y val="0.187074829931973"/>
                </c:manualLayout>
              </c:layout>
              <c:tx>
                <c:rich>
                  <a:bodyPr/>
                  <a:lstStyle/>
                  <a:p>
                    <a:r>
                      <a:t>20%</a:t>
                    </a:r>
                  </a:p>
                </c:rich>
              </c:tx>
              <c:dLblPos val="r"/>
              <c:showLegendKey val="0"/>
              <c:showVal val="0"/>
              <c:showCatName val="0"/>
              <c:showSerName val="0"/>
              <c:showPercent val="0"/>
              <c:showBubbleSize val="0"/>
            </c:dLbl>
            <c:dLbl>
              <c:idx val="3"/>
              <c:delete val="1"/>
            </c:dLbl>
            <c:dLbl>
              <c:idx val="4"/>
              <c:delete val="1"/>
            </c:dLbl>
            <c:dLbl>
              <c:idx val="5"/>
              <c:layout>
                <c:manualLayout>
                  <c:xMode val="edge"/>
                  <c:yMode val="edge"/>
                  <c:x val="0.587188612099644"/>
                  <c:y val="0.256235827664399"/>
                </c:manualLayout>
              </c:layout>
              <c:tx>
                <c:rich>
                  <a:bodyPr/>
                  <a:lstStyle/>
                  <a:p>
                    <a:r>
                      <a:t>30%</a:t>
                    </a:r>
                  </a:p>
                </c:rich>
              </c:tx>
              <c:dLblPos val="r"/>
              <c:showLegendKey val="0"/>
              <c:showVal val="0"/>
              <c:showCatName val="0"/>
              <c:showSerName val="0"/>
              <c:showPercent val="0"/>
              <c:showBubbleSize val="0"/>
            </c:dLbl>
            <c:dLbl>
              <c:idx val="6"/>
              <c:layout>
                <c:manualLayout>
                  <c:xMode val="edge"/>
                  <c:yMode val="edge"/>
                  <c:x val="0.620996441281139"/>
                  <c:y val="0.326530612244898"/>
                </c:manualLayout>
              </c:layout>
              <c:tx>
                <c:rich>
                  <a:bodyPr/>
                  <a:lstStyle/>
                  <a:p>
                    <a:r>
                      <a:t>40%</a:t>
                    </a:r>
                  </a:p>
                </c:rich>
              </c:tx>
              <c:dLblPos val="r"/>
              <c:showLegendKey val="0"/>
              <c:showVal val="0"/>
              <c:showCatName val="0"/>
              <c:showSerName val="0"/>
              <c:showPercent val="0"/>
              <c:showBubbleSize val="0"/>
            </c:dLbl>
            <c:dLbl>
              <c:idx val="7"/>
              <c:delete val="1"/>
            </c:dLbl>
            <c:dLbl>
              <c:idx val="8"/>
              <c:delete val="1"/>
            </c:dLbl>
            <c:dLbl>
              <c:idx val="9"/>
              <c:layout>
                <c:manualLayout>
                  <c:xMode val="edge"/>
                  <c:yMode val="edge"/>
                  <c:x val="0.652135231316726"/>
                  <c:y val="0.395691609977324"/>
                </c:manualLayout>
              </c:layout>
              <c:tx>
                <c:rich>
                  <a:bodyPr/>
                  <a:lstStyle/>
                  <a:p>
                    <a:r>
                      <a:t>50%</a:t>
                    </a:r>
                  </a:p>
                </c:rich>
              </c:tx>
              <c:dLblPos val="r"/>
              <c:showLegendKey val="0"/>
              <c:showVal val="0"/>
              <c:showCatName val="0"/>
              <c:showSerName val="0"/>
              <c:showPercent val="0"/>
              <c:showBubbleSize val="0"/>
            </c:dLbl>
            <c:dLbl>
              <c:idx val="10"/>
              <c:layout>
                <c:manualLayout>
                  <c:xMode val="edge"/>
                  <c:yMode val="edge"/>
                  <c:x val="0.692170818505338"/>
                  <c:y val="0.469387755102041"/>
                </c:manualLayout>
              </c:layout>
              <c:tx>
                <c:rich>
                  <a:bodyPr/>
                  <a:lstStyle/>
                  <a:p>
                    <a:r>
                      <a:t>60%</a:t>
                    </a:r>
                  </a:p>
                </c:rich>
              </c:tx>
              <c:dLblPos val="r"/>
              <c:showLegendKey val="0"/>
              <c:showVal val="0"/>
              <c:showCatName val="0"/>
              <c:showSerName val="0"/>
              <c:showPercent val="0"/>
              <c:showBubbleSize val="0"/>
            </c:dLbl>
            <c:dLbl>
              <c:idx val="11"/>
              <c:delete val="1"/>
            </c:dLbl>
            <c:dLbl>
              <c:idx val="12"/>
              <c:delete val="1"/>
            </c:dLbl>
            <c:dLbl>
              <c:idx val="13"/>
              <c:layout>
                <c:manualLayout>
                  <c:xMode val="edge"/>
                  <c:yMode val="edge"/>
                  <c:x val="0.729537366548043"/>
                  <c:y val="0.546485260770975"/>
                </c:manualLayout>
              </c:layout>
              <c:tx>
                <c:rich>
                  <a:bodyPr/>
                  <a:lstStyle/>
                  <a:p>
                    <a:r>
                      <a:t>70%</a:t>
                    </a:r>
                  </a:p>
                </c:rich>
              </c:tx>
              <c:dLblPos val="r"/>
              <c:showLegendKey val="0"/>
              <c:showVal val="0"/>
              <c:showCatName val="0"/>
              <c:showSerName val="0"/>
              <c:showPercent val="0"/>
              <c:showBubbleSize val="0"/>
            </c:dLbl>
            <c:dLbl>
              <c:idx val="14"/>
              <c:layout>
                <c:manualLayout>
                  <c:xMode val="edge"/>
                  <c:yMode val="edge"/>
                  <c:x val="0.762455516014235"/>
                  <c:y val="0.620181405895692"/>
                </c:manualLayout>
              </c:layout>
              <c:tx>
                <c:rich>
                  <a:bodyPr/>
                  <a:lstStyle/>
                  <a:p>
                    <a:r>
                      <a:t>80%</a:t>
                    </a:r>
                  </a:p>
                </c:rich>
              </c:tx>
              <c:dLblPos val="r"/>
              <c:showLegendKey val="0"/>
              <c:showVal val="0"/>
              <c:showCatName val="0"/>
              <c:showSerName val="0"/>
              <c:showPercent val="0"/>
              <c:showBubbleSize val="0"/>
            </c:dLbl>
            <c:dLbl>
              <c:idx val="15"/>
              <c:delete val="1"/>
            </c:dLbl>
            <c:dLbl>
              <c:idx val="16"/>
              <c:delete val="1"/>
            </c:dLbl>
            <c:dLbl>
              <c:idx val="17"/>
              <c:layout>
                <c:manualLayout>
                  <c:xMode val="edge"/>
                  <c:yMode val="edge"/>
                  <c:x val="0.797153024911032"/>
                  <c:y val="0.688208616780046"/>
                </c:manualLayout>
              </c:layout>
              <c:tx>
                <c:rich>
                  <a:bodyPr/>
                  <a:lstStyle/>
                  <a:p>
                    <a:r>
                      <a:t>90%</a:t>
                    </a:r>
                  </a:p>
                </c:rich>
              </c:tx>
              <c:dLblPos val="r"/>
              <c:showLegendKey val="0"/>
              <c:showVal val="0"/>
              <c:showCatName val="0"/>
              <c:showSerName val="0"/>
              <c:showPercent val="0"/>
              <c:showBubbleSize val="0"/>
            </c:dLbl>
            <c:spPr>
              <a:noFill/>
              <a:ln w="25400">
                <a:noFill/>
              </a:ln>
            </c:spPr>
            <c:txPr>
              <a:bodyPr rot="-3600000" vert="horz"/>
              <a:lstStyle/>
              <a:p>
                <a:pPr algn="l">
                  <a:defRPr sz="1200" b="0" i="0" u="none" strike="noStrike" baseline="0">
                    <a:solidFill>
                      <a:srgbClr val="C0C0C0"/>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Tgrid!$P$5:$P$22</c:f>
              <c:numCache>
                <c:formatCode>General</c:formatCode>
                <c:ptCount val="18"/>
                <c:pt idx="0">
                  <c:v>0.11547</c:v>
                </c:pt>
                <c:pt idx="1">
                  <c:v>0.63513</c:v>
                </c:pt>
                <c:pt idx="2">
                  <c:v>0.69286</c:v>
                </c:pt>
                <c:pt idx="3">
                  <c:v>0.23094</c:v>
                </c:pt>
                <c:pt idx="4">
                  <c:v>0.34641</c:v>
                </c:pt>
                <c:pt idx="5">
                  <c:v>0.75059</c:v>
                </c:pt>
                <c:pt idx="6">
                  <c:v>0.80832</c:v>
                </c:pt>
                <c:pt idx="7">
                  <c:v>0.46188</c:v>
                </c:pt>
                <c:pt idx="8">
                  <c:v>0.57735</c:v>
                </c:pt>
                <c:pt idx="9">
                  <c:v>0.86605</c:v>
                </c:pt>
                <c:pt idx="10">
                  <c:v>0.92378</c:v>
                </c:pt>
                <c:pt idx="11">
                  <c:v>0.69282</c:v>
                </c:pt>
                <c:pt idx="12">
                  <c:v>0.80829</c:v>
                </c:pt>
                <c:pt idx="13">
                  <c:v>0.98151</c:v>
                </c:pt>
                <c:pt idx="14">
                  <c:v>1.03924</c:v>
                </c:pt>
                <c:pt idx="15">
                  <c:v>0.92376</c:v>
                </c:pt>
                <c:pt idx="16">
                  <c:v>1.03923</c:v>
                </c:pt>
                <c:pt idx="17">
                  <c:v>1.09697</c:v>
                </c:pt>
              </c:numCache>
            </c:numRef>
          </c:xVal>
          <c:yVal>
            <c:numRef>
              <c:f>Tgrid!$Q$5:$Q$22</c:f>
              <c:numCache>
                <c:formatCode>0.00</c:formatCode>
                <c:ptCount val="18"/>
                <c:pt idx="0">
                  <c:v>0.0</c:v>
                </c:pt>
                <c:pt idx="1">
                  <c:v>0.9</c:v>
                </c:pt>
                <c:pt idx="2">
                  <c:v>0.8</c:v>
                </c:pt>
                <c:pt idx="3">
                  <c:v>0.0</c:v>
                </c:pt>
                <c:pt idx="4">
                  <c:v>0.0</c:v>
                </c:pt>
                <c:pt idx="5">
                  <c:v>0.7</c:v>
                </c:pt>
                <c:pt idx="6">
                  <c:v>0.6</c:v>
                </c:pt>
                <c:pt idx="7">
                  <c:v>0.0</c:v>
                </c:pt>
                <c:pt idx="8">
                  <c:v>0.0</c:v>
                </c:pt>
                <c:pt idx="9">
                  <c:v>0.5</c:v>
                </c:pt>
                <c:pt idx="10">
                  <c:v>0.4</c:v>
                </c:pt>
                <c:pt idx="11">
                  <c:v>0.0</c:v>
                </c:pt>
                <c:pt idx="12">
                  <c:v>0.0</c:v>
                </c:pt>
                <c:pt idx="13">
                  <c:v>0.3</c:v>
                </c:pt>
                <c:pt idx="14">
                  <c:v>0.2</c:v>
                </c:pt>
                <c:pt idx="15">
                  <c:v>0.0</c:v>
                </c:pt>
                <c:pt idx="16">
                  <c:v>0.0</c:v>
                </c:pt>
                <c:pt idx="17">
                  <c:v>0.1</c:v>
                </c:pt>
              </c:numCache>
            </c:numRef>
          </c:yVal>
          <c:smooth val="0"/>
        </c:ser>
        <c:ser>
          <c:idx val="4"/>
          <c:order val="4"/>
          <c:tx>
            <c:v>data</c:v>
          </c:tx>
          <c:spPr>
            <a:ln w="28575">
              <a:noFill/>
            </a:ln>
          </c:spPr>
          <c:marker>
            <c:symbol val="diamond"/>
            <c:size val="7"/>
            <c:spPr>
              <a:solidFill>
                <a:srgbClr val="800080"/>
              </a:solidFill>
              <a:ln>
                <a:solidFill>
                  <a:srgbClr val="800080"/>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input!$BO$11:$BO$40</c:f>
              <c:numCache>
                <c:formatCode>0.000</c:formatCode>
                <c:ptCount val="30"/>
                <c:pt idx="0">
                  <c:v>0.665387804878049</c:v>
                </c:pt>
                <c:pt idx="1">
                  <c:v>0.536796690796277</c:v>
                </c:pt>
                <c:pt idx="2">
                  <c:v>0.279065231431647</c:v>
                </c:pt>
                <c:pt idx="3">
                  <c:v>0.504394636015326</c:v>
                </c:pt>
                <c:pt idx="4">
                  <c:v>0.334461504747991</c:v>
                </c:pt>
                <c:pt idx="5">
                  <c:v>0.196876872697503</c:v>
                </c:pt>
                <c:pt idx="6">
                  <c:v>0.160937068965517</c:v>
                </c:pt>
                <c:pt idx="7">
                  <c:v>0.176010205434062</c:v>
                </c:pt>
                <c:pt idx="8">
                  <c:v>0.175166131621188</c:v>
                </c:pt>
                <c:pt idx="9">
                  <c:v>0.189613494539782</c:v>
                </c:pt>
                <c:pt idx="10">
                  <c:v>0.572278713968958</c:v>
                </c:pt>
                <c:pt idx="11">
                  <c:v>0.53525401459854</c:v>
                </c:pt>
                <c:pt idx="12">
                  <c:v>0.217490284005979</c:v>
                </c:pt>
                <c:pt idx="13">
                  <c:v>0.165670714550167</c:v>
                </c:pt>
                <c:pt idx="14">
                  <c:v>0.26404807084124</c:v>
                </c:pt>
                <c:pt idx="15">
                  <c:v>0.493041263573544</c:v>
                </c:pt>
                <c:pt idx="16">
                  <c:v>0.395657981927711</c:v>
                </c:pt>
                <c:pt idx="17">
                  <c:v>0.381164917776038</c:v>
                </c:pt>
                <c:pt idx="18">
                  <c:v>0.410034630053394</c:v>
                </c:pt>
                <c:pt idx="19">
                  <c:v>0.476204906542056</c:v>
                </c:pt>
                <c:pt idx="20">
                  <c:v>0.262365251572327</c:v>
                </c:pt>
                <c:pt idx="21">
                  <c:v>0.0</c:v>
                </c:pt>
                <c:pt idx="22">
                  <c:v>0.0</c:v>
                </c:pt>
                <c:pt idx="23">
                  <c:v>0.0</c:v>
                </c:pt>
                <c:pt idx="24">
                  <c:v>0.0</c:v>
                </c:pt>
                <c:pt idx="25">
                  <c:v>0.0</c:v>
                </c:pt>
                <c:pt idx="26">
                  <c:v>0.0</c:v>
                </c:pt>
                <c:pt idx="27">
                  <c:v>0.0</c:v>
                </c:pt>
                <c:pt idx="28">
                  <c:v>0.0</c:v>
                </c:pt>
                <c:pt idx="29">
                  <c:v>0.0</c:v>
                </c:pt>
              </c:numCache>
            </c:numRef>
          </c:xVal>
          <c:yVal>
            <c:numRef>
              <c:f>input!$BP$11:$BP$40</c:f>
              <c:numCache>
                <c:formatCode>0.000</c:formatCode>
                <c:ptCount val="30"/>
                <c:pt idx="0">
                  <c:v>0.542682926829268</c:v>
                </c:pt>
                <c:pt idx="1">
                  <c:v>0.925542916235781</c:v>
                </c:pt>
                <c:pt idx="2">
                  <c:v>0.461786867599569</c:v>
                </c:pt>
                <c:pt idx="3">
                  <c:v>0.85823754789272</c:v>
                </c:pt>
                <c:pt idx="4">
                  <c:v>0.573411249086925</c:v>
                </c:pt>
                <c:pt idx="5">
                  <c:v>0.308227589029881</c:v>
                </c:pt>
                <c:pt idx="6">
                  <c:v>0.181034482758621</c:v>
                </c:pt>
                <c:pt idx="7">
                  <c:v>0.243870112657389</c:v>
                </c:pt>
                <c:pt idx="8">
                  <c:v>0.30016051364366</c:v>
                </c:pt>
                <c:pt idx="9">
                  <c:v>0.314352574102964</c:v>
                </c:pt>
                <c:pt idx="10">
                  <c:v>0.98669623059867</c:v>
                </c:pt>
                <c:pt idx="11">
                  <c:v>0.927007299270073</c:v>
                </c:pt>
                <c:pt idx="12">
                  <c:v>0.263079222720478</c:v>
                </c:pt>
                <c:pt idx="13">
                  <c:v>0.224731580895964</c:v>
                </c:pt>
                <c:pt idx="14">
                  <c:v>0.454775458570525</c:v>
                </c:pt>
                <c:pt idx="15">
                  <c:v>0.84995064165844</c:v>
                </c:pt>
                <c:pt idx="16">
                  <c:v>0.682228915662651</c:v>
                </c:pt>
                <c:pt idx="17">
                  <c:v>0.650743931088489</c:v>
                </c:pt>
                <c:pt idx="18">
                  <c:v>0.649122807017544</c:v>
                </c:pt>
                <c:pt idx="19">
                  <c:v>0.521028037383178</c:v>
                </c:pt>
                <c:pt idx="20">
                  <c:v>0.319182389937107</c:v>
                </c:pt>
                <c:pt idx="21">
                  <c:v>-99.0</c:v>
                </c:pt>
                <c:pt idx="22">
                  <c:v>-99.0</c:v>
                </c:pt>
                <c:pt idx="23">
                  <c:v>-99.0</c:v>
                </c:pt>
                <c:pt idx="24">
                  <c:v>-99.0</c:v>
                </c:pt>
                <c:pt idx="25">
                  <c:v>-99.0</c:v>
                </c:pt>
                <c:pt idx="26">
                  <c:v>-99.0</c:v>
                </c:pt>
                <c:pt idx="27">
                  <c:v>-99.0</c:v>
                </c:pt>
                <c:pt idx="28">
                  <c:v>-99.0</c:v>
                </c:pt>
                <c:pt idx="29">
                  <c:v>-99.0</c:v>
                </c:pt>
              </c:numCache>
            </c:numRef>
          </c:yVal>
          <c:smooth val="0"/>
        </c:ser>
        <c:dLbls>
          <c:showLegendKey val="0"/>
          <c:showVal val="0"/>
          <c:showCatName val="0"/>
          <c:showSerName val="0"/>
          <c:showPercent val="0"/>
          <c:showBubbleSize val="0"/>
        </c:dLbls>
        <c:axId val="2097871256"/>
        <c:axId val="2097874136"/>
      </c:scatterChart>
      <c:valAx>
        <c:axId val="2097871256"/>
        <c:scaling>
          <c:orientation val="minMax"/>
          <c:max val="1.4"/>
          <c:min val="-0.2"/>
        </c:scaling>
        <c:delete val="1"/>
        <c:axPos val="b"/>
        <c:numFmt formatCode="General" sourceLinked="1"/>
        <c:majorTickMark val="out"/>
        <c:minorTickMark val="none"/>
        <c:tickLblPos val="none"/>
        <c:crossAx val="2097874136"/>
        <c:crosses val="autoZero"/>
        <c:crossBetween val="midCat"/>
      </c:valAx>
      <c:valAx>
        <c:axId val="2097874136"/>
        <c:scaling>
          <c:orientation val="minMax"/>
          <c:max val="1.0"/>
          <c:min val="-0.2"/>
        </c:scaling>
        <c:delete val="1"/>
        <c:axPos val="l"/>
        <c:numFmt formatCode="General" sourceLinked="1"/>
        <c:majorTickMark val="out"/>
        <c:minorTickMark val="none"/>
        <c:tickLblPos val="none"/>
        <c:crossAx val="2097871256"/>
        <c:crosses val="autoZero"/>
        <c:crossBetween val="midCat"/>
      </c:val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115658362989324"/>
          <c:y val="0.0192771084337349"/>
          <c:w val="0.975978647686833"/>
          <c:h val="0.965060240963855"/>
        </c:manualLayout>
      </c:layout>
      <c:scatterChart>
        <c:scatterStyle val="lineMarker"/>
        <c:varyColors val="0"/>
        <c:ser>
          <c:idx val="1"/>
          <c:order val="0"/>
          <c:tx>
            <c:v>A grid</c:v>
          </c:tx>
          <c:spPr>
            <a:ln w="3175">
              <a:solidFill>
                <a:srgbClr val="C0C0C0"/>
              </a:solidFill>
              <a:prstDash val="sysDash"/>
            </a:ln>
          </c:spPr>
          <c:marker>
            <c:symbol val="none"/>
          </c:marker>
          <c:dLbls>
            <c:dLbl>
              <c:idx val="0"/>
              <c:tx>
                <c:rich>
                  <a:bodyPr/>
                  <a:lstStyle/>
                  <a:p>
                    <a:r>
                      <a:t>10%</a:t>
                    </a:r>
                  </a:p>
                </c:rich>
              </c:tx>
              <c:dLblPos val="l"/>
              <c:showLegendKey val="0"/>
              <c:showVal val="0"/>
              <c:showCatName val="0"/>
              <c:showSerName val="0"/>
              <c:showPercent val="0"/>
              <c:showBubbleSize val="0"/>
            </c:dLbl>
            <c:dLbl>
              <c:idx val="1"/>
              <c:delete val="1"/>
            </c:dLbl>
            <c:dLbl>
              <c:idx val="2"/>
              <c:delete val="1"/>
            </c:dLbl>
            <c:dLbl>
              <c:idx val="3"/>
              <c:tx>
                <c:rich>
                  <a:bodyPr/>
                  <a:lstStyle/>
                  <a:p>
                    <a:r>
                      <a:t>20%</a:t>
                    </a:r>
                  </a:p>
                </c:rich>
              </c:tx>
              <c:dLblPos val="l"/>
              <c:showLegendKey val="0"/>
              <c:showVal val="0"/>
              <c:showCatName val="0"/>
              <c:showSerName val="0"/>
              <c:showPercent val="0"/>
              <c:showBubbleSize val="0"/>
            </c:dLbl>
            <c:dLbl>
              <c:idx val="4"/>
              <c:tx>
                <c:rich>
                  <a:bodyPr/>
                  <a:lstStyle/>
                  <a:p>
                    <a:r>
                      <a:t>30%</a:t>
                    </a:r>
                  </a:p>
                </c:rich>
              </c:tx>
              <c:dLblPos val="l"/>
              <c:showLegendKey val="0"/>
              <c:showVal val="0"/>
              <c:showCatName val="0"/>
              <c:showSerName val="0"/>
              <c:showPercent val="0"/>
              <c:showBubbleSize val="0"/>
            </c:dLbl>
            <c:dLbl>
              <c:idx val="5"/>
              <c:delete val="1"/>
            </c:dLbl>
            <c:dLbl>
              <c:idx val="6"/>
              <c:delete val="1"/>
            </c:dLbl>
            <c:dLbl>
              <c:idx val="7"/>
              <c:tx>
                <c:rich>
                  <a:bodyPr/>
                  <a:lstStyle/>
                  <a:p>
                    <a:r>
                      <a:t>40%</a:t>
                    </a:r>
                  </a:p>
                </c:rich>
              </c:tx>
              <c:dLblPos val="l"/>
              <c:showLegendKey val="0"/>
              <c:showVal val="0"/>
              <c:showCatName val="0"/>
              <c:showSerName val="0"/>
              <c:showPercent val="0"/>
              <c:showBubbleSize val="0"/>
            </c:dLbl>
            <c:dLbl>
              <c:idx val="8"/>
              <c:tx>
                <c:rich>
                  <a:bodyPr/>
                  <a:lstStyle/>
                  <a:p>
                    <a:r>
                      <a:t>50%</a:t>
                    </a:r>
                  </a:p>
                </c:rich>
              </c:tx>
              <c:dLblPos val="l"/>
              <c:showLegendKey val="0"/>
              <c:showVal val="0"/>
              <c:showCatName val="0"/>
              <c:showSerName val="0"/>
              <c:showPercent val="0"/>
              <c:showBubbleSize val="0"/>
            </c:dLbl>
            <c:dLbl>
              <c:idx val="9"/>
              <c:delete val="1"/>
            </c:dLbl>
            <c:dLbl>
              <c:idx val="10"/>
              <c:delete val="1"/>
            </c:dLbl>
            <c:dLbl>
              <c:idx val="11"/>
              <c:tx>
                <c:rich>
                  <a:bodyPr/>
                  <a:lstStyle/>
                  <a:p>
                    <a:r>
                      <a:t>60%</a:t>
                    </a:r>
                  </a:p>
                </c:rich>
              </c:tx>
              <c:dLblPos val="l"/>
              <c:showLegendKey val="0"/>
              <c:showVal val="0"/>
              <c:showCatName val="0"/>
              <c:showSerName val="0"/>
              <c:showPercent val="0"/>
              <c:showBubbleSize val="0"/>
            </c:dLbl>
            <c:dLbl>
              <c:idx val="12"/>
              <c:tx>
                <c:rich>
                  <a:bodyPr/>
                  <a:lstStyle/>
                  <a:p>
                    <a:r>
                      <a:t>70%</a:t>
                    </a:r>
                  </a:p>
                </c:rich>
              </c:tx>
              <c:dLblPos val="l"/>
              <c:showLegendKey val="0"/>
              <c:showVal val="0"/>
              <c:showCatName val="0"/>
              <c:showSerName val="0"/>
              <c:showPercent val="0"/>
              <c:showBubbleSize val="0"/>
            </c:dLbl>
            <c:dLbl>
              <c:idx val="13"/>
              <c:delete val="1"/>
            </c:dLbl>
            <c:dLbl>
              <c:idx val="14"/>
              <c:delete val="1"/>
            </c:dLbl>
            <c:dLbl>
              <c:idx val="15"/>
              <c:tx>
                <c:rich>
                  <a:bodyPr/>
                  <a:lstStyle/>
                  <a:p>
                    <a:r>
                      <a:t>80%</a:t>
                    </a:r>
                  </a:p>
                </c:rich>
              </c:tx>
              <c:dLblPos val="l"/>
              <c:showLegendKey val="0"/>
              <c:showVal val="0"/>
              <c:showCatName val="0"/>
              <c:showSerName val="0"/>
              <c:showPercent val="0"/>
              <c:showBubbleSize val="0"/>
            </c:dLbl>
            <c:dLbl>
              <c:idx val="16"/>
              <c:tx>
                <c:rich>
                  <a:bodyPr/>
                  <a:lstStyle/>
                  <a:p>
                    <a:r>
                      <a:t>90%</a:t>
                    </a:r>
                  </a:p>
                </c:rich>
              </c:tx>
              <c:dLblPos val="l"/>
              <c:showLegendKey val="0"/>
              <c:showVal val="0"/>
              <c:showCatName val="0"/>
              <c:showSerName val="0"/>
              <c:showPercent val="0"/>
              <c:showBubbleSize val="0"/>
            </c:dLbl>
            <c:dLbl>
              <c:idx val="17"/>
              <c:delete val="1"/>
            </c:dLbl>
            <c:spPr>
              <a:noFill/>
              <a:ln w="25400">
                <a:noFill/>
              </a:ln>
            </c:spPr>
            <c:txPr>
              <a:bodyPr/>
              <a:lstStyle/>
              <a:p>
                <a:pPr>
                  <a:defRPr sz="1200" b="0" i="0" u="none" strike="noStrike" baseline="0">
                    <a:solidFill>
                      <a:srgbClr val="C0C0C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Tgrid!$F$5:$F$22</c:f>
              <c:numCache>
                <c:formatCode>General</c:formatCode>
                <c:ptCount val="18"/>
                <c:pt idx="0">
                  <c:v>0.05774</c:v>
                </c:pt>
                <c:pt idx="1">
                  <c:v>1.09697</c:v>
                </c:pt>
                <c:pt idx="2">
                  <c:v>1.03924</c:v>
                </c:pt>
                <c:pt idx="3">
                  <c:v>0.11548</c:v>
                </c:pt>
                <c:pt idx="4">
                  <c:v>0.17322</c:v>
                </c:pt>
                <c:pt idx="5">
                  <c:v>0.98151</c:v>
                </c:pt>
                <c:pt idx="6">
                  <c:v>0.92378</c:v>
                </c:pt>
                <c:pt idx="7">
                  <c:v>0.23096</c:v>
                </c:pt>
                <c:pt idx="8">
                  <c:v>0.2887</c:v>
                </c:pt>
                <c:pt idx="9">
                  <c:v>0.86605</c:v>
                </c:pt>
                <c:pt idx="10">
                  <c:v>0.80832</c:v>
                </c:pt>
                <c:pt idx="11">
                  <c:v>0.34644</c:v>
                </c:pt>
                <c:pt idx="12">
                  <c:v>0.40418</c:v>
                </c:pt>
                <c:pt idx="13">
                  <c:v>0.75059</c:v>
                </c:pt>
                <c:pt idx="14">
                  <c:v>0.69286</c:v>
                </c:pt>
                <c:pt idx="15">
                  <c:v>0.46192</c:v>
                </c:pt>
                <c:pt idx="16">
                  <c:v>0.51966</c:v>
                </c:pt>
                <c:pt idx="17">
                  <c:v>0.63513</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mooth val="0"/>
        </c:ser>
        <c:ser>
          <c:idx val="2"/>
          <c:order val="1"/>
          <c:tx>
            <c:v>B grid</c:v>
          </c:tx>
          <c:spPr>
            <a:ln w="3175">
              <a:solidFill>
                <a:srgbClr val="C0C0C0"/>
              </a:solidFill>
              <a:prstDash val="sysDash"/>
            </a:ln>
          </c:spPr>
          <c:marker>
            <c:symbol val="none"/>
          </c:marker>
          <c:dLbls>
            <c:dLbl>
              <c:idx val="0"/>
              <c:layout>
                <c:manualLayout>
                  <c:xMode val="edge"/>
                  <c:yMode val="edge"/>
                  <c:x val="0.189501779359431"/>
                  <c:y val="0.849397590361446"/>
                </c:manualLayout>
              </c:layout>
              <c:tx>
                <c:rich>
                  <a:bodyPr/>
                  <a:lstStyle/>
                  <a:p>
                    <a:r>
                      <a:t>90%</a:t>
                    </a:r>
                  </a:p>
                </c:rich>
              </c:tx>
              <c:dLblPos val="r"/>
              <c:showLegendKey val="0"/>
              <c:showVal val="0"/>
              <c:showCatName val="0"/>
              <c:showSerName val="0"/>
              <c:showPercent val="0"/>
              <c:showBubbleSize val="0"/>
            </c:dLbl>
            <c:dLbl>
              <c:idx val="1"/>
              <c:delete val="1"/>
            </c:dLbl>
            <c:dLbl>
              <c:idx val="2"/>
              <c:delete val="1"/>
            </c:dLbl>
            <c:dLbl>
              <c:idx val="3"/>
              <c:layout>
                <c:manualLayout>
                  <c:xMode val="edge"/>
                  <c:yMode val="edge"/>
                  <c:x val="0.25711743772242"/>
                  <c:y val="0.845783132530121"/>
                </c:manualLayout>
              </c:layout>
              <c:tx>
                <c:rich>
                  <a:bodyPr/>
                  <a:lstStyle/>
                  <a:p>
                    <a:r>
                      <a:t>80%</a:t>
                    </a:r>
                  </a:p>
                </c:rich>
              </c:tx>
              <c:dLblPos val="r"/>
              <c:showLegendKey val="0"/>
              <c:showVal val="0"/>
              <c:showCatName val="0"/>
              <c:showSerName val="0"/>
              <c:showPercent val="0"/>
              <c:showBubbleSize val="0"/>
            </c:dLbl>
            <c:dLbl>
              <c:idx val="4"/>
              <c:layout>
                <c:manualLayout>
                  <c:xMode val="edge"/>
                  <c:yMode val="edge"/>
                  <c:x val="0.332740213523132"/>
                  <c:y val="0.849397590361446"/>
                </c:manualLayout>
              </c:layout>
              <c:tx>
                <c:rich>
                  <a:bodyPr/>
                  <a:lstStyle/>
                  <a:p>
                    <a:r>
                      <a:t>70%</a:t>
                    </a:r>
                  </a:p>
                </c:rich>
              </c:tx>
              <c:dLblPos val="r"/>
              <c:showLegendKey val="0"/>
              <c:showVal val="0"/>
              <c:showCatName val="0"/>
              <c:showSerName val="0"/>
              <c:showPercent val="0"/>
              <c:showBubbleSize val="0"/>
            </c:dLbl>
            <c:dLbl>
              <c:idx val="5"/>
              <c:delete val="1"/>
            </c:dLbl>
            <c:dLbl>
              <c:idx val="6"/>
              <c:delete val="1"/>
            </c:dLbl>
            <c:dLbl>
              <c:idx val="7"/>
              <c:layout>
                <c:manualLayout>
                  <c:xMode val="edge"/>
                  <c:yMode val="edge"/>
                  <c:x val="0.401245551601423"/>
                  <c:y val="0.849397590361446"/>
                </c:manualLayout>
              </c:layout>
              <c:tx>
                <c:rich>
                  <a:bodyPr/>
                  <a:lstStyle/>
                  <a:p>
                    <a:r>
                      <a:t>60%</a:t>
                    </a:r>
                  </a:p>
                </c:rich>
              </c:tx>
              <c:dLblPos val="r"/>
              <c:showLegendKey val="0"/>
              <c:showVal val="0"/>
              <c:showCatName val="0"/>
              <c:showSerName val="0"/>
              <c:showPercent val="0"/>
              <c:showBubbleSize val="0"/>
            </c:dLbl>
            <c:dLbl>
              <c:idx val="8"/>
              <c:layout>
                <c:manualLayout>
                  <c:xMode val="edge"/>
                  <c:yMode val="edge"/>
                  <c:x val="0.47153024911032"/>
                  <c:y val="0.849397590361446"/>
                </c:manualLayout>
              </c:layout>
              <c:tx>
                <c:rich>
                  <a:bodyPr/>
                  <a:lstStyle/>
                  <a:p>
                    <a:r>
                      <a:t>50%</a:t>
                    </a:r>
                  </a:p>
                </c:rich>
              </c:tx>
              <c:dLblPos val="r"/>
              <c:showLegendKey val="0"/>
              <c:showVal val="0"/>
              <c:showCatName val="0"/>
              <c:showSerName val="0"/>
              <c:showPercent val="0"/>
              <c:showBubbleSize val="0"/>
            </c:dLbl>
            <c:dLbl>
              <c:idx val="9"/>
              <c:delete val="1"/>
            </c:dLbl>
            <c:dLbl>
              <c:idx val="10"/>
              <c:delete val="1"/>
            </c:dLbl>
            <c:dLbl>
              <c:idx val="11"/>
              <c:layout>
                <c:manualLayout>
                  <c:xMode val="edge"/>
                  <c:yMode val="edge"/>
                  <c:x val="0.543594306049822"/>
                  <c:y val="0.849397590361446"/>
                </c:manualLayout>
              </c:layout>
              <c:tx>
                <c:rich>
                  <a:bodyPr/>
                  <a:lstStyle/>
                  <a:p>
                    <a:r>
                      <a:t>40%</a:t>
                    </a:r>
                  </a:p>
                </c:rich>
              </c:tx>
              <c:dLblPos val="r"/>
              <c:showLegendKey val="0"/>
              <c:showVal val="0"/>
              <c:showCatName val="0"/>
              <c:showSerName val="0"/>
              <c:showPercent val="0"/>
              <c:showBubbleSize val="0"/>
            </c:dLbl>
            <c:dLbl>
              <c:idx val="12"/>
              <c:layout>
                <c:manualLayout>
                  <c:xMode val="edge"/>
                  <c:yMode val="edge"/>
                  <c:x val="0.613879003558719"/>
                  <c:y val="0.849397590361446"/>
                </c:manualLayout>
              </c:layout>
              <c:tx>
                <c:rich>
                  <a:bodyPr/>
                  <a:lstStyle/>
                  <a:p>
                    <a:r>
                      <a:t>30%</a:t>
                    </a:r>
                  </a:p>
                </c:rich>
              </c:tx>
              <c:dLblPos val="r"/>
              <c:showLegendKey val="0"/>
              <c:showVal val="0"/>
              <c:showCatName val="0"/>
              <c:showSerName val="0"/>
              <c:showPercent val="0"/>
              <c:showBubbleSize val="0"/>
            </c:dLbl>
            <c:dLbl>
              <c:idx val="13"/>
              <c:delete val="1"/>
            </c:dLbl>
            <c:dLbl>
              <c:idx val="14"/>
              <c:delete val="1"/>
            </c:dLbl>
            <c:dLbl>
              <c:idx val="15"/>
              <c:layout>
                <c:manualLayout>
                  <c:xMode val="edge"/>
                  <c:yMode val="edge"/>
                  <c:x val="0.686832740213523"/>
                  <c:y val="0.845783132530121"/>
                </c:manualLayout>
              </c:layout>
              <c:tx>
                <c:rich>
                  <a:bodyPr/>
                  <a:lstStyle/>
                  <a:p>
                    <a:r>
                      <a:t>20%</a:t>
                    </a:r>
                  </a:p>
                </c:rich>
              </c:tx>
              <c:dLblPos val="r"/>
              <c:showLegendKey val="0"/>
              <c:showVal val="0"/>
              <c:showCatName val="0"/>
              <c:showSerName val="0"/>
              <c:showPercent val="0"/>
              <c:showBubbleSize val="0"/>
            </c:dLbl>
            <c:dLbl>
              <c:idx val="16"/>
              <c:layout>
                <c:manualLayout>
                  <c:xMode val="edge"/>
                  <c:yMode val="edge"/>
                  <c:x val="0.75355871886121"/>
                  <c:y val="0.845783132530121"/>
                </c:manualLayout>
              </c:layout>
              <c:tx>
                <c:rich>
                  <a:bodyPr/>
                  <a:lstStyle/>
                  <a:p>
                    <a:r>
                      <a:t>10%</a:t>
                    </a:r>
                  </a:p>
                </c:rich>
              </c:tx>
              <c:dLblPos val="r"/>
              <c:showLegendKey val="0"/>
              <c:showVal val="0"/>
              <c:showCatName val="0"/>
              <c:showSerName val="0"/>
              <c:showPercent val="0"/>
              <c:showBubbleSize val="0"/>
            </c:dLbl>
            <c:dLbl>
              <c:idx val="17"/>
              <c:delete val="1"/>
            </c:dLbl>
            <c:spPr>
              <a:noFill/>
              <a:ln w="25400">
                <a:noFill/>
              </a:ln>
            </c:spPr>
            <c:txPr>
              <a:bodyPr rot="3600000" vert="horz"/>
              <a:lstStyle/>
              <a:p>
                <a:pPr algn="l">
                  <a:defRPr sz="1200" b="0" i="0" u="none" strike="noStrike" baseline="0">
                    <a:solidFill>
                      <a:srgbClr val="C0C0C0"/>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Tgrid!$K$5:$K$22</c:f>
              <c:numCache>
                <c:formatCode>General</c:formatCode>
                <c:ptCount val="18"/>
                <c:pt idx="0">
                  <c:v>0.11547</c:v>
                </c:pt>
                <c:pt idx="1">
                  <c:v>0.05774</c:v>
                </c:pt>
                <c:pt idx="2">
                  <c:v>0.11548</c:v>
                </c:pt>
                <c:pt idx="3">
                  <c:v>0.23094</c:v>
                </c:pt>
                <c:pt idx="4">
                  <c:v>0.34641</c:v>
                </c:pt>
                <c:pt idx="5">
                  <c:v>0.17322</c:v>
                </c:pt>
                <c:pt idx="6">
                  <c:v>0.23096</c:v>
                </c:pt>
                <c:pt idx="7">
                  <c:v>0.46188</c:v>
                </c:pt>
                <c:pt idx="8">
                  <c:v>0.57735</c:v>
                </c:pt>
                <c:pt idx="9">
                  <c:v>0.2887</c:v>
                </c:pt>
                <c:pt idx="10">
                  <c:v>0.34644</c:v>
                </c:pt>
                <c:pt idx="11">
                  <c:v>0.69282</c:v>
                </c:pt>
                <c:pt idx="12">
                  <c:v>0.80829</c:v>
                </c:pt>
                <c:pt idx="13">
                  <c:v>0.40418</c:v>
                </c:pt>
                <c:pt idx="14">
                  <c:v>0.46192</c:v>
                </c:pt>
                <c:pt idx="15">
                  <c:v>0.92376</c:v>
                </c:pt>
                <c:pt idx="16">
                  <c:v>1.03923</c:v>
                </c:pt>
                <c:pt idx="17">
                  <c:v>0.51966</c:v>
                </c:pt>
              </c:numCache>
            </c:numRef>
          </c:xVal>
          <c:yVal>
            <c:numRef>
              <c:f>Tgrid!$L$5:$L$22</c:f>
              <c:numCache>
                <c:formatCode>0.00</c:formatCode>
                <c:ptCount val="18"/>
                <c:pt idx="0">
                  <c:v>0.0</c:v>
                </c:pt>
                <c:pt idx="1">
                  <c:v>0.1</c:v>
                </c:pt>
                <c:pt idx="2">
                  <c:v>0.2</c:v>
                </c:pt>
                <c:pt idx="3">
                  <c:v>0.0</c:v>
                </c:pt>
                <c:pt idx="4">
                  <c:v>0.0</c:v>
                </c:pt>
                <c:pt idx="5">
                  <c:v>0.3</c:v>
                </c:pt>
                <c:pt idx="6">
                  <c:v>0.4</c:v>
                </c:pt>
                <c:pt idx="7">
                  <c:v>0.0</c:v>
                </c:pt>
                <c:pt idx="8">
                  <c:v>0.0</c:v>
                </c:pt>
                <c:pt idx="9">
                  <c:v>0.5</c:v>
                </c:pt>
                <c:pt idx="10">
                  <c:v>0.6</c:v>
                </c:pt>
                <c:pt idx="11">
                  <c:v>0.0</c:v>
                </c:pt>
                <c:pt idx="12">
                  <c:v>0.0</c:v>
                </c:pt>
                <c:pt idx="13">
                  <c:v>0.7</c:v>
                </c:pt>
                <c:pt idx="14">
                  <c:v>0.8</c:v>
                </c:pt>
                <c:pt idx="15">
                  <c:v>0.0</c:v>
                </c:pt>
                <c:pt idx="16">
                  <c:v>0.0</c:v>
                </c:pt>
                <c:pt idx="17">
                  <c:v>0.9</c:v>
                </c:pt>
              </c:numCache>
            </c:numRef>
          </c:yVal>
          <c:smooth val="0"/>
        </c:ser>
        <c:ser>
          <c:idx val="3"/>
          <c:order val="2"/>
          <c:tx>
            <c:v>C grid</c:v>
          </c:tx>
          <c:spPr>
            <a:ln w="3175">
              <a:solidFill>
                <a:srgbClr val="C0C0C0"/>
              </a:solidFill>
              <a:prstDash val="sysDash"/>
            </a:ln>
          </c:spPr>
          <c:marker>
            <c:symbol val="none"/>
          </c:marker>
          <c:dLbls>
            <c:dLbl>
              <c:idx val="0"/>
              <c:delete val="1"/>
            </c:dLbl>
            <c:dLbl>
              <c:idx val="1"/>
              <c:layout>
                <c:manualLayout>
                  <c:xMode val="edge"/>
                  <c:yMode val="edge"/>
                  <c:x val="0.518683274021352"/>
                  <c:y val="0.162650602409639"/>
                </c:manualLayout>
              </c:layout>
              <c:tx>
                <c:rich>
                  <a:bodyPr/>
                  <a:lstStyle/>
                  <a:p>
                    <a:r>
                      <a:t>10%</a:t>
                    </a:r>
                  </a:p>
                </c:rich>
              </c:tx>
              <c:dLblPos val="r"/>
              <c:showLegendKey val="0"/>
              <c:showVal val="0"/>
              <c:showCatName val="0"/>
              <c:showSerName val="0"/>
              <c:showPercent val="0"/>
              <c:showBubbleSize val="0"/>
            </c:dLbl>
            <c:dLbl>
              <c:idx val="2"/>
              <c:layout>
                <c:manualLayout>
                  <c:xMode val="edge"/>
                  <c:yMode val="edge"/>
                  <c:x val="0.551601423487545"/>
                  <c:y val="0.231325301204819"/>
                </c:manualLayout>
              </c:layout>
              <c:tx>
                <c:rich>
                  <a:bodyPr/>
                  <a:lstStyle/>
                  <a:p>
                    <a:r>
                      <a:t>20%</a:t>
                    </a:r>
                  </a:p>
                </c:rich>
              </c:tx>
              <c:dLblPos val="r"/>
              <c:showLegendKey val="0"/>
              <c:showVal val="0"/>
              <c:showCatName val="0"/>
              <c:showSerName val="0"/>
              <c:showPercent val="0"/>
              <c:showBubbleSize val="0"/>
            </c:dLbl>
            <c:dLbl>
              <c:idx val="3"/>
              <c:delete val="1"/>
            </c:dLbl>
            <c:dLbl>
              <c:idx val="4"/>
              <c:delete val="1"/>
            </c:dLbl>
            <c:dLbl>
              <c:idx val="5"/>
              <c:layout>
                <c:manualLayout>
                  <c:xMode val="edge"/>
                  <c:yMode val="edge"/>
                  <c:x val="0.587188612099644"/>
                  <c:y val="0.293975903614458"/>
                </c:manualLayout>
              </c:layout>
              <c:tx>
                <c:rich>
                  <a:bodyPr/>
                  <a:lstStyle/>
                  <a:p>
                    <a:r>
                      <a:t>30%</a:t>
                    </a:r>
                  </a:p>
                </c:rich>
              </c:tx>
              <c:dLblPos val="r"/>
              <c:showLegendKey val="0"/>
              <c:showVal val="0"/>
              <c:showCatName val="0"/>
              <c:showSerName val="0"/>
              <c:showPercent val="0"/>
              <c:showBubbleSize val="0"/>
            </c:dLbl>
            <c:dLbl>
              <c:idx val="6"/>
              <c:layout>
                <c:manualLayout>
                  <c:xMode val="edge"/>
                  <c:yMode val="edge"/>
                  <c:x val="0.620996441281139"/>
                  <c:y val="0.359036144578313"/>
                </c:manualLayout>
              </c:layout>
              <c:tx>
                <c:rich>
                  <a:bodyPr/>
                  <a:lstStyle/>
                  <a:p>
                    <a:r>
                      <a:t>40%</a:t>
                    </a:r>
                  </a:p>
                </c:rich>
              </c:tx>
              <c:dLblPos val="r"/>
              <c:showLegendKey val="0"/>
              <c:showVal val="0"/>
              <c:showCatName val="0"/>
              <c:showSerName val="0"/>
              <c:showPercent val="0"/>
              <c:showBubbleSize val="0"/>
            </c:dLbl>
            <c:dLbl>
              <c:idx val="7"/>
              <c:delete val="1"/>
            </c:dLbl>
            <c:dLbl>
              <c:idx val="8"/>
              <c:delete val="1"/>
            </c:dLbl>
            <c:dLbl>
              <c:idx val="9"/>
              <c:layout>
                <c:manualLayout>
                  <c:xMode val="edge"/>
                  <c:yMode val="edge"/>
                  <c:x val="0.652135231316726"/>
                  <c:y val="0.42289156626506"/>
                </c:manualLayout>
              </c:layout>
              <c:tx>
                <c:rich>
                  <a:bodyPr/>
                  <a:lstStyle/>
                  <a:p>
                    <a:r>
                      <a:t>50%</a:t>
                    </a:r>
                  </a:p>
                </c:rich>
              </c:tx>
              <c:dLblPos val="r"/>
              <c:showLegendKey val="0"/>
              <c:showVal val="0"/>
              <c:showCatName val="0"/>
              <c:showSerName val="0"/>
              <c:showPercent val="0"/>
              <c:showBubbleSize val="0"/>
            </c:dLbl>
            <c:dLbl>
              <c:idx val="10"/>
              <c:layout>
                <c:manualLayout>
                  <c:xMode val="edge"/>
                  <c:yMode val="edge"/>
                  <c:x val="0.692170818505338"/>
                  <c:y val="0.492771084337349"/>
                </c:manualLayout>
              </c:layout>
              <c:tx>
                <c:rich>
                  <a:bodyPr/>
                  <a:lstStyle/>
                  <a:p>
                    <a:r>
                      <a:t>60%</a:t>
                    </a:r>
                  </a:p>
                </c:rich>
              </c:tx>
              <c:dLblPos val="r"/>
              <c:showLegendKey val="0"/>
              <c:showVal val="0"/>
              <c:showCatName val="0"/>
              <c:showSerName val="0"/>
              <c:showPercent val="0"/>
              <c:showBubbleSize val="0"/>
            </c:dLbl>
            <c:dLbl>
              <c:idx val="11"/>
              <c:delete val="1"/>
            </c:dLbl>
            <c:dLbl>
              <c:idx val="12"/>
              <c:delete val="1"/>
            </c:dLbl>
            <c:dLbl>
              <c:idx val="13"/>
              <c:layout>
                <c:manualLayout>
                  <c:xMode val="edge"/>
                  <c:yMode val="edge"/>
                  <c:x val="0.729537366548043"/>
                  <c:y val="0.565060240963855"/>
                </c:manualLayout>
              </c:layout>
              <c:tx>
                <c:rich>
                  <a:bodyPr/>
                  <a:lstStyle/>
                  <a:p>
                    <a:r>
                      <a:t>70%</a:t>
                    </a:r>
                  </a:p>
                </c:rich>
              </c:tx>
              <c:dLblPos val="r"/>
              <c:showLegendKey val="0"/>
              <c:showVal val="0"/>
              <c:showCatName val="0"/>
              <c:showSerName val="0"/>
              <c:showPercent val="0"/>
              <c:showBubbleSize val="0"/>
            </c:dLbl>
            <c:dLbl>
              <c:idx val="14"/>
              <c:layout>
                <c:manualLayout>
                  <c:xMode val="edge"/>
                  <c:yMode val="edge"/>
                  <c:x val="0.762455516014235"/>
                  <c:y val="0.633734939759036"/>
                </c:manualLayout>
              </c:layout>
              <c:tx>
                <c:rich>
                  <a:bodyPr/>
                  <a:lstStyle/>
                  <a:p>
                    <a:r>
                      <a:t>80%</a:t>
                    </a:r>
                  </a:p>
                </c:rich>
              </c:tx>
              <c:dLblPos val="r"/>
              <c:showLegendKey val="0"/>
              <c:showVal val="0"/>
              <c:showCatName val="0"/>
              <c:showSerName val="0"/>
              <c:showPercent val="0"/>
              <c:showBubbleSize val="0"/>
            </c:dLbl>
            <c:dLbl>
              <c:idx val="15"/>
              <c:delete val="1"/>
            </c:dLbl>
            <c:dLbl>
              <c:idx val="16"/>
              <c:delete val="1"/>
            </c:dLbl>
            <c:dLbl>
              <c:idx val="17"/>
              <c:layout>
                <c:manualLayout>
                  <c:xMode val="edge"/>
                  <c:yMode val="edge"/>
                  <c:x val="0.797153024911032"/>
                  <c:y val="0.696385542168675"/>
                </c:manualLayout>
              </c:layout>
              <c:tx>
                <c:rich>
                  <a:bodyPr/>
                  <a:lstStyle/>
                  <a:p>
                    <a:r>
                      <a:t>90%</a:t>
                    </a:r>
                  </a:p>
                </c:rich>
              </c:tx>
              <c:dLblPos val="r"/>
              <c:showLegendKey val="0"/>
              <c:showVal val="0"/>
              <c:showCatName val="0"/>
              <c:showSerName val="0"/>
              <c:showPercent val="0"/>
              <c:showBubbleSize val="0"/>
            </c:dLbl>
            <c:spPr>
              <a:noFill/>
              <a:ln w="25400">
                <a:noFill/>
              </a:ln>
            </c:spPr>
            <c:txPr>
              <a:bodyPr rot="-3600000" vert="horz"/>
              <a:lstStyle/>
              <a:p>
                <a:pPr algn="l">
                  <a:defRPr sz="1200" b="0" i="0" u="none" strike="noStrike" baseline="0">
                    <a:solidFill>
                      <a:srgbClr val="C0C0C0"/>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Tgrid!$P$5:$P$22</c:f>
              <c:numCache>
                <c:formatCode>General</c:formatCode>
                <c:ptCount val="18"/>
                <c:pt idx="0">
                  <c:v>0.11547</c:v>
                </c:pt>
                <c:pt idx="1">
                  <c:v>0.63513</c:v>
                </c:pt>
                <c:pt idx="2">
                  <c:v>0.69286</c:v>
                </c:pt>
                <c:pt idx="3">
                  <c:v>0.23094</c:v>
                </c:pt>
                <c:pt idx="4">
                  <c:v>0.34641</c:v>
                </c:pt>
                <c:pt idx="5">
                  <c:v>0.75059</c:v>
                </c:pt>
                <c:pt idx="6">
                  <c:v>0.80832</c:v>
                </c:pt>
                <c:pt idx="7">
                  <c:v>0.46188</c:v>
                </c:pt>
                <c:pt idx="8">
                  <c:v>0.57735</c:v>
                </c:pt>
                <c:pt idx="9">
                  <c:v>0.86605</c:v>
                </c:pt>
                <c:pt idx="10">
                  <c:v>0.92378</c:v>
                </c:pt>
                <c:pt idx="11">
                  <c:v>0.69282</c:v>
                </c:pt>
                <c:pt idx="12">
                  <c:v>0.80829</c:v>
                </c:pt>
                <c:pt idx="13">
                  <c:v>0.98151</c:v>
                </c:pt>
                <c:pt idx="14">
                  <c:v>1.03924</c:v>
                </c:pt>
                <c:pt idx="15">
                  <c:v>0.92376</c:v>
                </c:pt>
                <c:pt idx="16">
                  <c:v>1.03923</c:v>
                </c:pt>
                <c:pt idx="17">
                  <c:v>1.09697</c:v>
                </c:pt>
              </c:numCache>
            </c:numRef>
          </c:xVal>
          <c:yVal>
            <c:numRef>
              <c:f>Tgrid!$Q$5:$Q$22</c:f>
              <c:numCache>
                <c:formatCode>0.00</c:formatCode>
                <c:ptCount val="18"/>
                <c:pt idx="0">
                  <c:v>0.0</c:v>
                </c:pt>
                <c:pt idx="1">
                  <c:v>0.9</c:v>
                </c:pt>
                <c:pt idx="2">
                  <c:v>0.8</c:v>
                </c:pt>
                <c:pt idx="3">
                  <c:v>0.0</c:v>
                </c:pt>
                <c:pt idx="4">
                  <c:v>0.0</c:v>
                </c:pt>
                <c:pt idx="5">
                  <c:v>0.7</c:v>
                </c:pt>
                <c:pt idx="6">
                  <c:v>0.6</c:v>
                </c:pt>
                <c:pt idx="7">
                  <c:v>0.0</c:v>
                </c:pt>
                <c:pt idx="8">
                  <c:v>0.0</c:v>
                </c:pt>
                <c:pt idx="9">
                  <c:v>0.5</c:v>
                </c:pt>
                <c:pt idx="10">
                  <c:v>0.4</c:v>
                </c:pt>
                <c:pt idx="11">
                  <c:v>0.0</c:v>
                </c:pt>
                <c:pt idx="12">
                  <c:v>0.0</c:v>
                </c:pt>
                <c:pt idx="13">
                  <c:v>0.3</c:v>
                </c:pt>
                <c:pt idx="14">
                  <c:v>0.2</c:v>
                </c:pt>
                <c:pt idx="15">
                  <c:v>0.0</c:v>
                </c:pt>
                <c:pt idx="16">
                  <c:v>0.0</c:v>
                </c:pt>
                <c:pt idx="17">
                  <c:v>0.1</c:v>
                </c:pt>
              </c:numCache>
            </c:numRef>
          </c:yVal>
          <c:smooth val="0"/>
        </c:ser>
        <c:ser>
          <c:idx val="5"/>
          <c:order val="3"/>
          <c:tx>
            <c:v>vapor equil line</c:v>
          </c:tx>
          <c:spPr>
            <a:ln w="25400">
              <a:solidFill>
                <a:srgbClr val="808080"/>
              </a:solidFill>
              <a:prstDash val="solid"/>
            </a:ln>
          </c:spPr>
          <c:marker>
            <c:symbol val="plus"/>
            <c:size val="10"/>
            <c:spPr>
              <a:noFill/>
              <a:ln>
                <a:solidFill>
                  <a:srgbClr val="808080"/>
                </a:solidFill>
                <a:prstDash val="solid"/>
              </a:ln>
            </c:spPr>
          </c:marker>
          <c:dLbls>
            <c:dLbl>
              <c:idx val="0"/>
              <c:tx>
                <c:strRef>
                  <c:f>Ggrid!$A$148</c:f>
                  <c:strCache>
                    <c:ptCount val="1"/>
                    <c:pt idx="0">
                      <c:v>200</c:v>
                    </c:pt>
                  </c:strCache>
                </c:strRef>
              </c:tx>
              <c:dLblPos val="t"/>
              <c:showLegendKey val="0"/>
              <c:showVal val="0"/>
              <c:showCatName val="0"/>
              <c:showSerName val="0"/>
              <c:showPercent val="0"/>
              <c:showBubbleSize val="0"/>
            </c:dLbl>
            <c:dLbl>
              <c:idx val="1"/>
              <c:tx>
                <c:strRef>
                  <c:f>Ggrid!$A$149</c:f>
                  <c:strCache>
                    <c:ptCount val="1"/>
                    <c:pt idx="0">
                      <c:v>225</c:v>
                    </c:pt>
                  </c:strCache>
                </c:strRef>
              </c:tx>
              <c:dLblPos val="t"/>
              <c:showLegendKey val="0"/>
              <c:showVal val="0"/>
              <c:showCatName val="0"/>
              <c:showSerName val="0"/>
              <c:showPercent val="0"/>
              <c:showBubbleSize val="0"/>
            </c:dLbl>
            <c:dLbl>
              <c:idx val="2"/>
              <c:tx>
                <c:strRef>
                  <c:f>Ggrid!$A$150</c:f>
                  <c:strCache>
                    <c:ptCount val="1"/>
                    <c:pt idx="0">
                      <c:v>250</c:v>
                    </c:pt>
                  </c:strCache>
                </c:strRef>
              </c:tx>
              <c:dLblPos val="t"/>
              <c:showLegendKey val="0"/>
              <c:showVal val="0"/>
              <c:showCatName val="0"/>
              <c:showSerName val="0"/>
              <c:showPercent val="0"/>
              <c:showBubbleSize val="0"/>
            </c:dLbl>
            <c:dLbl>
              <c:idx val="3"/>
              <c:layout>
                <c:manualLayout>
                  <c:xMode val="edge"/>
                  <c:yMode val="edge"/>
                  <c:x val="0.419039145907473"/>
                  <c:y val="0.209638554216867"/>
                </c:manualLayout>
              </c:layout>
              <c:tx>
                <c:strRef>
                  <c:f>Ggrid!$A$151</c:f>
                  <c:strCache>
                    <c:ptCount val="1"/>
                    <c:pt idx="0">
                      <c:v>275</c:v>
                    </c:pt>
                  </c:strCache>
                </c:strRef>
              </c:tx>
              <c:dLblPos val="r"/>
              <c:showLegendKey val="0"/>
              <c:showVal val="0"/>
              <c:showCatName val="0"/>
              <c:showSerName val="0"/>
              <c:showPercent val="0"/>
              <c:showBubbleSize val="0"/>
            </c:dLbl>
            <c:dLbl>
              <c:idx val="4"/>
              <c:layout>
                <c:manualLayout>
                  <c:xMode val="edge"/>
                  <c:yMode val="edge"/>
                  <c:x val="0.358540925266904"/>
                  <c:y val="0.330120481927711"/>
                </c:manualLayout>
              </c:layout>
              <c:tx>
                <c:strRef>
                  <c:f>Ggrid!$A$152</c:f>
                  <c:strCache>
                    <c:ptCount val="1"/>
                    <c:pt idx="0">
                      <c:v>300</c:v>
                    </c:pt>
                  </c:strCache>
                </c:strRef>
              </c:tx>
              <c:dLblPos val="r"/>
              <c:showLegendKey val="0"/>
              <c:showVal val="0"/>
              <c:showCatName val="0"/>
              <c:showSerName val="0"/>
              <c:showPercent val="0"/>
              <c:showBubbleSize val="0"/>
            </c:dLbl>
            <c:dLbl>
              <c:idx val="5"/>
              <c:layout>
                <c:manualLayout>
                  <c:xMode val="edge"/>
                  <c:yMode val="edge"/>
                  <c:x val="0.2855871886121"/>
                  <c:y val="0.473493975903614"/>
                </c:manualLayout>
              </c:layout>
              <c:tx>
                <c:strRef>
                  <c:f>Ggrid!$A$153</c:f>
                  <c:strCache>
                    <c:ptCount val="1"/>
                    <c:pt idx="0">
                      <c:v>325</c:v>
                    </c:pt>
                  </c:strCache>
                </c:strRef>
              </c:tx>
              <c:dLblPos val="r"/>
              <c:showLegendKey val="0"/>
              <c:showVal val="0"/>
              <c:showCatName val="0"/>
              <c:showSerName val="0"/>
              <c:showPercent val="0"/>
              <c:showBubbleSize val="0"/>
            </c:dLbl>
            <c:dLbl>
              <c:idx val="6"/>
              <c:layout>
                <c:manualLayout>
                  <c:xMode val="edge"/>
                  <c:yMode val="edge"/>
                  <c:x val="0.224199288256228"/>
                  <c:y val="0.597590361445783"/>
                </c:manualLayout>
              </c:layout>
              <c:tx>
                <c:strRef>
                  <c:f>Ggrid!$A$154</c:f>
                  <c:strCache>
                    <c:ptCount val="1"/>
                    <c:pt idx="0">
                      <c:v>350</c:v>
                    </c:pt>
                  </c:strCache>
                </c:strRef>
              </c:tx>
              <c:dLblPos val="r"/>
              <c:showLegendKey val="0"/>
              <c:showVal val="0"/>
              <c:showCatName val="0"/>
              <c:showSerName val="0"/>
              <c:showPercent val="0"/>
              <c:showBubbleSize val="0"/>
            </c:dLbl>
            <c:dLbl>
              <c:idx val="7"/>
              <c:layout>
                <c:manualLayout>
                  <c:xMode val="edge"/>
                  <c:yMode val="edge"/>
                  <c:x val="0.181494661921708"/>
                  <c:y val="0.674698795180723"/>
                </c:manualLayout>
              </c:layout>
              <c:tx>
                <c:strRef>
                  <c:f>Ggrid!$A$155</c:f>
                  <c:strCache>
                    <c:ptCount val="1"/>
                    <c:pt idx="0">
                      <c:v>375</c:v>
                    </c:pt>
                  </c:strCache>
                </c:strRef>
              </c:tx>
              <c:dLblPos val="r"/>
              <c:showLegendKey val="0"/>
              <c:showVal val="0"/>
              <c:showCatName val="0"/>
              <c:showSerName val="0"/>
              <c:showPercent val="0"/>
              <c:showBubbleSize val="0"/>
            </c:dLbl>
            <c:dLbl>
              <c:idx val="8"/>
              <c:layout>
                <c:manualLayout>
                  <c:xMode val="edge"/>
                  <c:yMode val="edge"/>
                  <c:x val="0.154804270462633"/>
                  <c:y val="0.713253012048193"/>
                </c:manualLayout>
              </c:layout>
              <c:tx>
                <c:strRef>
                  <c:f>Ggrid!$A$156</c:f>
                  <c:strCache>
                    <c:ptCount val="1"/>
                    <c:pt idx="0">
                      <c:v>400</c:v>
                    </c:pt>
                  </c:strCache>
                </c:strRef>
              </c:tx>
              <c:dLblPos val="r"/>
              <c:showLegendKey val="0"/>
              <c:showVal val="0"/>
              <c:showCatName val="0"/>
              <c:showSerName val="0"/>
              <c:showPercent val="0"/>
              <c:showBubbleSize val="0"/>
            </c:dLbl>
            <c:spPr>
              <a:noFill/>
              <a:ln w="25400">
                <a:noFill/>
              </a:ln>
            </c:spPr>
            <c:txPr>
              <a:bodyPr rot="5400000" vert="horz"/>
              <a:lstStyle/>
              <a:p>
                <a:pPr algn="ctr">
                  <a:defRPr sz="1000" b="1" i="0" u="none" strike="noStrike" baseline="0">
                    <a:solidFill>
                      <a:srgbClr val="80808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Ggrid!$Q$148:$Q$156</c:f>
              <c:numCache>
                <c:formatCode>0.000</c:formatCode>
                <c:ptCount val="9"/>
                <c:pt idx="0">
                  <c:v>0.574008606219711</c:v>
                </c:pt>
                <c:pt idx="1">
                  <c:v>0.565614952935262</c:v>
                </c:pt>
                <c:pt idx="2">
                  <c:v>0.541973468306592</c:v>
                </c:pt>
                <c:pt idx="3">
                  <c:v>0.487586910396187</c:v>
                </c:pt>
                <c:pt idx="4">
                  <c:v>0.393025268569437</c:v>
                </c:pt>
                <c:pt idx="5">
                  <c:v>0.276624979852555</c:v>
                </c:pt>
                <c:pt idx="6">
                  <c:v>0.174003378785834</c:v>
                </c:pt>
                <c:pt idx="7">
                  <c:v>0.102844914862726</c:v>
                </c:pt>
                <c:pt idx="8">
                  <c:v>0.0594574317478633</c:v>
                </c:pt>
              </c:numCache>
            </c:numRef>
          </c:xVal>
          <c:yVal>
            <c:numRef>
              <c:f>Ggrid!$R$148:$R$156</c:f>
              <c:numCache>
                <c:formatCode>0.000</c:formatCode>
                <c:ptCount val="9"/>
                <c:pt idx="0">
                  <c:v>0.993036078348134</c:v>
                </c:pt>
                <c:pt idx="1">
                  <c:v>0.975670931333309</c:v>
                </c:pt>
                <c:pt idx="2">
                  <c:v>0.927669112718251</c:v>
                </c:pt>
                <c:pt idx="3">
                  <c:v>0.820721597184904</c:v>
                </c:pt>
                <c:pt idx="4">
                  <c:v>0.642106885646206</c:v>
                </c:pt>
                <c:pt idx="5">
                  <c:v>0.432275891091116</c:v>
                </c:pt>
                <c:pt idx="6">
                  <c:v>0.25706801291577</c:v>
                </c:pt>
                <c:pt idx="7">
                  <c:v>0.143016357553701</c:v>
                </c:pt>
                <c:pt idx="8">
                  <c:v>0.0781912501930563</c:v>
                </c:pt>
              </c:numCache>
            </c:numRef>
          </c:yVal>
          <c:smooth val="1"/>
        </c:ser>
        <c:ser>
          <c:idx val="6"/>
          <c:order val="4"/>
          <c:tx>
            <c:v>liquid equil line</c:v>
          </c:tx>
          <c:spPr>
            <a:ln w="25400">
              <a:solidFill>
                <a:srgbClr val="808080"/>
              </a:solidFill>
              <a:prstDash val="solid"/>
            </a:ln>
          </c:spPr>
          <c:marker>
            <c:symbol val="plus"/>
            <c:size val="10"/>
            <c:spPr>
              <a:noFill/>
              <a:ln>
                <a:solidFill>
                  <a:srgbClr val="808080"/>
                </a:solidFill>
                <a:prstDash val="solid"/>
              </a:ln>
            </c:spPr>
          </c:marker>
          <c:xVal>
            <c:numRef>
              <c:f>Ggrid!$X$148:$X$156</c:f>
              <c:numCache>
                <c:formatCode>0.000</c:formatCode>
                <c:ptCount val="9"/>
                <c:pt idx="0">
                  <c:v>0.562929244943423</c:v>
                </c:pt>
                <c:pt idx="1">
                  <c:v>0.536902081604921</c:v>
                </c:pt>
                <c:pt idx="2">
                  <c:v>0.483009806187149</c:v>
                </c:pt>
                <c:pt idx="3">
                  <c:v>0.399087408280036</c:v>
                </c:pt>
                <c:pt idx="4">
                  <c:v>0.301617263034503</c:v>
                </c:pt>
                <c:pt idx="5">
                  <c:v>0.212241772415568</c:v>
                </c:pt>
                <c:pt idx="6">
                  <c:v>0.142133286534357</c:v>
                </c:pt>
                <c:pt idx="7">
                  <c:v>0.0920978552917984</c:v>
                </c:pt>
                <c:pt idx="8">
                  <c:v>0.058447973671196</c:v>
                </c:pt>
              </c:numCache>
            </c:numRef>
          </c:xVal>
          <c:yVal>
            <c:numRef>
              <c:f>Ggrid!$Y$148:$Y$156</c:f>
              <c:numCache>
                <c:formatCode>0.000</c:formatCode>
                <c:ptCount val="9"/>
                <c:pt idx="0">
                  <c:v>0.957506087593131</c:v>
                </c:pt>
                <c:pt idx="1">
                  <c:v>0.883198065776607</c:v>
                </c:pt>
                <c:pt idx="2">
                  <c:v>0.744576801782784</c:v>
                </c:pt>
                <c:pt idx="3">
                  <c:v>0.557649504841507</c:v>
                </c:pt>
                <c:pt idx="4">
                  <c:v>0.374534820504213</c:v>
                </c:pt>
                <c:pt idx="5">
                  <c:v>0.234946522658063</c:v>
                </c:pt>
                <c:pt idx="6">
                  <c:v>0.143735278315189</c:v>
                </c:pt>
                <c:pt idx="7">
                  <c:v>0.0883466060584355</c:v>
                </c:pt>
                <c:pt idx="8">
                  <c:v>0.0554580185747962</c:v>
                </c:pt>
              </c:numCache>
            </c:numRef>
          </c:yVal>
          <c:smooth val="1"/>
        </c:ser>
        <c:ser>
          <c:idx val="7"/>
          <c:order val="5"/>
          <c:tx>
            <c:v>tie line 1</c:v>
          </c:tx>
          <c:spPr>
            <a:ln w="25400">
              <a:solidFill>
                <a:srgbClr val="808080"/>
              </a:solidFill>
              <a:prstDash val="lgDash"/>
            </a:ln>
          </c:spPr>
          <c:marker>
            <c:symbol val="none"/>
          </c:marker>
          <c:xVal>
            <c:numRef>
              <c:f>(Ggrid!$Q$148,Ggrid!$X$148)</c:f>
              <c:numCache>
                <c:formatCode>0.000</c:formatCode>
                <c:ptCount val="2"/>
                <c:pt idx="0">
                  <c:v>0.574008606219711</c:v>
                </c:pt>
                <c:pt idx="1">
                  <c:v>0.562929244943423</c:v>
                </c:pt>
              </c:numCache>
            </c:numRef>
          </c:xVal>
          <c:yVal>
            <c:numRef>
              <c:f>(Ggrid!$R$148,Ggrid!$Y$148)</c:f>
              <c:numCache>
                <c:formatCode>0.000</c:formatCode>
                <c:ptCount val="2"/>
                <c:pt idx="0">
                  <c:v>0.993036078348134</c:v>
                </c:pt>
                <c:pt idx="1">
                  <c:v>0.957506087593131</c:v>
                </c:pt>
              </c:numCache>
            </c:numRef>
          </c:yVal>
          <c:smooth val="0"/>
        </c:ser>
        <c:ser>
          <c:idx val="8"/>
          <c:order val="6"/>
          <c:tx>
            <c:v>tie line 2</c:v>
          </c:tx>
          <c:spPr>
            <a:ln w="25400">
              <a:solidFill>
                <a:srgbClr val="808080"/>
              </a:solidFill>
              <a:prstDash val="lgDash"/>
            </a:ln>
          </c:spPr>
          <c:marker>
            <c:symbol val="none"/>
          </c:marker>
          <c:xVal>
            <c:numRef>
              <c:f>(Ggrid!$Q$149,Ggrid!$X$149)</c:f>
              <c:numCache>
                <c:formatCode>0.000</c:formatCode>
                <c:ptCount val="2"/>
                <c:pt idx="0">
                  <c:v>0.565614952935262</c:v>
                </c:pt>
                <c:pt idx="1">
                  <c:v>0.536902081604921</c:v>
                </c:pt>
              </c:numCache>
            </c:numRef>
          </c:xVal>
          <c:yVal>
            <c:numRef>
              <c:f>(Ggrid!$R$149,Ggrid!$Y$149)</c:f>
              <c:numCache>
                <c:formatCode>0.000</c:formatCode>
                <c:ptCount val="2"/>
                <c:pt idx="0">
                  <c:v>0.975670931333309</c:v>
                </c:pt>
                <c:pt idx="1">
                  <c:v>0.883198065776607</c:v>
                </c:pt>
              </c:numCache>
            </c:numRef>
          </c:yVal>
          <c:smooth val="0"/>
        </c:ser>
        <c:ser>
          <c:idx val="9"/>
          <c:order val="7"/>
          <c:tx>
            <c:v>tie line 3</c:v>
          </c:tx>
          <c:spPr>
            <a:ln w="25400">
              <a:solidFill>
                <a:srgbClr val="808080"/>
              </a:solidFill>
              <a:prstDash val="lgDash"/>
            </a:ln>
          </c:spPr>
          <c:marker>
            <c:symbol val="none"/>
          </c:marker>
          <c:xVal>
            <c:numRef>
              <c:f>(Ggrid!$Q$150,Ggrid!$X$150)</c:f>
              <c:numCache>
                <c:formatCode>0.000</c:formatCode>
                <c:ptCount val="2"/>
                <c:pt idx="0">
                  <c:v>0.541973468306592</c:v>
                </c:pt>
                <c:pt idx="1">
                  <c:v>0.483009806187149</c:v>
                </c:pt>
              </c:numCache>
            </c:numRef>
          </c:xVal>
          <c:yVal>
            <c:numRef>
              <c:f>(Ggrid!$R$150,Ggrid!$Y$150)</c:f>
              <c:numCache>
                <c:formatCode>0.000</c:formatCode>
                <c:ptCount val="2"/>
                <c:pt idx="0">
                  <c:v>0.927669112718251</c:v>
                </c:pt>
                <c:pt idx="1">
                  <c:v>0.744576801782784</c:v>
                </c:pt>
              </c:numCache>
            </c:numRef>
          </c:yVal>
          <c:smooth val="0"/>
        </c:ser>
        <c:ser>
          <c:idx val="10"/>
          <c:order val="8"/>
          <c:tx>
            <c:v>tie line 4</c:v>
          </c:tx>
          <c:spPr>
            <a:ln w="25400">
              <a:solidFill>
                <a:srgbClr val="808080"/>
              </a:solidFill>
              <a:prstDash val="lgDash"/>
            </a:ln>
          </c:spPr>
          <c:marker>
            <c:symbol val="none"/>
          </c:marker>
          <c:xVal>
            <c:numRef>
              <c:f>(Ggrid!$Q$151,Ggrid!$X$151)</c:f>
              <c:numCache>
                <c:formatCode>0.000</c:formatCode>
                <c:ptCount val="2"/>
                <c:pt idx="0">
                  <c:v>0.487586910396187</c:v>
                </c:pt>
                <c:pt idx="1">
                  <c:v>0.399087408280036</c:v>
                </c:pt>
              </c:numCache>
            </c:numRef>
          </c:xVal>
          <c:yVal>
            <c:numRef>
              <c:f>(Ggrid!$R$151,Ggrid!$Y$151)</c:f>
              <c:numCache>
                <c:formatCode>0.000</c:formatCode>
                <c:ptCount val="2"/>
                <c:pt idx="0">
                  <c:v>0.820721597184904</c:v>
                </c:pt>
                <c:pt idx="1">
                  <c:v>0.557649504841507</c:v>
                </c:pt>
              </c:numCache>
            </c:numRef>
          </c:yVal>
          <c:smooth val="0"/>
        </c:ser>
        <c:ser>
          <c:idx val="11"/>
          <c:order val="9"/>
          <c:tx>
            <c:v>tie line 5</c:v>
          </c:tx>
          <c:spPr>
            <a:ln w="25400">
              <a:solidFill>
                <a:srgbClr val="808080"/>
              </a:solidFill>
              <a:prstDash val="lgDash"/>
            </a:ln>
          </c:spPr>
          <c:marker>
            <c:symbol val="none"/>
          </c:marker>
          <c:xVal>
            <c:numRef>
              <c:f>(Ggrid!$Q$152,Ggrid!$X$152)</c:f>
              <c:numCache>
                <c:formatCode>0.000</c:formatCode>
                <c:ptCount val="2"/>
                <c:pt idx="0">
                  <c:v>0.393025268569437</c:v>
                </c:pt>
                <c:pt idx="1">
                  <c:v>0.301617263034503</c:v>
                </c:pt>
              </c:numCache>
            </c:numRef>
          </c:xVal>
          <c:yVal>
            <c:numRef>
              <c:f>(Ggrid!$R$152,Ggrid!$Y$152)</c:f>
              <c:numCache>
                <c:formatCode>0.000</c:formatCode>
                <c:ptCount val="2"/>
                <c:pt idx="0">
                  <c:v>0.642106885646206</c:v>
                </c:pt>
                <c:pt idx="1">
                  <c:v>0.374534820504213</c:v>
                </c:pt>
              </c:numCache>
            </c:numRef>
          </c:yVal>
          <c:smooth val="0"/>
        </c:ser>
        <c:ser>
          <c:idx val="12"/>
          <c:order val="10"/>
          <c:tx>
            <c:v>tie line 6</c:v>
          </c:tx>
          <c:spPr>
            <a:ln w="25400">
              <a:solidFill>
                <a:srgbClr val="808080"/>
              </a:solidFill>
              <a:prstDash val="lgDash"/>
            </a:ln>
          </c:spPr>
          <c:marker>
            <c:symbol val="none"/>
          </c:marker>
          <c:xVal>
            <c:numRef>
              <c:f>(Ggrid!$Q$153,Ggrid!$X$153)</c:f>
              <c:numCache>
                <c:formatCode>0.000</c:formatCode>
                <c:ptCount val="2"/>
                <c:pt idx="0">
                  <c:v>0.276624979852555</c:v>
                </c:pt>
                <c:pt idx="1">
                  <c:v>0.212241772415568</c:v>
                </c:pt>
              </c:numCache>
            </c:numRef>
          </c:xVal>
          <c:yVal>
            <c:numRef>
              <c:f>(Ggrid!$R$153,Ggrid!$Y$153)</c:f>
              <c:numCache>
                <c:formatCode>0.000</c:formatCode>
                <c:ptCount val="2"/>
                <c:pt idx="0">
                  <c:v>0.432275891091116</c:v>
                </c:pt>
                <c:pt idx="1">
                  <c:v>0.234946522658063</c:v>
                </c:pt>
              </c:numCache>
            </c:numRef>
          </c:yVal>
          <c:smooth val="0"/>
        </c:ser>
        <c:ser>
          <c:idx val="14"/>
          <c:order val="11"/>
          <c:tx>
            <c:v>tie line 7</c:v>
          </c:tx>
          <c:spPr>
            <a:ln w="25400">
              <a:solidFill>
                <a:srgbClr val="808080"/>
              </a:solidFill>
              <a:prstDash val="lgDash"/>
            </a:ln>
          </c:spPr>
          <c:marker>
            <c:symbol val="none"/>
          </c:marker>
          <c:xVal>
            <c:numRef>
              <c:f>(Ggrid!$Q$154,Ggrid!$X$154)</c:f>
              <c:numCache>
                <c:formatCode>0.000</c:formatCode>
                <c:ptCount val="2"/>
                <c:pt idx="0">
                  <c:v>0.174003378785834</c:v>
                </c:pt>
                <c:pt idx="1">
                  <c:v>0.142133286534357</c:v>
                </c:pt>
              </c:numCache>
            </c:numRef>
          </c:xVal>
          <c:yVal>
            <c:numRef>
              <c:f>(Ggrid!$R$154,Ggrid!$Y$154)</c:f>
              <c:numCache>
                <c:formatCode>0.000</c:formatCode>
                <c:ptCount val="2"/>
                <c:pt idx="0">
                  <c:v>0.25706801291577</c:v>
                </c:pt>
                <c:pt idx="1">
                  <c:v>0.143735278315189</c:v>
                </c:pt>
              </c:numCache>
            </c:numRef>
          </c:yVal>
          <c:smooth val="0"/>
        </c:ser>
        <c:ser>
          <c:idx val="17"/>
          <c:order val="12"/>
          <c:tx>
            <c:v>tie line 8</c:v>
          </c:tx>
          <c:spPr>
            <a:ln w="25400">
              <a:solidFill>
                <a:srgbClr val="808080"/>
              </a:solidFill>
              <a:prstDash val="lgDash"/>
            </a:ln>
          </c:spPr>
          <c:marker>
            <c:symbol val="none"/>
          </c:marker>
          <c:xVal>
            <c:numRef>
              <c:f>(Ggrid!$Q$155,Ggrid!$X$155)</c:f>
              <c:numCache>
                <c:formatCode>0.000</c:formatCode>
                <c:ptCount val="2"/>
                <c:pt idx="0">
                  <c:v>0.102844914862726</c:v>
                </c:pt>
                <c:pt idx="1">
                  <c:v>0.0920978552917984</c:v>
                </c:pt>
              </c:numCache>
            </c:numRef>
          </c:xVal>
          <c:yVal>
            <c:numRef>
              <c:f>(Ggrid!$R$155,Ggrid!$Y$155)</c:f>
              <c:numCache>
                <c:formatCode>0.000</c:formatCode>
                <c:ptCount val="2"/>
                <c:pt idx="0">
                  <c:v>0.143016357553701</c:v>
                </c:pt>
                <c:pt idx="1">
                  <c:v>0.0883466060584355</c:v>
                </c:pt>
              </c:numCache>
            </c:numRef>
          </c:yVal>
          <c:smooth val="0"/>
        </c:ser>
        <c:ser>
          <c:idx val="18"/>
          <c:order val="13"/>
          <c:tx>
            <c:v>tie line 9</c:v>
          </c:tx>
          <c:spPr>
            <a:ln w="25400">
              <a:solidFill>
                <a:srgbClr val="808080"/>
              </a:solidFill>
              <a:prstDash val="lgDash"/>
            </a:ln>
          </c:spPr>
          <c:marker>
            <c:symbol val="none"/>
          </c:marker>
          <c:xVal>
            <c:numRef>
              <c:f>(Ggrid!$Q$156,Ggrid!$X$156)</c:f>
              <c:numCache>
                <c:formatCode>0.000</c:formatCode>
                <c:ptCount val="2"/>
                <c:pt idx="0">
                  <c:v>0.0594574317478633</c:v>
                </c:pt>
                <c:pt idx="1">
                  <c:v>0.058447973671196</c:v>
                </c:pt>
              </c:numCache>
            </c:numRef>
          </c:xVal>
          <c:yVal>
            <c:numRef>
              <c:f>(Ggrid!$R$156,Ggrid!$Y$156)</c:f>
              <c:numCache>
                <c:formatCode>0.000</c:formatCode>
                <c:ptCount val="2"/>
                <c:pt idx="0">
                  <c:v>0.0781912501930563</c:v>
                </c:pt>
                <c:pt idx="1">
                  <c:v>0.0554580185747962</c:v>
                </c:pt>
              </c:numCache>
            </c:numRef>
          </c:yVal>
          <c:smooth val="0"/>
        </c:ser>
        <c:ser>
          <c:idx val="16"/>
          <c:order val="14"/>
          <c:tx>
            <c:v>250 trend</c:v>
          </c:tx>
          <c:spPr>
            <a:ln w="25400">
              <a:solidFill>
                <a:srgbClr val="996666"/>
              </a:solidFill>
              <a:prstDash val="solid"/>
            </a:ln>
          </c:spPr>
          <c:marker>
            <c:symbol val="none"/>
          </c:marker>
          <c:dLbls>
            <c:dLbl>
              <c:idx val="3"/>
              <c:tx>
                <c:rich>
                  <a:bodyPr/>
                  <a:lstStyle/>
                  <a:p>
                    <a:pPr>
                      <a:defRPr sz="1000" b="1" i="0" u="none" strike="noStrike" baseline="0">
                        <a:solidFill>
                          <a:srgbClr val="996666"/>
                        </a:solidFill>
                        <a:latin typeface="Arial"/>
                        <a:ea typeface="Arial"/>
                        <a:cs typeface="Arial"/>
                      </a:defRPr>
                    </a:pPr>
                    <a:r>
                      <a:t>200C</a:t>
                    </a:r>
                  </a:p>
                </c:rich>
              </c:tx>
              <c:spPr>
                <a:solidFill>
                  <a:srgbClr val="FFFFFF"/>
                </a:solidFill>
                <a:ln w="25400">
                  <a:noFill/>
                </a:ln>
              </c:spPr>
              <c:showLegendKey val="0"/>
              <c:showVal val="0"/>
              <c:showCatName val="0"/>
              <c:showSerName val="0"/>
              <c:showPercent val="0"/>
              <c:showBubbleSize val="0"/>
            </c:dLbl>
            <c:showLegendKey val="0"/>
            <c:showVal val="0"/>
            <c:showCatName val="0"/>
            <c:showSerName val="0"/>
            <c:showPercent val="0"/>
            <c:showBubbleSize val="0"/>
          </c:dLbls>
          <c:xVal>
            <c:numRef>
              <c:f>Ref!$V$56:$V$64</c:f>
              <c:numCache>
                <c:formatCode>0.000</c:formatCode>
                <c:ptCount val="9"/>
                <c:pt idx="0">
                  <c:v>0.574008606219711</c:v>
                </c:pt>
                <c:pt idx="1">
                  <c:v>0.564021763662369</c:v>
                </c:pt>
                <c:pt idx="2">
                  <c:v>0.537711327270814</c:v>
                </c:pt>
                <c:pt idx="3">
                  <c:v>0.548202915136685</c:v>
                </c:pt>
                <c:pt idx="4">
                  <c:v>0.717150656501921</c:v>
                </c:pt>
                <c:pt idx="5">
                  <c:v>0.905761793623544</c:v>
                </c:pt>
                <c:pt idx="6">
                  <c:v>1.025325794644043</c:v>
                </c:pt>
                <c:pt idx="7">
                  <c:v>1.090553443586387</c:v>
                </c:pt>
                <c:pt idx="8">
                  <c:v>1.123747720101069</c:v>
                </c:pt>
              </c:numCache>
            </c:numRef>
          </c:xVal>
          <c:yVal>
            <c:numRef>
              <c:f>Ref!$W$56:$W$64</c:f>
              <c:numCache>
                <c:formatCode>0.000</c:formatCode>
                <c:ptCount val="9"/>
                <c:pt idx="0">
                  <c:v>0.993036078348134</c:v>
                </c:pt>
                <c:pt idx="1">
                  <c:v>0.966580838735571</c:v>
                </c:pt>
                <c:pt idx="2">
                  <c:v>0.844757412241276</c:v>
                </c:pt>
                <c:pt idx="3">
                  <c:v>0.477358444435791</c:v>
                </c:pt>
                <c:pt idx="4">
                  <c:v>0.117724259195644</c:v>
                </c:pt>
                <c:pt idx="5">
                  <c:v>0.0168259621552977</c:v>
                </c:pt>
                <c:pt idx="6">
                  <c:v>0.00199145381106643</c:v>
                </c:pt>
                <c:pt idx="7">
                  <c:v>0.000219552529658976</c:v>
                </c:pt>
                <c:pt idx="8">
                  <c:v>2.34288989629075E-5</c:v>
                </c:pt>
              </c:numCache>
            </c:numRef>
          </c:yVal>
          <c:smooth val="1"/>
        </c:ser>
        <c:ser>
          <c:idx val="15"/>
          <c:order val="15"/>
          <c:tx>
            <c:v>150 trend</c:v>
          </c:tx>
          <c:spPr>
            <a:ln w="25400">
              <a:solidFill>
                <a:srgbClr val="666699"/>
              </a:solidFill>
              <a:prstDash val="solid"/>
            </a:ln>
          </c:spPr>
          <c:marker>
            <c:symbol val="none"/>
          </c:marker>
          <c:dLbls>
            <c:dLbl>
              <c:idx val="2"/>
              <c:layout>
                <c:manualLayout>
                  <c:xMode val="edge"/>
                  <c:yMode val="edge"/>
                  <c:x val="0.47864768683274"/>
                  <c:y val="0.403614457831325"/>
                </c:manualLayout>
              </c:layout>
              <c:tx>
                <c:rich>
                  <a:bodyPr/>
                  <a:lstStyle/>
                  <a:p>
                    <a:pPr>
                      <a:defRPr sz="1000" b="1" i="0" u="none" strike="noStrike" baseline="0">
                        <a:solidFill>
                          <a:srgbClr val="666699"/>
                        </a:solidFill>
                        <a:latin typeface="Arial"/>
                        <a:ea typeface="Arial"/>
                        <a:cs typeface="Arial"/>
                      </a:defRPr>
                    </a:pPr>
                    <a:r>
                      <a:t>100C</a:t>
                    </a:r>
                  </a:p>
                </c:rich>
              </c:tx>
              <c:spPr>
                <a:noFill/>
                <a:ln w="25400">
                  <a:noFill/>
                </a:ln>
              </c:spPr>
              <c:dLblPos val="r"/>
              <c:showLegendKey val="0"/>
              <c:showVal val="0"/>
              <c:showCatName val="0"/>
              <c:showSerName val="0"/>
              <c:showPercent val="0"/>
              <c:showBubbleSize val="0"/>
            </c:dLbl>
            <c:dLbl>
              <c:idx val="3"/>
              <c:layout>
                <c:manualLayout>
                  <c:xMode val="edge"/>
                  <c:yMode val="edge"/>
                  <c:x val="0.568505338078292"/>
                  <c:y val="0.598795180722892"/>
                </c:manualLayout>
              </c:layout>
              <c:tx>
                <c:rich>
                  <a:bodyPr/>
                  <a:lstStyle/>
                  <a:p>
                    <a:pPr>
                      <a:defRPr sz="1000" b="1" i="0" u="none" strike="noStrike" baseline="0">
                        <a:solidFill>
                          <a:srgbClr val="666699"/>
                        </a:solidFill>
                        <a:latin typeface="Arial"/>
                        <a:ea typeface="Arial"/>
                        <a:cs typeface="Arial"/>
                      </a:defRPr>
                    </a:pPr>
                    <a:r>
                      <a:t>vapor trends from 
continuous boiling</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xVal>
            <c:numRef>
              <c:f>Ref!$F$56:$F$64</c:f>
              <c:numCache>
                <c:formatCode>0.000</c:formatCode>
                <c:ptCount val="9"/>
                <c:pt idx="0">
                  <c:v>0.574008606219711</c:v>
                </c:pt>
                <c:pt idx="1">
                  <c:v>0.562900316609668</c:v>
                </c:pt>
                <c:pt idx="2">
                  <c:v>0.564913902598708</c:v>
                </c:pt>
                <c:pt idx="3">
                  <c:v>0.869898964893561</c:v>
                </c:pt>
                <c:pt idx="4">
                  <c:v>1.06692312988662</c:v>
                </c:pt>
                <c:pt idx="5">
                  <c:v>1.129819029864395</c:v>
                </c:pt>
                <c:pt idx="6">
                  <c:v>1.147870555998297</c:v>
                </c:pt>
                <c:pt idx="7">
                  <c:v>1.152845127101423</c:v>
                </c:pt>
                <c:pt idx="8">
                  <c:v>1.154197755971425</c:v>
                </c:pt>
              </c:numCache>
            </c:numRef>
          </c:xVal>
          <c:yVal>
            <c:numRef>
              <c:f>Ref!$G$56:$G$64</c:f>
              <c:numCache>
                <c:formatCode>0.000</c:formatCode>
                <c:ptCount val="9"/>
                <c:pt idx="0">
                  <c:v>0.993036078348134</c:v>
                </c:pt>
                <c:pt idx="1">
                  <c:v>0.958747077247522</c:v>
                </c:pt>
                <c:pt idx="2">
                  <c:v>0.59245520960887</c:v>
                </c:pt>
                <c:pt idx="3">
                  <c:v>0.0574954446065154</c:v>
                </c:pt>
                <c:pt idx="4">
                  <c:v>0.00189292259662781</c:v>
                </c:pt>
                <c:pt idx="5">
                  <c:v>5.18589810632728E-5</c:v>
                </c:pt>
                <c:pt idx="6">
                  <c:v>1.3617612602758E-6</c:v>
                </c:pt>
                <c:pt idx="7">
                  <c:v>3.5347692609688E-8</c:v>
                </c:pt>
                <c:pt idx="8">
                  <c:v>9.14643994099831E-10</c:v>
                </c:pt>
              </c:numCache>
            </c:numRef>
          </c:yVal>
          <c:smooth val="1"/>
        </c:ser>
        <c:ser>
          <c:idx val="4"/>
          <c:order val="16"/>
          <c:tx>
            <c:v>data</c:v>
          </c:tx>
          <c:spPr>
            <a:ln w="28575">
              <a:noFill/>
            </a:ln>
          </c:spPr>
          <c:marker>
            <c:symbol val="diamond"/>
            <c:size val="7"/>
            <c:spPr>
              <a:solidFill>
                <a:srgbClr val="800080"/>
              </a:solidFill>
              <a:ln>
                <a:solidFill>
                  <a:srgbClr val="800080"/>
                </a:solidFill>
                <a:prstDash val="solid"/>
              </a:ln>
            </c:spPr>
          </c:marker>
          <c:dLbls>
            <c:dLbl>
              <c:idx val="0"/>
              <c:tx>
                <c:strRef>
                  <c:f>input!$T$11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input!$BT$11:$BT$40</c:f>
              <c:numCache>
                <c:formatCode>0.000</c:formatCode>
                <c:ptCount val="30"/>
                <c:pt idx="0">
                  <c:v>0.376551630434783</c:v>
                </c:pt>
                <c:pt idx="1">
                  <c:v>0.521652545348157</c:v>
                </c:pt>
                <c:pt idx="2">
                  <c:v>0.609115419296664</c:v>
                </c:pt>
                <c:pt idx="3">
                  <c:v>0.514463379469435</c:v>
                </c:pt>
                <c:pt idx="4">
                  <c:v>0.526022559652928</c:v>
                </c:pt>
                <c:pt idx="5">
                  <c:v>0.788473298002446</c:v>
                </c:pt>
                <c:pt idx="6">
                  <c:v>0.918831621465666</c:v>
                </c:pt>
                <c:pt idx="7">
                  <c:v>0.810156683305602</c:v>
                </c:pt>
                <c:pt idx="8">
                  <c:v>0.723921699078813</c:v>
                </c:pt>
                <c:pt idx="9">
                  <c:v>0.746614563716258</c:v>
                </c:pt>
                <c:pt idx="10">
                  <c:v>0.439325815217391</c:v>
                </c:pt>
                <c:pt idx="11">
                  <c:v>0.570316346859599</c:v>
                </c:pt>
                <c:pt idx="12">
                  <c:v>0.805514872521246</c:v>
                </c:pt>
                <c:pt idx="13">
                  <c:v>0.862874515333098</c:v>
                </c:pt>
                <c:pt idx="14">
                  <c:v>0.604338522689632</c:v>
                </c:pt>
                <c:pt idx="15">
                  <c:v>0.507945356115716</c:v>
                </c:pt>
                <c:pt idx="16">
                  <c:v>0.426993569131833</c:v>
                </c:pt>
                <c:pt idx="17">
                  <c:v>0.517520021214532</c:v>
                </c:pt>
                <c:pt idx="18">
                  <c:v>0.509597929719423</c:v>
                </c:pt>
                <c:pt idx="19">
                  <c:v>0.516564720812183</c:v>
                </c:pt>
                <c:pt idx="20">
                  <c:v>0.726687413554633</c:v>
                </c:pt>
                <c:pt idx="21">
                  <c:v>0.0</c:v>
                </c:pt>
                <c:pt idx="22">
                  <c:v>0.0</c:v>
                </c:pt>
                <c:pt idx="23">
                  <c:v>0.0</c:v>
                </c:pt>
                <c:pt idx="24">
                  <c:v>0.0</c:v>
                </c:pt>
                <c:pt idx="25">
                  <c:v>0.0</c:v>
                </c:pt>
                <c:pt idx="26">
                  <c:v>0.0</c:v>
                </c:pt>
                <c:pt idx="27">
                  <c:v>0.0</c:v>
                </c:pt>
                <c:pt idx="28">
                  <c:v>0.0</c:v>
                </c:pt>
                <c:pt idx="29">
                  <c:v>0.0</c:v>
                </c:pt>
              </c:numCache>
            </c:numRef>
          </c:xVal>
          <c:yVal>
            <c:numRef>
              <c:f>input!$BU$11:$BU$40</c:f>
              <c:numCache>
                <c:formatCode>0.000</c:formatCode>
                <c:ptCount val="30"/>
                <c:pt idx="0">
                  <c:v>0.380434782608696</c:v>
                </c:pt>
                <c:pt idx="1">
                  <c:v>0.887068461088356</c:v>
                </c:pt>
                <c:pt idx="2">
                  <c:v>0.171325518485122</c:v>
                </c:pt>
                <c:pt idx="3">
                  <c:v>0.850634371395617</c:v>
                </c:pt>
                <c:pt idx="4">
                  <c:v>0.407809110629067</c:v>
                </c:pt>
                <c:pt idx="5">
                  <c:v>0.0203832042397065</c:v>
                </c:pt>
                <c:pt idx="6">
                  <c:v>0.0450086555106751</c:v>
                </c:pt>
                <c:pt idx="7">
                  <c:v>0.188574597892402</c:v>
                </c:pt>
                <c:pt idx="8">
                  <c:v>0.363357215967247</c:v>
                </c:pt>
                <c:pt idx="9">
                  <c:v>0.200878844946642</c:v>
                </c:pt>
                <c:pt idx="10">
                  <c:v>0.755434782608696</c:v>
                </c:pt>
                <c:pt idx="11">
                  <c:v>0.985634895669498</c:v>
                </c:pt>
                <c:pt idx="12">
                  <c:v>0.106232294617564</c:v>
                </c:pt>
                <c:pt idx="13">
                  <c:v>0.0775467042650687</c:v>
                </c:pt>
                <c:pt idx="14">
                  <c:v>0.476979132162968</c:v>
                </c:pt>
                <c:pt idx="15">
                  <c:v>0.828962950431399</c:v>
                </c:pt>
                <c:pt idx="16">
                  <c:v>0.289389067524116</c:v>
                </c:pt>
                <c:pt idx="17">
                  <c:v>0.662954123574648</c:v>
                </c:pt>
                <c:pt idx="18">
                  <c:v>0.653772813947153</c:v>
                </c:pt>
                <c:pt idx="19">
                  <c:v>0.539340101522843</c:v>
                </c:pt>
                <c:pt idx="20">
                  <c:v>0.179806362378976</c:v>
                </c:pt>
                <c:pt idx="21">
                  <c:v>-99.0</c:v>
                </c:pt>
                <c:pt idx="22">
                  <c:v>-99.0</c:v>
                </c:pt>
                <c:pt idx="23">
                  <c:v>-99.0</c:v>
                </c:pt>
                <c:pt idx="24">
                  <c:v>-99.0</c:v>
                </c:pt>
                <c:pt idx="25">
                  <c:v>-99.0</c:v>
                </c:pt>
                <c:pt idx="26">
                  <c:v>-99.0</c:v>
                </c:pt>
                <c:pt idx="27">
                  <c:v>-99.0</c:v>
                </c:pt>
                <c:pt idx="28">
                  <c:v>-99.0</c:v>
                </c:pt>
                <c:pt idx="29">
                  <c:v>-99.0</c:v>
                </c:pt>
              </c:numCache>
            </c:numRef>
          </c:yVal>
          <c:smooth val="0"/>
        </c:ser>
        <c:ser>
          <c:idx val="0"/>
          <c:order val="17"/>
          <c:tx>
            <c:v>border</c:v>
          </c:tx>
          <c:spPr>
            <a:ln w="38100">
              <a:solidFill>
                <a:srgbClr val="000000"/>
              </a:solidFill>
              <a:prstDash val="solid"/>
            </a:ln>
          </c:spPr>
          <c:marker>
            <c:symbol val="none"/>
          </c:marker>
          <c:dLbls>
            <c:dLbl>
              <c:idx val="0"/>
              <c:delete val="1"/>
            </c:dLbl>
            <c:dLbl>
              <c:idx val="1"/>
              <c:tx>
                <c:strRef>
                  <c:f>input!$BQ$10</c:f>
                  <c:strCache>
                    <c:ptCount val="1"/>
                    <c:pt idx="0">
                      <c:v>200 CH4</c:v>
                    </c:pt>
                  </c:strCache>
                </c:strRef>
              </c:tx>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dLblPos val="t"/>
              <c:showLegendKey val="0"/>
              <c:showVal val="0"/>
              <c:showCatName val="0"/>
              <c:showSerName val="0"/>
              <c:showPercent val="0"/>
              <c:showBubbleSize val="0"/>
            </c:dLbl>
            <c:dLbl>
              <c:idx val="2"/>
              <c:tx>
                <c:strRef>
                  <c:f>input!$BS$10</c:f>
                  <c:strCache>
                    <c:ptCount val="1"/>
                    <c:pt idx="0">
                      <c:v>10 H2S</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showLegendKey val="0"/>
              <c:showVal val="0"/>
              <c:showCatName val="0"/>
              <c:showSerName val="0"/>
              <c:showPercent val="0"/>
              <c:showBubbleSize val="0"/>
            </c:dLbl>
            <c:dLbl>
              <c:idx val="3"/>
              <c:layout>
                <c:manualLayout>
                  <c:xMode val="edge"/>
                  <c:yMode val="edge"/>
                  <c:x val="0.0738434163701068"/>
                  <c:y val="0.81566265060241"/>
                </c:manualLayout>
              </c:layout>
              <c:tx>
                <c:strRef>
                  <c:f>input!$BR$10</c:f>
                  <c:strCache>
                    <c:ptCount val="1"/>
                    <c:pt idx="0">
                      <c:v>CO2</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r"/>
              <c:showLegendKey val="0"/>
              <c:showVal val="0"/>
              <c:showCatName val="0"/>
              <c:showSerName val="0"/>
              <c:showPercent val="0"/>
              <c:showBubbleSize val="0"/>
            </c:dLbl>
            <c:spPr>
              <a:noFill/>
              <a:ln w="25400">
                <a:noFill/>
              </a:ln>
            </c:spPr>
            <c:txPr>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xVal>
            <c:numRef>
              <c:f>Tgrid!$A$5:$A$8</c:f>
              <c:numCache>
                <c:formatCode>General</c:formatCode>
                <c:ptCount val="4"/>
                <c:pt idx="0">
                  <c:v>0.0</c:v>
                </c:pt>
                <c:pt idx="1">
                  <c:v>0.5774</c:v>
                </c:pt>
                <c:pt idx="2">
                  <c:v>1.1547</c:v>
                </c:pt>
                <c:pt idx="3">
                  <c:v>0.0</c:v>
                </c:pt>
              </c:numCache>
            </c:numRef>
          </c:xVal>
          <c:yVal>
            <c:numRef>
              <c:f>Tgrid!$B$5:$B$8</c:f>
              <c:numCache>
                <c:formatCode>General</c:formatCode>
                <c:ptCount val="4"/>
                <c:pt idx="0">
                  <c:v>0.0</c:v>
                </c:pt>
                <c:pt idx="1">
                  <c:v>1.0</c:v>
                </c:pt>
                <c:pt idx="2">
                  <c:v>0.0</c:v>
                </c:pt>
                <c:pt idx="3">
                  <c:v>0.0</c:v>
                </c:pt>
              </c:numCache>
            </c:numRef>
          </c:yVal>
          <c:smooth val="0"/>
        </c:ser>
        <c:dLbls>
          <c:showLegendKey val="0"/>
          <c:showVal val="0"/>
          <c:showCatName val="0"/>
          <c:showSerName val="0"/>
          <c:showPercent val="0"/>
          <c:showBubbleSize val="0"/>
        </c:dLbls>
        <c:axId val="2097542504"/>
        <c:axId val="2097545496"/>
      </c:scatterChart>
      <c:valAx>
        <c:axId val="2097542504"/>
        <c:scaling>
          <c:orientation val="minMax"/>
          <c:max val="1.4"/>
          <c:min val="-0.2"/>
        </c:scaling>
        <c:delete val="1"/>
        <c:axPos val="b"/>
        <c:numFmt formatCode="General" sourceLinked="1"/>
        <c:majorTickMark val="out"/>
        <c:minorTickMark val="none"/>
        <c:tickLblPos val="none"/>
        <c:crossAx val="2097545496"/>
        <c:crosses val="autoZero"/>
        <c:crossBetween val="midCat"/>
      </c:valAx>
      <c:valAx>
        <c:axId val="2097545496"/>
        <c:scaling>
          <c:orientation val="minMax"/>
          <c:max val="1.2"/>
          <c:min val="-0.2"/>
        </c:scaling>
        <c:delete val="1"/>
        <c:axPos val="l"/>
        <c:numFmt formatCode="_(* #,##0.00_);_(* \(#,##0.00\);_(* &quot;-&quot;??_);_(@_)" sourceLinked="1"/>
        <c:majorTickMark val="out"/>
        <c:minorTickMark val="none"/>
        <c:tickLblPos val="none"/>
        <c:crossAx val="2097542504"/>
        <c:crosses val="autoZero"/>
        <c:crossBetween val="midCat"/>
      </c:val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115658362989324"/>
          <c:y val="0.0204081632653061"/>
          <c:w val="0.969750889679715"/>
          <c:h val="0.963718820861678"/>
        </c:manualLayout>
      </c:layout>
      <c:scatterChart>
        <c:scatterStyle val="lineMarker"/>
        <c:varyColors val="0"/>
        <c:ser>
          <c:idx val="1"/>
          <c:order val="0"/>
          <c:tx>
            <c:v>A grid</c:v>
          </c:tx>
          <c:spPr>
            <a:ln w="3175">
              <a:solidFill>
                <a:srgbClr val="C0C0C0"/>
              </a:solidFill>
              <a:prstDash val="sysDash"/>
            </a:ln>
          </c:spPr>
          <c:marker>
            <c:symbol val="none"/>
          </c:marker>
          <c:dLbls>
            <c:dLbl>
              <c:idx val="0"/>
              <c:tx>
                <c:rich>
                  <a:bodyPr/>
                  <a:lstStyle/>
                  <a:p>
                    <a:r>
                      <a:t>10%</a:t>
                    </a:r>
                  </a:p>
                </c:rich>
              </c:tx>
              <c:dLblPos val="l"/>
              <c:showLegendKey val="0"/>
              <c:showVal val="0"/>
              <c:showCatName val="0"/>
              <c:showSerName val="0"/>
              <c:showPercent val="0"/>
              <c:showBubbleSize val="0"/>
            </c:dLbl>
            <c:dLbl>
              <c:idx val="1"/>
              <c:delete val="1"/>
            </c:dLbl>
            <c:dLbl>
              <c:idx val="2"/>
              <c:delete val="1"/>
            </c:dLbl>
            <c:dLbl>
              <c:idx val="3"/>
              <c:tx>
                <c:rich>
                  <a:bodyPr/>
                  <a:lstStyle/>
                  <a:p>
                    <a:r>
                      <a:t>20%</a:t>
                    </a:r>
                  </a:p>
                </c:rich>
              </c:tx>
              <c:dLblPos val="l"/>
              <c:showLegendKey val="0"/>
              <c:showVal val="0"/>
              <c:showCatName val="0"/>
              <c:showSerName val="0"/>
              <c:showPercent val="0"/>
              <c:showBubbleSize val="0"/>
            </c:dLbl>
            <c:dLbl>
              <c:idx val="4"/>
              <c:tx>
                <c:rich>
                  <a:bodyPr/>
                  <a:lstStyle/>
                  <a:p>
                    <a:r>
                      <a:t>30%</a:t>
                    </a:r>
                  </a:p>
                </c:rich>
              </c:tx>
              <c:dLblPos val="l"/>
              <c:showLegendKey val="0"/>
              <c:showVal val="0"/>
              <c:showCatName val="0"/>
              <c:showSerName val="0"/>
              <c:showPercent val="0"/>
              <c:showBubbleSize val="0"/>
            </c:dLbl>
            <c:dLbl>
              <c:idx val="5"/>
              <c:delete val="1"/>
            </c:dLbl>
            <c:dLbl>
              <c:idx val="6"/>
              <c:delete val="1"/>
            </c:dLbl>
            <c:dLbl>
              <c:idx val="7"/>
              <c:tx>
                <c:rich>
                  <a:bodyPr/>
                  <a:lstStyle/>
                  <a:p>
                    <a:r>
                      <a:t>40%</a:t>
                    </a:r>
                  </a:p>
                </c:rich>
              </c:tx>
              <c:dLblPos val="l"/>
              <c:showLegendKey val="0"/>
              <c:showVal val="0"/>
              <c:showCatName val="0"/>
              <c:showSerName val="0"/>
              <c:showPercent val="0"/>
              <c:showBubbleSize val="0"/>
            </c:dLbl>
            <c:dLbl>
              <c:idx val="8"/>
              <c:tx>
                <c:rich>
                  <a:bodyPr/>
                  <a:lstStyle/>
                  <a:p>
                    <a:r>
                      <a:t>50%</a:t>
                    </a:r>
                  </a:p>
                </c:rich>
              </c:tx>
              <c:dLblPos val="l"/>
              <c:showLegendKey val="0"/>
              <c:showVal val="0"/>
              <c:showCatName val="0"/>
              <c:showSerName val="0"/>
              <c:showPercent val="0"/>
              <c:showBubbleSize val="0"/>
            </c:dLbl>
            <c:dLbl>
              <c:idx val="9"/>
              <c:delete val="1"/>
            </c:dLbl>
            <c:dLbl>
              <c:idx val="10"/>
              <c:delete val="1"/>
            </c:dLbl>
            <c:dLbl>
              <c:idx val="11"/>
              <c:tx>
                <c:rich>
                  <a:bodyPr/>
                  <a:lstStyle/>
                  <a:p>
                    <a:r>
                      <a:t>60%</a:t>
                    </a:r>
                  </a:p>
                </c:rich>
              </c:tx>
              <c:dLblPos val="l"/>
              <c:showLegendKey val="0"/>
              <c:showVal val="0"/>
              <c:showCatName val="0"/>
              <c:showSerName val="0"/>
              <c:showPercent val="0"/>
              <c:showBubbleSize val="0"/>
            </c:dLbl>
            <c:dLbl>
              <c:idx val="12"/>
              <c:tx>
                <c:rich>
                  <a:bodyPr/>
                  <a:lstStyle/>
                  <a:p>
                    <a:r>
                      <a:t>70%</a:t>
                    </a:r>
                  </a:p>
                </c:rich>
              </c:tx>
              <c:dLblPos val="l"/>
              <c:showLegendKey val="0"/>
              <c:showVal val="0"/>
              <c:showCatName val="0"/>
              <c:showSerName val="0"/>
              <c:showPercent val="0"/>
              <c:showBubbleSize val="0"/>
            </c:dLbl>
            <c:dLbl>
              <c:idx val="13"/>
              <c:delete val="1"/>
            </c:dLbl>
            <c:dLbl>
              <c:idx val="14"/>
              <c:delete val="1"/>
            </c:dLbl>
            <c:dLbl>
              <c:idx val="15"/>
              <c:tx>
                <c:rich>
                  <a:bodyPr/>
                  <a:lstStyle/>
                  <a:p>
                    <a:r>
                      <a:t>80%</a:t>
                    </a:r>
                  </a:p>
                </c:rich>
              </c:tx>
              <c:dLblPos val="l"/>
              <c:showLegendKey val="0"/>
              <c:showVal val="0"/>
              <c:showCatName val="0"/>
              <c:showSerName val="0"/>
              <c:showPercent val="0"/>
              <c:showBubbleSize val="0"/>
            </c:dLbl>
            <c:dLbl>
              <c:idx val="16"/>
              <c:tx>
                <c:rich>
                  <a:bodyPr/>
                  <a:lstStyle/>
                  <a:p>
                    <a:r>
                      <a:t>90%</a:t>
                    </a:r>
                  </a:p>
                </c:rich>
              </c:tx>
              <c:dLblPos val="l"/>
              <c:showLegendKey val="0"/>
              <c:showVal val="0"/>
              <c:showCatName val="0"/>
              <c:showSerName val="0"/>
              <c:showPercent val="0"/>
              <c:showBubbleSize val="0"/>
            </c:dLbl>
            <c:dLbl>
              <c:idx val="17"/>
              <c:delete val="1"/>
            </c:dLbl>
            <c:spPr>
              <a:noFill/>
              <a:ln w="25400">
                <a:noFill/>
              </a:ln>
            </c:spPr>
            <c:txPr>
              <a:bodyPr/>
              <a:lstStyle/>
              <a:p>
                <a:pPr>
                  <a:defRPr sz="1500" b="0" i="0" u="none" strike="noStrike" baseline="0">
                    <a:solidFill>
                      <a:srgbClr val="C0C0C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Tgrid!$F$5:$F$22</c:f>
              <c:numCache>
                <c:formatCode>General</c:formatCode>
                <c:ptCount val="18"/>
                <c:pt idx="0">
                  <c:v>0.05774</c:v>
                </c:pt>
                <c:pt idx="1">
                  <c:v>1.09697</c:v>
                </c:pt>
                <c:pt idx="2">
                  <c:v>1.03924</c:v>
                </c:pt>
                <c:pt idx="3">
                  <c:v>0.11548</c:v>
                </c:pt>
                <c:pt idx="4">
                  <c:v>0.17322</c:v>
                </c:pt>
                <c:pt idx="5">
                  <c:v>0.98151</c:v>
                </c:pt>
                <c:pt idx="6">
                  <c:v>0.92378</c:v>
                </c:pt>
                <c:pt idx="7">
                  <c:v>0.23096</c:v>
                </c:pt>
                <c:pt idx="8">
                  <c:v>0.2887</c:v>
                </c:pt>
                <c:pt idx="9">
                  <c:v>0.86605</c:v>
                </c:pt>
                <c:pt idx="10">
                  <c:v>0.80832</c:v>
                </c:pt>
                <c:pt idx="11">
                  <c:v>0.34644</c:v>
                </c:pt>
                <c:pt idx="12">
                  <c:v>0.40418</c:v>
                </c:pt>
                <c:pt idx="13">
                  <c:v>0.75059</c:v>
                </c:pt>
                <c:pt idx="14">
                  <c:v>0.69286</c:v>
                </c:pt>
                <c:pt idx="15">
                  <c:v>0.46192</c:v>
                </c:pt>
                <c:pt idx="16">
                  <c:v>0.51966</c:v>
                </c:pt>
                <c:pt idx="17">
                  <c:v>0.63513</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mooth val="0"/>
        </c:ser>
        <c:ser>
          <c:idx val="2"/>
          <c:order val="1"/>
          <c:tx>
            <c:v>B grid</c:v>
          </c:tx>
          <c:spPr>
            <a:ln w="3175">
              <a:solidFill>
                <a:srgbClr val="C0C0C0"/>
              </a:solidFill>
              <a:prstDash val="sysDash"/>
            </a:ln>
          </c:spPr>
          <c:marker>
            <c:symbol val="none"/>
          </c:marker>
          <c:dLbls>
            <c:dLbl>
              <c:idx val="0"/>
              <c:layout>
                <c:manualLayout>
                  <c:xMode val="edge"/>
                  <c:yMode val="edge"/>
                  <c:x val="0.188612099644128"/>
                  <c:y val="0.843537414965987"/>
                </c:manualLayout>
              </c:layout>
              <c:tx>
                <c:rich>
                  <a:bodyPr/>
                  <a:lstStyle/>
                  <a:p>
                    <a:r>
                      <a:t>90%</a:t>
                    </a:r>
                  </a:p>
                </c:rich>
              </c:tx>
              <c:dLblPos val="r"/>
              <c:showLegendKey val="0"/>
              <c:showVal val="0"/>
              <c:showCatName val="0"/>
              <c:showSerName val="0"/>
              <c:showPercent val="0"/>
              <c:showBubbleSize val="0"/>
            </c:dLbl>
            <c:dLbl>
              <c:idx val="1"/>
              <c:delete val="1"/>
            </c:dLbl>
            <c:dLbl>
              <c:idx val="2"/>
              <c:delete val="1"/>
            </c:dLbl>
            <c:dLbl>
              <c:idx val="3"/>
              <c:layout>
                <c:manualLayout>
                  <c:xMode val="edge"/>
                  <c:yMode val="edge"/>
                  <c:x val="0.256227758007117"/>
                  <c:y val="0.840136054421769"/>
                </c:manualLayout>
              </c:layout>
              <c:tx>
                <c:rich>
                  <a:bodyPr/>
                  <a:lstStyle/>
                  <a:p>
                    <a:r>
                      <a:t>80%</a:t>
                    </a:r>
                  </a:p>
                </c:rich>
              </c:tx>
              <c:dLblPos val="r"/>
              <c:showLegendKey val="0"/>
              <c:showVal val="0"/>
              <c:showCatName val="0"/>
              <c:showSerName val="0"/>
              <c:showPercent val="0"/>
              <c:showBubbleSize val="0"/>
            </c:dLbl>
            <c:dLbl>
              <c:idx val="4"/>
              <c:layout>
                <c:manualLayout>
                  <c:xMode val="edge"/>
                  <c:yMode val="edge"/>
                  <c:x val="0.330071174377224"/>
                  <c:y val="0.843537414965987"/>
                </c:manualLayout>
              </c:layout>
              <c:tx>
                <c:rich>
                  <a:bodyPr/>
                  <a:lstStyle/>
                  <a:p>
                    <a:r>
                      <a:t>70%</a:t>
                    </a:r>
                  </a:p>
                </c:rich>
              </c:tx>
              <c:dLblPos val="r"/>
              <c:showLegendKey val="0"/>
              <c:showVal val="0"/>
              <c:showCatName val="0"/>
              <c:showSerName val="0"/>
              <c:showPercent val="0"/>
              <c:showBubbleSize val="0"/>
            </c:dLbl>
            <c:dLbl>
              <c:idx val="5"/>
              <c:delete val="1"/>
            </c:dLbl>
            <c:dLbl>
              <c:idx val="6"/>
              <c:delete val="1"/>
            </c:dLbl>
            <c:dLbl>
              <c:idx val="7"/>
              <c:layout>
                <c:manualLayout>
                  <c:xMode val="edge"/>
                  <c:yMode val="edge"/>
                  <c:x val="0.398576512455516"/>
                  <c:y val="0.843537414965987"/>
                </c:manualLayout>
              </c:layout>
              <c:tx>
                <c:rich>
                  <a:bodyPr/>
                  <a:lstStyle/>
                  <a:p>
                    <a:r>
                      <a:t>60%</a:t>
                    </a:r>
                  </a:p>
                </c:rich>
              </c:tx>
              <c:dLblPos val="r"/>
              <c:showLegendKey val="0"/>
              <c:showVal val="0"/>
              <c:showCatName val="0"/>
              <c:showSerName val="0"/>
              <c:showPercent val="0"/>
              <c:showBubbleSize val="0"/>
            </c:dLbl>
            <c:dLbl>
              <c:idx val="8"/>
              <c:layout>
                <c:manualLayout>
                  <c:xMode val="edge"/>
                  <c:yMode val="edge"/>
                  <c:x val="0.468861209964413"/>
                  <c:y val="0.843537414965987"/>
                </c:manualLayout>
              </c:layout>
              <c:tx>
                <c:rich>
                  <a:bodyPr/>
                  <a:lstStyle/>
                  <a:p>
                    <a:r>
                      <a:t>50%</a:t>
                    </a:r>
                  </a:p>
                </c:rich>
              </c:tx>
              <c:dLblPos val="r"/>
              <c:showLegendKey val="0"/>
              <c:showVal val="0"/>
              <c:showCatName val="0"/>
              <c:showSerName val="0"/>
              <c:showPercent val="0"/>
              <c:showBubbleSize val="0"/>
            </c:dLbl>
            <c:dLbl>
              <c:idx val="9"/>
              <c:delete val="1"/>
            </c:dLbl>
            <c:dLbl>
              <c:idx val="10"/>
              <c:delete val="1"/>
            </c:dLbl>
            <c:dLbl>
              <c:idx val="11"/>
              <c:layout>
                <c:manualLayout>
                  <c:xMode val="edge"/>
                  <c:yMode val="edge"/>
                  <c:x val="0.540035587188612"/>
                  <c:y val="0.843537414965987"/>
                </c:manualLayout>
              </c:layout>
              <c:tx>
                <c:rich>
                  <a:bodyPr/>
                  <a:lstStyle/>
                  <a:p>
                    <a:r>
                      <a:t>40%</a:t>
                    </a:r>
                  </a:p>
                </c:rich>
              </c:tx>
              <c:dLblPos val="r"/>
              <c:showLegendKey val="0"/>
              <c:showVal val="0"/>
              <c:showCatName val="0"/>
              <c:showSerName val="0"/>
              <c:showPercent val="0"/>
              <c:showBubbleSize val="0"/>
            </c:dLbl>
            <c:dLbl>
              <c:idx val="12"/>
              <c:layout>
                <c:manualLayout>
                  <c:xMode val="edge"/>
                  <c:yMode val="edge"/>
                  <c:x val="0.610320284697509"/>
                  <c:y val="0.843537414965987"/>
                </c:manualLayout>
              </c:layout>
              <c:tx>
                <c:rich>
                  <a:bodyPr/>
                  <a:lstStyle/>
                  <a:p>
                    <a:r>
                      <a:t>30%</a:t>
                    </a:r>
                  </a:p>
                </c:rich>
              </c:tx>
              <c:dLblPos val="r"/>
              <c:showLegendKey val="0"/>
              <c:showVal val="0"/>
              <c:showCatName val="0"/>
              <c:showSerName val="0"/>
              <c:showPercent val="0"/>
              <c:showBubbleSize val="0"/>
            </c:dLbl>
            <c:dLbl>
              <c:idx val="13"/>
              <c:delete val="1"/>
            </c:dLbl>
            <c:dLbl>
              <c:idx val="14"/>
              <c:delete val="1"/>
            </c:dLbl>
            <c:dLbl>
              <c:idx val="15"/>
              <c:layout>
                <c:manualLayout>
                  <c:xMode val="edge"/>
                  <c:yMode val="edge"/>
                  <c:x val="0.683274021352313"/>
                  <c:y val="0.840136054421769"/>
                </c:manualLayout>
              </c:layout>
              <c:tx>
                <c:rich>
                  <a:bodyPr/>
                  <a:lstStyle/>
                  <a:p>
                    <a:r>
                      <a:t>20%</a:t>
                    </a:r>
                  </a:p>
                </c:rich>
              </c:tx>
              <c:dLblPos val="r"/>
              <c:showLegendKey val="0"/>
              <c:showVal val="0"/>
              <c:showCatName val="0"/>
              <c:showSerName val="0"/>
              <c:showPercent val="0"/>
              <c:showBubbleSize val="0"/>
            </c:dLbl>
            <c:dLbl>
              <c:idx val="16"/>
              <c:layout>
                <c:manualLayout>
                  <c:xMode val="edge"/>
                  <c:yMode val="edge"/>
                  <c:x val="0.748220640569395"/>
                  <c:y val="0.840136054421769"/>
                </c:manualLayout>
              </c:layout>
              <c:tx>
                <c:rich>
                  <a:bodyPr/>
                  <a:lstStyle/>
                  <a:p>
                    <a:r>
                      <a:t>10%</a:t>
                    </a:r>
                  </a:p>
                </c:rich>
              </c:tx>
              <c:dLblPos val="r"/>
              <c:showLegendKey val="0"/>
              <c:showVal val="0"/>
              <c:showCatName val="0"/>
              <c:showSerName val="0"/>
              <c:showPercent val="0"/>
              <c:showBubbleSize val="0"/>
            </c:dLbl>
            <c:dLbl>
              <c:idx val="17"/>
              <c:delete val="1"/>
            </c:dLbl>
            <c:spPr>
              <a:noFill/>
              <a:ln w="25400">
                <a:noFill/>
              </a:ln>
            </c:spPr>
            <c:txPr>
              <a:bodyPr rot="3600000" vert="horz"/>
              <a:lstStyle/>
              <a:p>
                <a:pPr algn="l">
                  <a:defRPr sz="1500" b="0" i="0" u="none" strike="noStrike" baseline="0">
                    <a:solidFill>
                      <a:srgbClr val="C0C0C0"/>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Tgrid!$K$5:$K$22</c:f>
              <c:numCache>
                <c:formatCode>General</c:formatCode>
                <c:ptCount val="18"/>
                <c:pt idx="0">
                  <c:v>0.11547</c:v>
                </c:pt>
                <c:pt idx="1">
                  <c:v>0.05774</c:v>
                </c:pt>
                <c:pt idx="2">
                  <c:v>0.11548</c:v>
                </c:pt>
                <c:pt idx="3">
                  <c:v>0.23094</c:v>
                </c:pt>
                <c:pt idx="4">
                  <c:v>0.34641</c:v>
                </c:pt>
                <c:pt idx="5">
                  <c:v>0.17322</c:v>
                </c:pt>
                <c:pt idx="6">
                  <c:v>0.23096</c:v>
                </c:pt>
                <c:pt idx="7">
                  <c:v>0.46188</c:v>
                </c:pt>
                <c:pt idx="8">
                  <c:v>0.57735</c:v>
                </c:pt>
                <c:pt idx="9">
                  <c:v>0.2887</c:v>
                </c:pt>
                <c:pt idx="10">
                  <c:v>0.34644</c:v>
                </c:pt>
                <c:pt idx="11">
                  <c:v>0.69282</c:v>
                </c:pt>
                <c:pt idx="12">
                  <c:v>0.80829</c:v>
                </c:pt>
                <c:pt idx="13">
                  <c:v>0.40418</c:v>
                </c:pt>
                <c:pt idx="14">
                  <c:v>0.46192</c:v>
                </c:pt>
                <c:pt idx="15">
                  <c:v>0.92376</c:v>
                </c:pt>
                <c:pt idx="16">
                  <c:v>1.03923</c:v>
                </c:pt>
                <c:pt idx="17">
                  <c:v>0.51966</c:v>
                </c:pt>
              </c:numCache>
            </c:numRef>
          </c:xVal>
          <c:yVal>
            <c:numRef>
              <c:f>Tgrid!$L$5:$L$22</c:f>
              <c:numCache>
                <c:formatCode>0.00</c:formatCode>
                <c:ptCount val="18"/>
                <c:pt idx="0">
                  <c:v>0.0</c:v>
                </c:pt>
                <c:pt idx="1">
                  <c:v>0.1</c:v>
                </c:pt>
                <c:pt idx="2">
                  <c:v>0.2</c:v>
                </c:pt>
                <c:pt idx="3">
                  <c:v>0.0</c:v>
                </c:pt>
                <c:pt idx="4">
                  <c:v>0.0</c:v>
                </c:pt>
                <c:pt idx="5">
                  <c:v>0.3</c:v>
                </c:pt>
                <c:pt idx="6">
                  <c:v>0.4</c:v>
                </c:pt>
                <c:pt idx="7">
                  <c:v>0.0</c:v>
                </c:pt>
                <c:pt idx="8">
                  <c:v>0.0</c:v>
                </c:pt>
                <c:pt idx="9">
                  <c:v>0.5</c:v>
                </c:pt>
                <c:pt idx="10">
                  <c:v>0.6</c:v>
                </c:pt>
                <c:pt idx="11">
                  <c:v>0.0</c:v>
                </c:pt>
                <c:pt idx="12">
                  <c:v>0.0</c:v>
                </c:pt>
                <c:pt idx="13">
                  <c:v>0.7</c:v>
                </c:pt>
                <c:pt idx="14">
                  <c:v>0.8</c:v>
                </c:pt>
                <c:pt idx="15">
                  <c:v>0.0</c:v>
                </c:pt>
                <c:pt idx="16">
                  <c:v>0.0</c:v>
                </c:pt>
                <c:pt idx="17">
                  <c:v>0.9</c:v>
                </c:pt>
              </c:numCache>
            </c:numRef>
          </c:yVal>
          <c:smooth val="0"/>
        </c:ser>
        <c:ser>
          <c:idx val="3"/>
          <c:order val="2"/>
          <c:tx>
            <c:v>C grid</c:v>
          </c:tx>
          <c:spPr>
            <a:ln w="3175">
              <a:solidFill>
                <a:srgbClr val="C0C0C0"/>
              </a:solidFill>
              <a:prstDash val="sysDash"/>
            </a:ln>
          </c:spPr>
          <c:marker>
            <c:symbol val="none"/>
          </c:marker>
          <c:dLbls>
            <c:dLbl>
              <c:idx val="0"/>
              <c:delete val="1"/>
            </c:dLbl>
            <c:dLbl>
              <c:idx val="1"/>
              <c:layout>
                <c:manualLayout>
                  <c:xMode val="edge"/>
                  <c:yMode val="edge"/>
                  <c:x val="0.515124555160142"/>
                  <c:y val="0.156462585034014"/>
                </c:manualLayout>
              </c:layout>
              <c:tx>
                <c:rich>
                  <a:bodyPr/>
                  <a:lstStyle/>
                  <a:p>
                    <a:r>
                      <a:t>10%</a:t>
                    </a:r>
                  </a:p>
                </c:rich>
              </c:tx>
              <c:dLblPos val="r"/>
              <c:showLegendKey val="0"/>
              <c:showVal val="0"/>
              <c:showCatName val="0"/>
              <c:showSerName val="0"/>
              <c:showPercent val="0"/>
              <c:showBubbleSize val="0"/>
            </c:dLbl>
            <c:dLbl>
              <c:idx val="2"/>
              <c:layout>
                <c:manualLayout>
                  <c:xMode val="edge"/>
                  <c:yMode val="edge"/>
                  <c:x val="0.548042704626335"/>
                  <c:y val="0.22562358276644"/>
                </c:manualLayout>
              </c:layout>
              <c:tx>
                <c:rich>
                  <a:bodyPr/>
                  <a:lstStyle/>
                  <a:p>
                    <a:r>
                      <a:t>20%</a:t>
                    </a:r>
                  </a:p>
                </c:rich>
              </c:tx>
              <c:dLblPos val="r"/>
              <c:showLegendKey val="0"/>
              <c:showVal val="0"/>
              <c:showCatName val="0"/>
              <c:showSerName val="0"/>
              <c:showPercent val="0"/>
              <c:showBubbleSize val="0"/>
            </c:dLbl>
            <c:dLbl>
              <c:idx val="3"/>
              <c:delete val="1"/>
            </c:dLbl>
            <c:dLbl>
              <c:idx val="4"/>
              <c:delete val="1"/>
            </c:dLbl>
            <c:dLbl>
              <c:idx val="5"/>
              <c:layout>
                <c:manualLayout>
                  <c:xMode val="edge"/>
                  <c:yMode val="edge"/>
                  <c:x val="0.583629893238434"/>
                  <c:y val="0.289115646258503"/>
                </c:manualLayout>
              </c:layout>
              <c:tx>
                <c:rich>
                  <a:bodyPr/>
                  <a:lstStyle/>
                  <a:p>
                    <a:r>
                      <a:t>30%</a:t>
                    </a:r>
                  </a:p>
                </c:rich>
              </c:tx>
              <c:dLblPos val="r"/>
              <c:showLegendKey val="0"/>
              <c:showVal val="0"/>
              <c:showCatName val="0"/>
              <c:showSerName val="0"/>
              <c:showPercent val="0"/>
              <c:showBubbleSize val="0"/>
            </c:dLbl>
            <c:dLbl>
              <c:idx val="6"/>
              <c:layout>
                <c:manualLayout>
                  <c:xMode val="edge"/>
                  <c:yMode val="edge"/>
                  <c:x val="0.617437722419929"/>
                  <c:y val="0.353741496598639"/>
                </c:manualLayout>
              </c:layout>
              <c:tx>
                <c:rich>
                  <a:bodyPr/>
                  <a:lstStyle/>
                  <a:p>
                    <a:r>
                      <a:t>40%</a:t>
                    </a:r>
                  </a:p>
                </c:rich>
              </c:tx>
              <c:dLblPos val="r"/>
              <c:showLegendKey val="0"/>
              <c:showVal val="0"/>
              <c:showCatName val="0"/>
              <c:showSerName val="0"/>
              <c:showPercent val="0"/>
              <c:showBubbleSize val="0"/>
            </c:dLbl>
            <c:dLbl>
              <c:idx val="7"/>
              <c:delete val="1"/>
            </c:dLbl>
            <c:dLbl>
              <c:idx val="8"/>
              <c:delete val="1"/>
            </c:dLbl>
            <c:dLbl>
              <c:idx val="9"/>
              <c:layout>
                <c:manualLayout>
                  <c:xMode val="edge"/>
                  <c:yMode val="edge"/>
                  <c:x val="0.647686832740213"/>
                  <c:y val="0.418367346938776"/>
                </c:manualLayout>
              </c:layout>
              <c:tx>
                <c:rich>
                  <a:bodyPr/>
                  <a:lstStyle/>
                  <a:p>
                    <a:r>
                      <a:t>50%</a:t>
                    </a:r>
                  </a:p>
                </c:rich>
              </c:tx>
              <c:dLblPos val="r"/>
              <c:showLegendKey val="0"/>
              <c:showVal val="0"/>
              <c:showCatName val="0"/>
              <c:showSerName val="0"/>
              <c:showPercent val="0"/>
              <c:showBubbleSize val="0"/>
            </c:dLbl>
            <c:dLbl>
              <c:idx val="10"/>
              <c:layout>
                <c:manualLayout>
                  <c:xMode val="edge"/>
                  <c:yMode val="edge"/>
                  <c:x val="0.688612099644128"/>
                  <c:y val="0.487528344671202"/>
                </c:manualLayout>
              </c:layout>
              <c:tx>
                <c:rich>
                  <a:bodyPr/>
                  <a:lstStyle/>
                  <a:p>
                    <a:r>
                      <a:t>60%</a:t>
                    </a:r>
                  </a:p>
                </c:rich>
              </c:tx>
              <c:dLblPos val="r"/>
              <c:showLegendKey val="0"/>
              <c:showVal val="0"/>
              <c:showCatName val="0"/>
              <c:showSerName val="0"/>
              <c:showPercent val="0"/>
              <c:showBubbleSize val="0"/>
            </c:dLbl>
            <c:dLbl>
              <c:idx val="11"/>
              <c:delete val="1"/>
            </c:dLbl>
            <c:dLbl>
              <c:idx val="12"/>
              <c:delete val="1"/>
            </c:dLbl>
            <c:dLbl>
              <c:idx val="13"/>
              <c:layout>
                <c:manualLayout>
                  <c:xMode val="edge"/>
                  <c:yMode val="edge"/>
                  <c:x val="0.72508896797153"/>
                  <c:y val="0.558956916099774"/>
                </c:manualLayout>
              </c:layout>
              <c:tx>
                <c:rich>
                  <a:bodyPr/>
                  <a:lstStyle/>
                  <a:p>
                    <a:r>
                      <a:t>70%</a:t>
                    </a:r>
                  </a:p>
                </c:rich>
              </c:tx>
              <c:dLblPos val="r"/>
              <c:showLegendKey val="0"/>
              <c:showVal val="0"/>
              <c:showCatName val="0"/>
              <c:showSerName val="0"/>
              <c:showPercent val="0"/>
              <c:showBubbleSize val="0"/>
            </c:dLbl>
            <c:dLbl>
              <c:idx val="14"/>
              <c:layout>
                <c:manualLayout>
                  <c:xMode val="edge"/>
                  <c:yMode val="edge"/>
                  <c:x val="0.75711743772242"/>
                  <c:y val="0.6281179138322"/>
                </c:manualLayout>
              </c:layout>
              <c:tx>
                <c:rich>
                  <a:bodyPr/>
                  <a:lstStyle/>
                  <a:p>
                    <a:r>
                      <a:t>80%</a:t>
                    </a:r>
                  </a:p>
                </c:rich>
              </c:tx>
              <c:dLblPos val="r"/>
              <c:showLegendKey val="0"/>
              <c:showVal val="0"/>
              <c:showCatName val="0"/>
              <c:showSerName val="0"/>
              <c:showPercent val="0"/>
              <c:showBubbleSize val="0"/>
            </c:dLbl>
            <c:dLbl>
              <c:idx val="15"/>
              <c:delete val="1"/>
            </c:dLbl>
            <c:dLbl>
              <c:idx val="16"/>
              <c:delete val="1"/>
            </c:dLbl>
            <c:dLbl>
              <c:idx val="17"/>
              <c:layout>
                <c:manualLayout>
                  <c:xMode val="edge"/>
                  <c:yMode val="edge"/>
                  <c:x val="0.79270462633452"/>
                  <c:y val="0.690476190476191"/>
                </c:manualLayout>
              </c:layout>
              <c:tx>
                <c:rich>
                  <a:bodyPr/>
                  <a:lstStyle/>
                  <a:p>
                    <a:r>
                      <a:t>90%</a:t>
                    </a:r>
                  </a:p>
                </c:rich>
              </c:tx>
              <c:dLblPos val="r"/>
              <c:showLegendKey val="0"/>
              <c:showVal val="0"/>
              <c:showCatName val="0"/>
              <c:showSerName val="0"/>
              <c:showPercent val="0"/>
              <c:showBubbleSize val="0"/>
            </c:dLbl>
            <c:spPr>
              <a:noFill/>
              <a:ln w="25400">
                <a:noFill/>
              </a:ln>
            </c:spPr>
            <c:txPr>
              <a:bodyPr rot="-3600000" vert="horz"/>
              <a:lstStyle/>
              <a:p>
                <a:pPr algn="l">
                  <a:defRPr sz="1500" b="0" i="0" u="none" strike="noStrike" baseline="0">
                    <a:solidFill>
                      <a:srgbClr val="C0C0C0"/>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Tgrid!$P$5:$P$22</c:f>
              <c:numCache>
                <c:formatCode>General</c:formatCode>
                <c:ptCount val="18"/>
                <c:pt idx="0">
                  <c:v>0.11547</c:v>
                </c:pt>
                <c:pt idx="1">
                  <c:v>0.63513</c:v>
                </c:pt>
                <c:pt idx="2">
                  <c:v>0.69286</c:v>
                </c:pt>
                <c:pt idx="3">
                  <c:v>0.23094</c:v>
                </c:pt>
                <c:pt idx="4">
                  <c:v>0.34641</c:v>
                </c:pt>
                <c:pt idx="5">
                  <c:v>0.75059</c:v>
                </c:pt>
                <c:pt idx="6">
                  <c:v>0.80832</c:v>
                </c:pt>
                <c:pt idx="7">
                  <c:v>0.46188</c:v>
                </c:pt>
                <c:pt idx="8">
                  <c:v>0.57735</c:v>
                </c:pt>
                <c:pt idx="9">
                  <c:v>0.86605</c:v>
                </c:pt>
                <c:pt idx="10">
                  <c:v>0.92378</c:v>
                </c:pt>
                <c:pt idx="11">
                  <c:v>0.69282</c:v>
                </c:pt>
                <c:pt idx="12">
                  <c:v>0.80829</c:v>
                </c:pt>
                <c:pt idx="13">
                  <c:v>0.98151</c:v>
                </c:pt>
                <c:pt idx="14">
                  <c:v>1.03924</c:v>
                </c:pt>
                <c:pt idx="15">
                  <c:v>0.92376</c:v>
                </c:pt>
                <c:pt idx="16">
                  <c:v>1.03923</c:v>
                </c:pt>
                <c:pt idx="17">
                  <c:v>1.09697</c:v>
                </c:pt>
              </c:numCache>
            </c:numRef>
          </c:xVal>
          <c:yVal>
            <c:numRef>
              <c:f>Tgrid!$Q$5:$Q$22</c:f>
              <c:numCache>
                <c:formatCode>0.00</c:formatCode>
                <c:ptCount val="18"/>
                <c:pt idx="0">
                  <c:v>0.0</c:v>
                </c:pt>
                <c:pt idx="1">
                  <c:v>0.9</c:v>
                </c:pt>
                <c:pt idx="2">
                  <c:v>0.8</c:v>
                </c:pt>
                <c:pt idx="3">
                  <c:v>0.0</c:v>
                </c:pt>
                <c:pt idx="4">
                  <c:v>0.0</c:v>
                </c:pt>
                <c:pt idx="5">
                  <c:v>0.7</c:v>
                </c:pt>
                <c:pt idx="6">
                  <c:v>0.6</c:v>
                </c:pt>
                <c:pt idx="7">
                  <c:v>0.0</c:v>
                </c:pt>
                <c:pt idx="8">
                  <c:v>0.0</c:v>
                </c:pt>
                <c:pt idx="9">
                  <c:v>0.5</c:v>
                </c:pt>
                <c:pt idx="10">
                  <c:v>0.4</c:v>
                </c:pt>
                <c:pt idx="11">
                  <c:v>0.0</c:v>
                </c:pt>
                <c:pt idx="12">
                  <c:v>0.0</c:v>
                </c:pt>
                <c:pt idx="13">
                  <c:v>0.3</c:v>
                </c:pt>
                <c:pt idx="14">
                  <c:v>0.2</c:v>
                </c:pt>
                <c:pt idx="15">
                  <c:v>0.0</c:v>
                </c:pt>
                <c:pt idx="16">
                  <c:v>0.0</c:v>
                </c:pt>
                <c:pt idx="17">
                  <c:v>0.1</c:v>
                </c:pt>
              </c:numCache>
            </c:numRef>
          </c:yVal>
          <c:smooth val="0"/>
        </c:ser>
        <c:ser>
          <c:idx val="0"/>
          <c:order val="3"/>
          <c:tx>
            <c:v>border</c:v>
          </c:tx>
          <c:spPr>
            <a:ln w="38100">
              <a:solidFill>
                <a:srgbClr val="000000"/>
              </a:solidFill>
              <a:prstDash val="solid"/>
            </a:ln>
          </c:spPr>
          <c:marker>
            <c:symbol val="none"/>
          </c:marker>
          <c:dLbls>
            <c:dLbl>
              <c:idx val="0"/>
              <c:delete val="1"/>
            </c:dLbl>
            <c:dLbl>
              <c:idx val="1"/>
              <c:tx>
                <c:strRef>
                  <c:f>input!$BV$10</c:f>
                  <c:strCache>
                    <c:ptCount val="1"/>
                    <c:pt idx="0">
                      <c:v>100 N2</c:v>
                    </c:pt>
                  </c:strCache>
                </c:strRef>
              </c:tx>
              <c:spPr>
                <a:noFill/>
                <a:ln w="25400">
                  <a:noFill/>
                </a:ln>
              </c:spPr>
              <c:txPr>
                <a:bodyPr/>
                <a:lstStyle/>
                <a:p>
                  <a:pPr>
                    <a:defRPr sz="1575" b="1" i="0" u="none" strike="noStrike" baseline="0">
                      <a:solidFill>
                        <a:srgbClr val="000000"/>
                      </a:solidFill>
                      <a:latin typeface="Arial"/>
                      <a:ea typeface="Arial"/>
                      <a:cs typeface="Arial"/>
                    </a:defRPr>
                  </a:pPr>
                  <a:endParaRPr lang="en-US"/>
                </a:p>
              </c:txPr>
              <c:dLblPos val="t"/>
              <c:showLegendKey val="0"/>
              <c:showVal val="0"/>
              <c:showCatName val="0"/>
              <c:showSerName val="0"/>
              <c:showPercent val="0"/>
              <c:showBubbleSize val="0"/>
            </c:dLbl>
            <c:dLbl>
              <c:idx val="2"/>
              <c:tx>
                <c:strRef>
                  <c:f>input!$BX$10</c:f>
                  <c:strCache>
                    <c:ptCount val="1"/>
                    <c:pt idx="0">
                      <c:v>10000 Ar</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showLegendKey val="0"/>
              <c:showVal val="0"/>
              <c:showCatName val="0"/>
              <c:showSerName val="0"/>
              <c:showPercent val="0"/>
              <c:showBubbleSize val="0"/>
            </c:dLbl>
            <c:dLbl>
              <c:idx val="3"/>
              <c:tx>
                <c:strRef>
                  <c:f>input!$BW$10</c:f>
                  <c:strCache>
                    <c:ptCount val="1"/>
                    <c:pt idx="0">
                      <c:v>CO2</c:v>
                    </c:pt>
                  </c:strCache>
                </c:strRef>
              </c:tx>
              <c:spPr>
                <a:noFill/>
                <a:ln w="25400">
                  <a:noFill/>
                </a:ln>
              </c:spPr>
              <c:txPr>
                <a:bodyPr/>
                <a:lstStyle/>
                <a:p>
                  <a:pPr>
                    <a:defRPr sz="1575" b="1" i="0" u="none" strike="noStrike" baseline="0">
                      <a:solidFill>
                        <a:srgbClr val="000000"/>
                      </a:solidFill>
                      <a:latin typeface="Arial"/>
                      <a:ea typeface="Arial"/>
                      <a:cs typeface="Arial"/>
                    </a:defRPr>
                  </a:pPr>
                  <a:endParaRPr lang="en-US"/>
                </a:p>
              </c:txPr>
              <c:dLblPos val="l"/>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xVal>
            <c:numRef>
              <c:f>Tgrid!$A$5:$A$8</c:f>
              <c:numCache>
                <c:formatCode>General</c:formatCode>
                <c:ptCount val="4"/>
                <c:pt idx="0">
                  <c:v>0.0</c:v>
                </c:pt>
                <c:pt idx="1">
                  <c:v>0.5774</c:v>
                </c:pt>
                <c:pt idx="2">
                  <c:v>1.1547</c:v>
                </c:pt>
                <c:pt idx="3">
                  <c:v>0.0</c:v>
                </c:pt>
              </c:numCache>
            </c:numRef>
          </c:xVal>
          <c:yVal>
            <c:numRef>
              <c:f>Tgrid!$B$5:$B$8</c:f>
              <c:numCache>
                <c:formatCode>General</c:formatCode>
                <c:ptCount val="4"/>
                <c:pt idx="0">
                  <c:v>0.0</c:v>
                </c:pt>
                <c:pt idx="1">
                  <c:v>1.0</c:v>
                </c:pt>
                <c:pt idx="2">
                  <c:v>0.0</c:v>
                </c:pt>
                <c:pt idx="3">
                  <c:v>0.0</c:v>
                </c:pt>
              </c:numCache>
            </c:numRef>
          </c:yVal>
          <c:smooth val="0"/>
        </c:ser>
        <c:ser>
          <c:idx val="4"/>
          <c:order val="4"/>
          <c:tx>
            <c:v>air asw</c:v>
          </c:tx>
          <c:spPr>
            <a:ln w="28575">
              <a:noFill/>
            </a:ln>
          </c:spPr>
          <c:marker>
            <c:symbol val="x"/>
            <c:size val="9"/>
            <c:spPr>
              <a:noFill/>
              <a:ln>
                <a:solidFill>
                  <a:srgbClr val="424242"/>
                </a:solidFill>
                <a:prstDash val="solid"/>
              </a:ln>
            </c:spPr>
          </c:marker>
          <c:dLbls>
            <c:dLbl>
              <c:idx val="0"/>
              <c:tx>
                <c:rich>
                  <a:bodyPr/>
                  <a:lstStyle/>
                  <a:p>
                    <a:pPr>
                      <a:defRPr sz="1200" b="1" i="0" u="none" strike="noStrike" baseline="0">
                        <a:solidFill>
                          <a:srgbClr val="424242"/>
                        </a:solidFill>
                        <a:latin typeface="Arial"/>
                        <a:ea typeface="Arial"/>
                        <a:cs typeface="Arial"/>
                      </a:defRPr>
                    </a:pPr>
                    <a:r>
                      <a:t>ASW (N2/Ar = 38)</a:t>
                    </a:r>
                  </a:p>
                </c:rich>
              </c:tx>
              <c:spPr>
                <a:noFill/>
                <a:ln w="25400">
                  <a:noFill/>
                </a:ln>
              </c:spPr>
              <c:showLegendKey val="0"/>
              <c:showVal val="0"/>
              <c:showCatName val="0"/>
              <c:showSerName val="0"/>
              <c:showPercent val="0"/>
              <c:showBubbleSize val="0"/>
            </c:dLbl>
            <c:dLbl>
              <c:idx val="1"/>
              <c:tx>
                <c:rich>
                  <a:bodyPr/>
                  <a:lstStyle/>
                  <a:p>
                    <a:pPr>
                      <a:defRPr sz="1200" b="1" i="0" u="none" strike="noStrike" baseline="0">
                        <a:solidFill>
                          <a:srgbClr val="424242"/>
                        </a:solidFill>
                        <a:latin typeface="Arial"/>
                        <a:ea typeface="Arial"/>
                        <a:cs typeface="Arial"/>
                      </a:defRPr>
                    </a:pPr>
                    <a:r>
                      <a:t>Air (N2/Ar = 84)</a:t>
                    </a:r>
                  </a:p>
                </c:rich>
              </c:tx>
              <c:spPr>
                <a:noFill/>
                <a:ln w="25400">
                  <a:noFill/>
                </a:ln>
              </c:spPr>
              <c:showLegendKey val="0"/>
              <c:showVal val="0"/>
              <c:showCatName val="0"/>
              <c:showSerName val="0"/>
              <c:showPercent val="0"/>
              <c:showBubbleSize val="0"/>
            </c:dLbl>
            <c:spPr>
              <a:noFill/>
              <a:ln w="25400">
                <a:noFill/>
              </a:ln>
            </c:spPr>
            <c:txPr>
              <a:bodyPr/>
              <a:lstStyle/>
              <a:p>
                <a:pPr>
                  <a:defRPr sz="1200" b="0" i="0" u="none" strike="noStrike" baseline="0">
                    <a:solidFill>
                      <a:srgbClr val="424242"/>
                    </a:solidFill>
                    <a:latin typeface="Arial"/>
                    <a:ea typeface="Arial"/>
                    <a:cs typeface="Arial"/>
                  </a:defRPr>
                </a:pPr>
                <a:endParaRPr lang="en-US"/>
              </a:p>
            </c:txPr>
            <c:showLegendKey val="0"/>
            <c:showVal val="1"/>
            <c:showCatName val="0"/>
            <c:showSerName val="0"/>
            <c:showPercent val="0"/>
            <c:showBubbleSize val="0"/>
            <c:showLeaderLines val="0"/>
          </c:dLbls>
          <c:xVal>
            <c:numRef>
              <c:f>Ref!$E$5:$E$6</c:f>
              <c:numCache>
                <c:formatCode>0.000</c:formatCode>
                <c:ptCount val="2"/>
                <c:pt idx="0">
                  <c:v>0.995733333333333</c:v>
                </c:pt>
                <c:pt idx="1">
                  <c:v>0.89115</c:v>
                </c:pt>
              </c:numCache>
            </c:numRef>
          </c:xVal>
          <c:yVal>
            <c:numRef>
              <c:f>Ref!$F$5:$F$6</c:f>
              <c:numCache>
                <c:formatCode>0.000</c:formatCode>
                <c:ptCount val="2"/>
                <c:pt idx="0">
                  <c:v>0.27536231884058</c:v>
                </c:pt>
                <c:pt idx="1">
                  <c:v>0.456521739130435</c:v>
                </c:pt>
              </c:numCache>
            </c:numRef>
          </c:yVal>
          <c:smooth val="0"/>
        </c:ser>
        <c:ser>
          <c:idx val="5"/>
          <c:order val="5"/>
          <c:tx>
            <c:v>magmatic</c:v>
          </c:tx>
          <c:spPr>
            <a:ln w="38100">
              <a:solidFill>
                <a:srgbClr val="424242"/>
              </a:solidFill>
              <a:prstDash val="solid"/>
            </a:ln>
          </c:spPr>
          <c:marker>
            <c:symbol val="x"/>
            <c:size val="9"/>
            <c:spPr>
              <a:noFill/>
              <a:ln>
                <a:solidFill>
                  <a:srgbClr val="424242"/>
                </a:solidFill>
                <a:prstDash val="solid"/>
              </a:ln>
            </c:spPr>
          </c:marker>
          <c:dPt>
            <c:idx val="1"/>
            <c:marker>
              <c:symbol val="none"/>
            </c:marker>
            <c:bubble3D val="0"/>
          </c:dPt>
          <c:dLbls>
            <c:dLbl>
              <c:idx val="0"/>
              <c:layout>
                <c:manualLayout>
                  <c:xMode val="edge"/>
                  <c:yMode val="edge"/>
                  <c:x val="0.532918149466192"/>
                  <c:y val="0.192743764172336"/>
                </c:manualLayout>
              </c:layout>
              <c:tx>
                <c:rich>
                  <a:bodyPr/>
                  <a:lstStyle/>
                  <a:p>
                    <a:pPr algn="l">
                      <a:defRPr sz="1200" b="1" i="0" u="none" strike="noStrike" baseline="0">
                        <a:solidFill>
                          <a:srgbClr val="424242"/>
                        </a:solidFill>
                        <a:latin typeface="Arial"/>
                        <a:ea typeface="Arial"/>
                        <a:cs typeface="Arial"/>
                      </a:defRPr>
                    </a:pPr>
                    <a:r>
                      <a:t>Magmatic 
(N2/Ar = 800)</a:t>
                    </a:r>
                  </a:p>
                </c:rich>
              </c:tx>
              <c:spPr>
                <a:noFill/>
                <a:ln w="25400">
                  <a:noFill/>
                </a:ln>
              </c:spPr>
              <c:dLblPos val="r"/>
              <c:showLegendKey val="0"/>
              <c:showVal val="0"/>
              <c:showCatName val="0"/>
              <c:showSerName val="0"/>
              <c:showPercent val="0"/>
              <c:showBubbleSize val="0"/>
            </c:dLbl>
            <c:dLbl>
              <c:idx val="1"/>
              <c:delete val="1"/>
            </c:dLbl>
            <c:spPr>
              <a:noFill/>
              <a:ln w="25400">
                <a:noFill/>
              </a:ln>
            </c:spPr>
            <c:txPr>
              <a:bodyPr/>
              <a:lstStyle/>
              <a:p>
                <a:pPr>
                  <a:defRPr sz="1200" b="0" i="0" u="none" strike="noStrike" baseline="0">
                    <a:solidFill>
                      <a:srgbClr val="424242"/>
                    </a:solidFill>
                    <a:latin typeface="Arial"/>
                    <a:ea typeface="Arial"/>
                    <a:cs typeface="Arial"/>
                  </a:defRPr>
                </a:pPr>
                <a:endParaRPr lang="en-US"/>
              </a:p>
            </c:txPr>
            <c:showLegendKey val="0"/>
            <c:showVal val="1"/>
            <c:showCatName val="0"/>
            <c:showSerName val="0"/>
            <c:showPercent val="0"/>
            <c:showBubbleSize val="0"/>
            <c:showLeaderLines val="0"/>
          </c:dLbls>
          <c:xVal>
            <c:numRef>
              <c:f>Ref!$E$7:$E$8</c:f>
              <c:numCache>
                <c:formatCode>0.000</c:formatCode>
                <c:ptCount val="2"/>
                <c:pt idx="0">
                  <c:v>0.641544444444444</c:v>
                </c:pt>
                <c:pt idx="1">
                  <c:v>0.0</c:v>
                </c:pt>
              </c:numCache>
            </c:numRef>
          </c:xVal>
          <c:yVal>
            <c:numRef>
              <c:f>Ref!$F$7:$F$8</c:f>
              <c:numCache>
                <c:formatCode>0.000</c:formatCode>
                <c:ptCount val="2"/>
                <c:pt idx="0">
                  <c:v>0.888888888888889</c:v>
                </c:pt>
                <c:pt idx="1">
                  <c:v>0.0</c:v>
                </c:pt>
              </c:numCache>
            </c:numRef>
          </c:yVal>
          <c:smooth val="0"/>
        </c:ser>
        <c:ser>
          <c:idx val="6"/>
          <c:order val="6"/>
          <c:tx>
            <c:v>Gas Analysis</c:v>
          </c:tx>
          <c:spPr>
            <a:ln w="28575">
              <a:noFill/>
            </a:ln>
          </c:spPr>
          <c:marker>
            <c:symbol val="diamond"/>
            <c:size val="7"/>
            <c:spPr>
              <a:solidFill>
                <a:srgbClr val="800080"/>
              </a:solidFill>
              <a:ln>
                <a:solidFill>
                  <a:srgbClr val="800080"/>
                </a:solidFill>
                <a:prstDash val="solid"/>
              </a:ln>
            </c:spPr>
          </c:marker>
          <c:dLbls>
            <c:dLbl>
              <c:idx val="0"/>
              <c:tx>
                <c:strRef>
                  <c:f>input!$E$11</c:f>
                  <c:strCache>
                    <c:ptCount val="1"/>
                    <c:pt idx="0">
                      <c:v>3</c:v>
                    </c:pt>
                  </c:strCache>
                </c:strRef>
              </c:tx>
              <c:dLblPos val="t"/>
              <c:showLegendKey val="0"/>
              <c:showVal val="0"/>
              <c:showCatName val="0"/>
              <c:showSerName val="0"/>
              <c:showPercent val="0"/>
              <c:showBubbleSize val="0"/>
            </c:dLbl>
            <c:dLbl>
              <c:idx val="1"/>
              <c:tx>
                <c:strRef>
                  <c:f>input!$T$12</c:f>
                  <c:strCache>
                    <c:ptCount val="1"/>
                    <c:pt idx="0">
                      <c:v>5</c:v>
                    </c:pt>
                  </c:strCache>
                </c:strRef>
              </c:tx>
              <c:dLblPos val="t"/>
              <c:showLegendKey val="0"/>
              <c:showVal val="0"/>
              <c:showCatName val="0"/>
              <c:showSerName val="0"/>
              <c:showPercent val="0"/>
              <c:showBubbleSize val="0"/>
            </c:dLbl>
            <c:dLbl>
              <c:idx val="2"/>
              <c:tx>
                <c:strRef>
                  <c:f>input!$T$13</c:f>
                  <c:strCache>
                    <c:ptCount val="1"/>
                    <c:pt idx="0">
                      <c:v>8</c:v>
                    </c:pt>
                  </c:strCache>
                </c:strRef>
              </c:tx>
              <c:dLblPos val="t"/>
              <c:showLegendKey val="0"/>
              <c:showVal val="0"/>
              <c:showCatName val="0"/>
              <c:showSerName val="0"/>
              <c:showPercent val="0"/>
              <c:showBubbleSize val="0"/>
            </c:dLbl>
            <c:dLbl>
              <c:idx val="3"/>
              <c:tx>
                <c:strRef>
                  <c:f>input!$T$14</c:f>
                  <c:strCache>
                    <c:ptCount val="1"/>
                    <c:pt idx="0">
                      <c:v>12</c:v>
                    </c:pt>
                  </c:strCache>
                </c:strRef>
              </c:tx>
              <c:dLblPos val="t"/>
              <c:showLegendKey val="0"/>
              <c:showVal val="0"/>
              <c:showCatName val="0"/>
              <c:showSerName val="0"/>
              <c:showPercent val="0"/>
              <c:showBubbleSize val="0"/>
            </c:dLbl>
            <c:dLbl>
              <c:idx val="4"/>
              <c:tx>
                <c:strRef>
                  <c:f>input!$T$15</c:f>
                  <c:strCache>
                    <c:ptCount val="1"/>
                    <c:pt idx="0">
                      <c:v>15</c:v>
                    </c:pt>
                  </c:strCache>
                </c:strRef>
              </c:tx>
              <c:dLblPos val="t"/>
              <c:showLegendKey val="0"/>
              <c:showVal val="0"/>
              <c:showCatName val="0"/>
              <c:showSerName val="0"/>
              <c:showPercent val="0"/>
              <c:showBubbleSize val="0"/>
            </c:dLbl>
            <c:dLbl>
              <c:idx val="5"/>
              <c:tx>
                <c:strRef>
                  <c:f>input!$T$16</c:f>
                  <c:strCache>
                    <c:ptCount val="1"/>
                    <c:pt idx="0">
                      <c:v>16</c:v>
                    </c:pt>
                  </c:strCache>
                </c:strRef>
              </c:tx>
              <c:dLblPos val="t"/>
              <c:showLegendKey val="0"/>
              <c:showVal val="0"/>
              <c:showCatName val="0"/>
              <c:showSerName val="0"/>
              <c:showPercent val="0"/>
              <c:showBubbleSize val="0"/>
            </c:dLbl>
            <c:dLbl>
              <c:idx val="6"/>
              <c:tx>
                <c:strRef>
                  <c:f>input!$T$17</c:f>
                  <c:strCache>
                    <c:ptCount val="1"/>
                    <c:pt idx="0">
                      <c:v>22</c:v>
                    </c:pt>
                  </c:strCache>
                </c:strRef>
              </c:tx>
              <c:dLblPos val="t"/>
              <c:showLegendKey val="0"/>
              <c:showVal val="0"/>
              <c:showCatName val="0"/>
              <c:showSerName val="0"/>
              <c:showPercent val="0"/>
              <c:showBubbleSize val="0"/>
            </c:dLbl>
            <c:dLbl>
              <c:idx val="7"/>
              <c:tx>
                <c:strRef>
                  <c:f>input!$T$18</c:f>
                  <c:strCache>
                    <c:ptCount val="1"/>
                    <c:pt idx="0">
                      <c:v>23</c:v>
                    </c:pt>
                  </c:strCache>
                </c:strRef>
              </c:tx>
              <c:dLblPos val="t"/>
              <c:showLegendKey val="0"/>
              <c:showVal val="0"/>
              <c:showCatName val="0"/>
              <c:showSerName val="0"/>
              <c:showPercent val="0"/>
              <c:showBubbleSize val="0"/>
            </c:dLbl>
            <c:dLbl>
              <c:idx val="8"/>
              <c:tx>
                <c:strRef>
                  <c:f>input!$T$19</c:f>
                  <c:strCache>
                    <c:ptCount val="1"/>
                    <c:pt idx="0">
                      <c:v>23</c:v>
                    </c:pt>
                  </c:strCache>
                </c:strRef>
              </c:tx>
              <c:dLblPos val="t"/>
              <c:showLegendKey val="0"/>
              <c:showVal val="0"/>
              <c:showCatName val="0"/>
              <c:showSerName val="0"/>
              <c:showPercent val="0"/>
              <c:showBubbleSize val="0"/>
            </c:dLbl>
            <c:dLbl>
              <c:idx val="9"/>
              <c:tx>
                <c:strRef>
                  <c:f>input!$T$20</c:f>
                  <c:strCache>
                    <c:ptCount val="1"/>
                    <c:pt idx="0">
                      <c:v>26</c:v>
                    </c:pt>
                  </c:strCache>
                </c:strRef>
              </c:tx>
              <c:dLblPos val="t"/>
              <c:showLegendKey val="0"/>
              <c:showVal val="0"/>
              <c:showCatName val="0"/>
              <c:showSerName val="0"/>
              <c:showPercent val="0"/>
              <c:showBubbleSize val="0"/>
            </c:dLbl>
            <c:dLbl>
              <c:idx val="10"/>
              <c:tx>
                <c:strRef>
                  <c:f>input!$T$21</c:f>
                  <c:strCache>
                    <c:ptCount val="1"/>
                    <c:pt idx="0">
                      <c:v>LR</c:v>
                    </c:pt>
                  </c:strCache>
                </c:strRef>
              </c:tx>
              <c:dLblPos val="t"/>
              <c:showLegendKey val="0"/>
              <c:showVal val="0"/>
              <c:showCatName val="0"/>
              <c:showSerName val="0"/>
              <c:showPercent val="0"/>
              <c:showBubbleSize val="0"/>
            </c:dLbl>
            <c:dLbl>
              <c:idx val="11"/>
              <c:tx>
                <c:strRef>
                  <c:f>input!$T$22</c:f>
                  <c:strCache>
                    <c:ptCount val="1"/>
                    <c:pt idx="0">
                      <c:v>HP</c:v>
                    </c:pt>
                  </c:strCache>
                </c:strRef>
              </c:tx>
              <c:dLblPos val="t"/>
              <c:showLegendKey val="0"/>
              <c:showVal val="0"/>
              <c:showCatName val="0"/>
              <c:showSerName val="0"/>
              <c:showPercent val="0"/>
              <c:showBubbleSize val="0"/>
            </c:dLbl>
            <c:dLbl>
              <c:idx val="12"/>
              <c:tx>
                <c:strRef>
                  <c:f>input!$T$23</c:f>
                  <c:strCache>
                    <c:ptCount val="1"/>
                    <c:pt idx="0">
                      <c:v>28</c:v>
                    </c:pt>
                  </c:strCache>
                </c:strRef>
              </c:tx>
              <c:dLblPos val="t"/>
              <c:showLegendKey val="0"/>
              <c:showVal val="0"/>
              <c:showCatName val="0"/>
              <c:showSerName val="0"/>
              <c:showPercent val="0"/>
              <c:showBubbleSize val="0"/>
            </c:dLbl>
            <c:dLbl>
              <c:idx val="13"/>
              <c:tx>
                <c:strRef>
                  <c:f>input!$T$24</c:f>
                  <c:strCache>
                    <c:ptCount val="1"/>
                    <c:pt idx="0">
                      <c:v>30</c:v>
                    </c:pt>
                  </c:strCache>
                </c:strRef>
              </c:tx>
              <c:dLblPos val="t"/>
              <c:showLegendKey val="0"/>
              <c:showVal val="0"/>
              <c:showCatName val="0"/>
              <c:showSerName val="0"/>
              <c:showPercent val="0"/>
              <c:showBubbleSize val="0"/>
            </c:dLbl>
            <c:dLbl>
              <c:idx val="14"/>
              <c:tx>
                <c:strRef>
                  <c:f>input!$T$25</c:f>
                  <c:strCache>
                    <c:ptCount val="1"/>
                    <c:pt idx="0">
                      <c:v>36</c:v>
                    </c:pt>
                  </c:strCache>
                </c:strRef>
              </c:tx>
              <c:dLblPos val="t"/>
              <c:showLegendKey val="0"/>
              <c:showVal val="0"/>
              <c:showCatName val="0"/>
              <c:showSerName val="0"/>
              <c:showPercent val="0"/>
              <c:showBubbleSize val="0"/>
            </c:dLbl>
            <c:dLbl>
              <c:idx val="15"/>
              <c:tx>
                <c:strRef>
                  <c:f>input!$T$26</c:f>
                  <c:strCache>
                    <c:ptCount val="1"/>
                    <c:pt idx="0">
                      <c:v>38</c:v>
                    </c:pt>
                  </c:strCache>
                </c:strRef>
              </c:tx>
              <c:dLblPos val="t"/>
              <c:showLegendKey val="0"/>
              <c:showVal val="0"/>
              <c:showCatName val="0"/>
              <c:showSerName val="0"/>
              <c:showPercent val="0"/>
              <c:showBubbleSize val="0"/>
            </c:dLbl>
            <c:dLbl>
              <c:idx val="16"/>
              <c:tx>
                <c:strRef>
                  <c:f>input!$T$27</c:f>
                  <c:strCache>
                    <c:ptCount val="1"/>
                    <c:pt idx="0">
                      <c:v>40</c:v>
                    </c:pt>
                  </c:strCache>
                </c:strRef>
              </c:tx>
              <c:dLblPos val="t"/>
              <c:showLegendKey val="0"/>
              <c:showVal val="0"/>
              <c:showCatName val="0"/>
              <c:showSerName val="0"/>
              <c:showPercent val="0"/>
              <c:showBubbleSize val="0"/>
            </c:dLbl>
            <c:dLbl>
              <c:idx val="17"/>
              <c:tx>
                <c:strRef>
                  <c:f>input!$T$28</c:f>
                  <c:strCache>
                    <c:ptCount val="1"/>
                    <c:pt idx="0">
                      <c:v>41</c:v>
                    </c:pt>
                  </c:strCache>
                </c:strRef>
              </c:tx>
              <c:dLblPos val="t"/>
              <c:showLegendKey val="0"/>
              <c:showVal val="0"/>
              <c:showCatName val="0"/>
              <c:showSerName val="0"/>
              <c:showPercent val="0"/>
              <c:showBubbleSize val="0"/>
            </c:dLbl>
            <c:dLbl>
              <c:idx val="18"/>
              <c:tx>
                <c:strRef>
                  <c:f>input!$T$29</c:f>
                  <c:strCache>
                    <c:ptCount val="1"/>
                    <c:pt idx="0">
                      <c:v>42</c:v>
                    </c:pt>
                  </c:strCache>
                </c:strRef>
              </c:tx>
              <c:dLblPos val="t"/>
              <c:showLegendKey val="0"/>
              <c:showVal val="0"/>
              <c:showCatName val="0"/>
              <c:showSerName val="0"/>
              <c:showPercent val="0"/>
              <c:showBubbleSize val="0"/>
            </c:dLbl>
            <c:dLbl>
              <c:idx val="19"/>
              <c:tx>
                <c:strRef>
                  <c:f>input!$T$30</c:f>
                  <c:strCache>
                    <c:ptCount val="1"/>
                    <c:pt idx="0">
                      <c:v>43</c:v>
                    </c:pt>
                  </c:strCache>
                </c:strRef>
              </c:tx>
              <c:dLblPos val="t"/>
              <c:showLegendKey val="0"/>
              <c:showVal val="0"/>
              <c:showCatName val="0"/>
              <c:showSerName val="0"/>
              <c:showPercent val="0"/>
              <c:showBubbleSize val="0"/>
            </c:dLbl>
            <c:dLbl>
              <c:idx val="20"/>
              <c:tx>
                <c:strRef>
                  <c:f>input!$T$31</c:f>
                  <c:strCache>
                    <c:ptCount val="1"/>
                    <c:pt idx="0">
                      <c:v>44</c:v>
                    </c:pt>
                  </c:strCache>
                </c:strRef>
              </c:tx>
              <c:dLblPos val="t"/>
              <c:showLegendKey val="0"/>
              <c:showVal val="0"/>
              <c:showCatName val="0"/>
              <c:showSerName val="0"/>
              <c:showPercent val="0"/>
              <c:showBubbleSize val="0"/>
            </c:dLbl>
            <c:dLbl>
              <c:idx val="21"/>
              <c:tx>
                <c:strRef>
                  <c:f>input!$T$32</c:f>
                  <c:strCache>
                    <c:ptCount val="1"/>
                  </c:strCache>
                </c:strRef>
              </c:tx>
              <c:dLblPos val="t"/>
              <c:showLegendKey val="0"/>
              <c:showVal val="0"/>
              <c:showCatName val="0"/>
              <c:showSerName val="0"/>
              <c:showPercent val="0"/>
              <c:showBubbleSize val="0"/>
            </c:dLbl>
            <c:dLbl>
              <c:idx val="22"/>
              <c:tx>
                <c:strRef>
                  <c:f>input!$T$33</c:f>
                  <c:strCache>
                    <c:ptCount val="1"/>
                  </c:strCache>
                </c:strRef>
              </c:tx>
              <c:dLblPos val="t"/>
              <c:showLegendKey val="0"/>
              <c:showVal val="0"/>
              <c:showCatName val="0"/>
              <c:showSerName val="0"/>
              <c:showPercent val="0"/>
              <c:showBubbleSize val="0"/>
            </c:dLbl>
            <c:dLbl>
              <c:idx val="23"/>
              <c:tx>
                <c:strRef>
                  <c:f>input!$T$34</c:f>
                  <c:strCache>
                    <c:ptCount val="1"/>
                  </c:strCache>
                </c:strRef>
              </c:tx>
              <c:dLblPos val="t"/>
              <c:showLegendKey val="0"/>
              <c:showVal val="0"/>
              <c:showCatName val="0"/>
              <c:showSerName val="0"/>
              <c:showPercent val="0"/>
              <c:showBubbleSize val="0"/>
            </c:dLbl>
            <c:dLbl>
              <c:idx val="24"/>
              <c:tx>
                <c:strRef>
                  <c:f>input!$T$35</c:f>
                  <c:strCache>
                    <c:ptCount val="1"/>
                  </c:strCache>
                </c:strRef>
              </c:tx>
              <c:dLblPos val="t"/>
              <c:showLegendKey val="0"/>
              <c:showVal val="0"/>
              <c:showCatName val="0"/>
              <c:showSerName val="0"/>
              <c:showPercent val="0"/>
              <c:showBubbleSize val="0"/>
            </c:dLbl>
            <c:dLbl>
              <c:idx val="25"/>
              <c:tx>
                <c:strRef>
                  <c:f>input!$T$36</c:f>
                  <c:strCache>
                    <c:ptCount val="1"/>
                  </c:strCache>
                </c:strRef>
              </c:tx>
              <c:dLblPos val="t"/>
              <c:showLegendKey val="0"/>
              <c:showVal val="0"/>
              <c:showCatName val="0"/>
              <c:showSerName val="0"/>
              <c:showPercent val="0"/>
              <c:showBubbleSize val="0"/>
            </c:dLbl>
            <c:dLbl>
              <c:idx val="26"/>
              <c:tx>
                <c:strRef>
                  <c:f>input!$T$37</c:f>
                  <c:strCache>
                    <c:ptCount val="1"/>
                  </c:strCache>
                </c:strRef>
              </c:tx>
              <c:dLblPos val="t"/>
              <c:showLegendKey val="0"/>
              <c:showVal val="0"/>
              <c:showCatName val="0"/>
              <c:showSerName val="0"/>
              <c:showPercent val="0"/>
              <c:showBubbleSize val="0"/>
            </c:dLbl>
            <c:dLbl>
              <c:idx val="27"/>
              <c:tx>
                <c:strRef>
                  <c:f>input!$T$38</c:f>
                  <c:strCache>
                    <c:ptCount val="1"/>
                  </c:strCache>
                </c:strRef>
              </c:tx>
              <c:dLblPos val="t"/>
              <c:showLegendKey val="0"/>
              <c:showVal val="0"/>
              <c:showCatName val="0"/>
              <c:showSerName val="0"/>
              <c:showPercent val="0"/>
              <c:showBubbleSize val="0"/>
            </c:dLbl>
            <c:dLbl>
              <c:idx val="28"/>
              <c:tx>
                <c:strRef>
                  <c:f>input!$T$39</c:f>
                  <c:strCache>
                    <c:ptCount val="1"/>
                  </c:strCache>
                </c:strRef>
              </c:tx>
              <c:dLblPos val="t"/>
              <c:showLegendKey val="0"/>
              <c:showVal val="0"/>
              <c:showCatName val="0"/>
              <c:showSerName val="0"/>
              <c:showPercent val="0"/>
              <c:showBubbleSize val="0"/>
            </c:dLbl>
            <c:dLbl>
              <c:idx val="29"/>
              <c:tx>
                <c:strRef>
                  <c:f>input!$T$40</c:f>
                  <c:strCache>
                    <c:ptCount val="1"/>
                  </c:strCache>
                </c:strRef>
              </c:tx>
              <c:dLblPos val="t"/>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xVal>
            <c:numRef>
              <c:f>input!$BY$11:$BY$40</c:f>
              <c:numCache>
                <c:formatCode>0.000</c:formatCode>
                <c:ptCount val="30"/>
                <c:pt idx="0">
                  <c:v>0.952906922599338</c:v>
                </c:pt>
                <c:pt idx="1">
                  <c:v>0.82449255441008</c:v>
                </c:pt>
                <c:pt idx="2">
                  <c:v>0.796761978361669</c:v>
                </c:pt>
                <c:pt idx="3">
                  <c:v>0.858474587726413</c:v>
                </c:pt>
                <c:pt idx="4">
                  <c:v>0.814356191095223</c:v>
                </c:pt>
                <c:pt idx="5">
                  <c:v>0.855567123891368</c:v>
                </c:pt>
                <c:pt idx="6">
                  <c:v>0.87042682329907</c:v>
                </c:pt>
                <c:pt idx="7">
                  <c:v>0.665606060606061</c:v>
                </c:pt>
                <c:pt idx="8">
                  <c:v>0.837205961331901</c:v>
                </c:pt>
                <c:pt idx="9">
                  <c:v>0.507643610785463</c:v>
                </c:pt>
                <c:pt idx="10">
                  <c:v>0.895530054644809</c:v>
                </c:pt>
                <c:pt idx="11">
                  <c:v>0.982585693849412</c:v>
                </c:pt>
                <c:pt idx="12">
                  <c:v>0.834121699196326</c:v>
                </c:pt>
                <c:pt idx="13">
                  <c:v>0.908580433412307</c:v>
                </c:pt>
                <c:pt idx="14">
                  <c:v>0.890385242741481</c:v>
                </c:pt>
                <c:pt idx="15">
                  <c:v>0.884182052382997</c:v>
                </c:pt>
                <c:pt idx="16">
                  <c:v>0.920394616490265</c:v>
                </c:pt>
                <c:pt idx="17">
                  <c:v>0.916477712018063</c:v>
                </c:pt>
                <c:pt idx="18">
                  <c:v>0.894331760678051</c:v>
                </c:pt>
                <c:pt idx="19">
                  <c:v>0.853191170968949</c:v>
                </c:pt>
                <c:pt idx="20">
                  <c:v>0.245354107648725</c:v>
                </c:pt>
                <c:pt idx="21">
                  <c:v>0.0</c:v>
                </c:pt>
                <c:pt idx="22">
                  <c:v>0.0</c:v>
                </c:pt>
                <c:pt idx="23">
                  <c:v>0.0</c:v>
                </c:pt>
                <c:pt idx="24">
                  <c:v>0.0</c:v>
                </c:pt>
                <c:pt idx="25">
                  <c:v>0.0</c:v>
                </c:pt>
                <c:pt idx="26">
                  <c:v>0.0</c:v>
                </c:pt>
                <c:pt idx="27">
                  <c:v>0.0</c:v>
                </c:pt>
                <c:pt idx="28">
                  <c:v>0.0</c:v>
                </c:pt>
                <c:pt idx="29">
                  <c:v>0.0</c:v>
                </c:pt>
              </c:numCache>
            </c:numRef>
          </c:xVal>
          <c:yVal>
            <c:numRef>
              <c:f>input!$BZ$11:$BZ$40</c:f>
              <c:numCache>
                <c:formatCode>0.000</c:formatCode>
                <c:ptCount val="30"/>
                <c:pt idx="0">
                  <c:v>0.33112582781457</c:v>
                </c:pt>
                <c:pt idx="1">
                  <c:v>0.435280641466208</c:v>
                </c:pt>
                <c:pt idx="2">
                  <c:v>0.430558622212409</c:v>
                </c:pt>
                <c:pt idx="3">
                  <c:v>0.391997837253312</c:v>
                </c:pt>
                <c:pt idx="4">
                  <c:v>0.48748781280468</c:v>
                </c:pt>
                <c:pt idx="5">
                  <c:v>0.435189775794634</c:v>
                </c:pt>
                <c:pt idx="6">
                  <c:v>0.430739109153206</c:v>
                </c:pt>
                <c:pt idx="7">
                  <c:v>0.36231884057971</c:v>
                </c:pt>
                <c:pt idx="8">
                  <c:v>0.349087003222342</c:v>
                </c:pt>
                <c:pt idx="9">
                  <c:v>0.175849941383353</c:v>
                </c:pt>
                <c:pt idx="10">
                  <c:v>0.37410676754939</c:v>
                </c:pt>
                <c:pt idx="11">
                  <c:v>0.297197691912452</c:v>
                </c:pt>
                <c:pt idx="12">
                  <c:v>0.487944890929966</c:v>
                </c:pt>
                <c:pt idx="13">
                  <c:v>0.399939139696133</c:v>
                </c:pt>
                <c:pt idx="14">
                  <c:v>0.415196180195142</c:v>
                </c:pt>
                <c:pt idx="15">
                  <c:v>0.38643194504079</c:v>
                </c:pt>
                <c:pt idx="16">
                  <c:v>0.287468966418398</c:v>
                </c:pt>
                <c:pt idx="17">
                  <c:v>0.35578666484212</c:v>
                </c:pt>
                <c:pt idx="18">
                  <c:v>0.379942382363993</c:v>
                </c:pt>
                <c:pt idx="19">
                  <c:v>0.355405910961466</c:v>
                </c:pt>
                <c:pt idx="20">
                  <c:v>0.424929178470255</c:v>
                </c:pt>
                <c:pt idx="21">
                  <c:v>-99.0</c:v>
                </c:pt>
                <c:pt idx="22">
                  <c:v>-99.0</c:v>
                </c:pt>
                <c:pt idx="23">
                  <c:v>-99.0</c:v>
                </c:pt>
                <c:pt idx="24">
                  <c:v>-99.0</c:v>
                </c:pt>
                <c:pt idx="25">
                  <c:v>-99.0</c:v>
                </c:pt>
                <c:pt idx="26">
                  <c:v>-99.0</c:v>
                </c:pt>
                <c:pt idx="27">
                  <c:v>-99.0</c:v>
                </c:pt>
                <c:pt idx="28">
                  <c:v>-99.0</c:v>
                </c:pt>
                <c:pt idx="29">
                  <c:v>-99.0</c:v>
                </c:pt>
              </c:numCache>
            </c:numRef>
          </c:yVal>
          <c:smooth val="0"/>
        </c:ser>
        <c:ser>
          <c:idx val="7"/>
          <c:order val="7"/>
          <c:tx>
            <c:v>CO2/N2</c:v>
          </c:tx>
          <c:spPr>
            <a:ln w="25400">
              <a:solidFill>
                <a:srgbClr val="424242"/>
              </a:solidFill>
              <a:prstDash val="solid"/>
            </a:ln>
          </c:spPr>
          <c:marker>
            <c:symbol val="none"/>
          </c:marker>
          <c:dLbls>
            <c:dLbl>
              <c:idx val="1"/>
              <c:tx>
                <c:rich>
                  <a:bodyPr/>
                  <a:lstStyle/>
                  <a:p>
                    <a:pPr>
                      <a:defRPr sz="1200" b="1" i="0" u="none" strike="noStrike" baseline="0">
                        <a:solidFill>
                          <a:srgbClr val="424242"/>
                        </a:solidFill>
                        <a:latin typeface="Arial"/>
                        <a:ea typeface="Arial"/>
                        <a:cs typeface="Arial"/>
                      </a:defRPr>
                    </a:pPr>
                    <a:r>
                      <a:t>CO2/N2 = 200
(White Island)</a:t>
                    </a:r>
                  </a:p>
                </c:rich>
              </c:tx>
              <c:spPr>
                <a:noFill/>
                <a:ln w="25400">
                  <a:noFill/>
                </a:ln>
              </c:spPr>
              <c:dLblPos val="l"/>
              <c:showLegendKey val="0"/>
              <c:showVal val="0"/>
              <c:showCatName val="0"/>
              <c:showSerName val="0"/>
              <c:showPercent val="0"/>
              <c:showBubbleSize val="0"/>
            </c:dLbl>
            <c:showLegendKey val="0"/>
            <c:showVal val="0"/>
            <c:showCatName val="0"/>
            <c:showSerName val="0"/>
            <c:showPercent val="0"/>
            <c:showBubbleSize val="0"/>
          </c:dLbls>
          <c:xVal>
            <c:numRef>
              <c:f>Ref!$E$9:$E$10</c:f>
              <c:numCache>
                <c:formatCode>0.000</c:formatCode>
                <c:ptCount val="2"/>
                <c:pt idx="0">
                  <c:v>1.1547</c:v>
                </c:pt>
                <c:pt idx="1">
                  <c:v>0.192466666666667</c:v>
                </c:pt>
              </c:numCache>
            </c:numRef>
          </c:xVal>
          <c:yVal>
            <c:numRef>
              <c:f>Ref!$F$9:$F$10</c:f>
              <c:numCache>
                <c:formatCode>0.000</c:formatCode>
                <c:ptCount val="2"/>
                <c:pt idx="0">
                  <c:v>0.0</c:v>
                </c:pt>
                <c:pt idx="1">
                  <c:v>0.333333333333333</c:v>
                </c:pt>
              </c:numCache>
            </c:numRef>
          </c:yVal>
          <c:smooth val="0"/>
        </c:ser>
        <c:dLbls>
          <c:showLegendKey val="0"/>
          <c:showVal val="0"/>
          <c:showCatName val="0"/>
          <c:showSerName val="0"/>
          <c:showPercent val="0"/>
          <c:showBubbleSize val="0"/>
        </c:dLbls>
        <c:axId val="2098879576"/>
        <c:axId val="2098882632"/>
      </c:scatterChart>
      <c:valAx>
        <c:axId val="2098879576"/>
        <c:scaling>
          <c:orientation val="minMax"/>
          <c:max val="1.4"/>
          <c:min val="-0.2"/>
        </c:scaling>
        <c:delete val="1"/>
        <c:axPos val="b"/>
        <c:numFmt formatCode="General" sourceLinked="1"/>
        <c:majorTickMark val="out"/>
        <c:minorTickMark val="none"/>
        <c:tickLblPos val="none"/>
        <c:crossAx val="2098882632"/>
        <c:crosses val="autoZero"/>
        <c:crossBetween val="midCat"/>
      </c:valAx>
      <c:valAx>
        <c:axId val="2098882632"/>
        <c:scaling>
          <c:orientation val="minMax"/>
          <c:max val="1.2"/>
          <c:min val="-0.2"/>
        </c:scaling>
        <c:delete val="1"/>
        <c:axPos val="l"/>
        <c:numFmt formatCode="_(* #,##0.00_);_(* \(#,##0.00\);_(* &quot;-&quot;??_);_(@_)" sourceLinked="1"/>
        <c:majorTickMark val="out"/>
        <c:minorTickMark val="none"/>
        <c:tickLblPos val="none"/>
        <c:crossAx val="2098879576"/>
        <c:crosses val="autoZero"/>
        <c:crossBetween val="midCat"/>
      </c:val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0115658362989324"/>
          <c:y val="0.0204081632653061"/>
          <c:w val="0.928825622775801"/>
          <c:h val="0.963718820861678"/>
        </c:manualLayout>
      </c:layout>
      <c:scatterChart>
        <c:scatterStyle val="lineMarker"/>
        <c:varyColors val="0"/>
        <c:ser>
          <c:idx val="1"/>
          <c:order val="0"/>
          <c:tx>
            <c:v>A grid</c:v>
          </c:tx>
          <c:spPr>
            <a:ln w="3175">
              <a:solidFill>
                <a:srgbClr val="C0C0C0"/>
              </a:solidFill>
              <a:prstDash val="sysDash"/>
            </a:ln>
          </c:spPr>
          <c:marker>
            <c:symbol val="none"/>
          </c:marker>
          <c:dLbls>
            <c:dLbl>
              <c:idx val="0"/>
              <c:tx>
                <c:rich>
                  <a:bodyPr/>
                  <a:lstStyle/>
                  <a:p>
                    <a:r>
                      <a:t>10%</a:t>
                    </a:r>
                  </a:p>
                </c:rich>
              </c:tx>
              <c:dLblPos val="l"/>
              <c:showLegendKey val="0"/>
              <c:showVal val="0"/>
              <c:showCatName val="0"/>
              <c:showSerName val="0"/>
              <c:showPercent val="0"/>
              <c:showBubbleSize val="0"/>
            </c:dLbl>
            <c:dLbl>
              <c:idx val="1"/>
              <c:delete val="1"/>
            </c:dLbl>
            <c:dLbl>
              <c:idx val="2"/>
              <c:delete val="1"/>
            </c:dLbl>
            <c:dLbl>
              <c:idx val="3"/>
              <c:tx>
                <c:rich>
                  <a:bodyPr/>
                  <a:lstStyle/>
                  <a:p>
                    <a:r>
                      <a:t>20%</a:t>
                    </a:r>
                  </a:p>
                </c:rich>
              </c:tx>
              <c:dLblPos val="l"/>
              <c:showLegendKey val="0"/>
              <c:showVal val="0"/>
              <c:showCatName val="0"/>
              <c:showSerName val="0"/>
              <c:showPercent val="0"/>
              <c:showBubbleSize val="0"/>
            </c:dLbl>
            <c:dLbl>
              <c:idx val="4"/>
              <c:tx>
                <c:rich>
                  <a:bodyPr/>
                  <a:lstStyle/>
                  <a:p>
                    <a:r>
                      <a:t>30%</a:t>
                    </a:r>
                  </a:p>
                </c:rich>
              </c:tx>
              <c:dLblPos val="l"/>
              <c:showLegendKey val="0"/>
              <c:showVal val="0"/>
              <c:showCatName val="0"/>
              <c:showSerName val="0"/>
              <c:showPercent val="0"/>
              <c:showBubbleSize val="0"/>
            </c:dLbl>
            <c:dLbl>
              <c:idx val="5"/>
              <c:delete val="1"/>
            </c:dLbl>
            <c:dLbl>
              <c:idx val="6"/>
              <c:delete val="1"/>
            </c:dLbl>
            <c:dLbl>
              <c:idx val="7"/>
              <c:tx>
                <c:rich>
                  <a:bodyPr/>
                  <a:lstStyle/>
                  <a:p>
                    <a:r>
                      <a:t>40%</a:t>
                    </a:r>
                  </a:p>
                </c:rich>
              </c:tx>
              <c:dLblPos val="l"/>
              <c:showLegendKey val="0"/>
              <c:showVal val="0"/>
              <c:showCatName val="0"/>
              <c:showSerName val="0"/>
              <c:showPercent val="0"/>
              <c:showBubbleSize val="0"/>
            </c:dLbl>
            <c:dLbl>
              <c:idx val="8"/>
              <c:tx>
                <c:rich>
                  <a:bodyPr/>
                  <a:lstStyle/>
                  <a:p>
                    <a:r>
                      <a:t>50%</a:t>
                    </a:r>
                  </a:p>
                </c:rich>
              </c:tx>
              <c:dLblPos val="l"/>
              <c:showLegendKey val="0"/>
              <c:showVal val="0"/>
              <c:showCatName val="0"/>
              <c:showSerName val="0"/>
              <c:showPercent val="0"/>
              <c:showBubbleSize val="0"/>
            </c:dLbl>
            <c:dLbl>
              <c:idx val="9"/>
              <c:delete val="1"/>
            </c:dLbl>
            <c:dLbl>
              <c:idx val="10"/>
              <c:delete val="1"/>
            </c:dLbl>
            <c:dLbl>
              <c:idx val="11"/>
              <c:tx>
                <c:rich>
                  <a:bodyPr/>
                  <a:lstStyle/>
                  <a:p>
                    <a:r>
                      <a:t>60%</a:t>
                    </a:r>
                  </a:p>
                </c:rich>
              </c:tx>
              <c:dLblPos val="l"/>
              <c:showLegendKey val="0"/>
              <c:showVal val="0"/>
              <c:showCatName val="0"/>
              <c:showSerName val="0"/>
              <c:showPercent val="0"/>
              <c:showBubbleSize val="0"/>
            </c:dLbl>
            <c:dLbl>
              <c:idx val="12"/>
              <c:tx>
                <c:rich>
                  <a:bodyPr/>
                  <a:lstStyle/>
                  <a:p>
                    <a:r>
                      <a:t>70%</a:t>
                    </a:r>
                  </a:p>
                </c:rich>
              </c:tx>
              <c:dLblPos val="l"/>
              <c:showLegendKey val="0"/>
              <c:showVal val="0"/>
              <c:showCatName val="0"/>
              <c:showSerName val="0"/>
              <c:showPercent val="0"/>
              <c:showBubbleSize val="0"/>
            </c:dLbl>
            <c:dLbl>
              <c:idx val="13"/>
              <c:delete val="1"/>
            </c:dLbl>
            <c:dLbl>
              <c:idx val="14"/>
              <c:delete val="1"/>
            </c:dLbl>
            <c:dLbl>
              <c:idx val="15"/>
              <c:tx>
                <c:rich>
                  <a:bodyPr/>
                  <a:lstStyle/>
                  <a:p>
                    <a:r>
                      <a:t>80%</a:t>
                    </a:r>
                  </a:p>
                </c:rich>
              </c:tx>
              <c:dLblPos val="l"/>
              <c:showLegendKey val="0"/>
              <c:showVal val="0"/>
              <c:showCatName val="0"/>
              <c:showSerName val="0"/>
              <c:showPercent val="0"/>
              <c:showBubbleSize val="0"/>
            </c:dLbl>
            <c:dLbl>
              <c:idx val="16"/>
              <c:tx>
                <c:rich>
                  <a:bodyPr/>
                  <a:lstStyle/>
                  <a:p>
                    <a:r>
                      <a:t>90%</a:t>
                    </a:r>
                  </a:p>
                </c:rich>
              </c:tx>
              <c:dLblPos val="l"/>
              <c:showLegendKey val="0"/>
              <c:showVal val="0"/>
              <c:showCatName val="0"/>
              <c:showSerName val="0"/>
              <c:showPercent val="0"/>
              <c:showBubbleSize val="0"/>
            </c:dLbl>
            <c:dLbl>
              <c:idx val="17"/>
              <c:delete val="1"/>
            </c:dLbl>
            <c:spPr>
              <a:noFill/>
              <a:ln w="25400">
                <a:noFill/>
              </a:ln>
            </c:spPr>
            <c:txPr>
              <a:bodyPr/>
              <a:lstStyle/>
              <a:p>
                <a:pPr>
                  <a:defRPr sz="1500" b="0" i="0" u="none" strike="noStrike" baseline="0">
                    <a:solidFill>
                      <a:srgbClr val="C0C0C0"/>
                    </a:solidFill>
                    <a:latin typeface="Arial"/>
                    <a:ea typeface="Arial"/>
                    <a:cs typeface="Arial"/>
                  </a:defRPr>
                </a:pPr>
                <a:endParaRPr lang="en-US"/>
              </a:p>
            </c:txPr>
            <c:dLblPos val="l"/>
            <c:showLegendKey val="0"/>
            <c:showVal val="1"/>
            <c:showCatName val="0"/>
            <c:showSerName val="0"/>
            <c:showPercent val="0"/>
            <c:showBubbleSize val="0"/>
            <c:showLeaderLines val="0"/>
          </c:dLbls>
          <c:xVal>
            <c:numRef>
              <c:f>Tgrid!$F$5:$F$22</c:f>
              <c:numCache>
                <c:formatCode>General</c:formatCode>
                <c:ptCount val="18"/>
                <c:pt idx="0">
                  <c:v>0.05774</c:v>
                </c:pt>
                <c:pt idx="1">
                  <c:v>1.09697</c:v>
                </c:pt>
                <c:pt idx="2">
                  <c:v>1.03924</c:v>
                </c:pt>
                <c:pt idx="3">
                  <c:v>0.11548</c:v>
                </c:pt>
                <c:pt idx="4">
                  <c:v>0.17322</c:v>
                </c:pt>
                <c:pt idx="5">
                  <c:v>0.98151</c:v>
                </c:pt>
                <c:pt idx="6">
                  <c:v>0.92378</c:v>
                </c:pt>
                <c:pt idx="7">
                  <c:v>0.23096</c:v>
                </c:pt>
                <c:pt idx="8">
                  <c:v>0.2887</c:v>
                </c:pt>
                <c:pt idx="9">
                  <c:v>0.86605</c:v>
                </c:pt>
                <c:pt idx="10">
                  <c:v>0.80832</c:v>
                </c:pt>
                <c:pt idx="11">
                  <c:v>0.34644</c:v>
                </c:pt>
                <c:pt idx="12">
                  <c:v>0.40418</c:v>
                </c:pt>
                <c:pt idx="13">
                  <c:v>0.75059</c:v>
                </c:pt>
                <c:pt idx="14">
                  <c:v>0.69286</c:v>
                </c:pt>
                <c:pt idx="15">
                  <c:v>0.46192</c:v>
                </c:pt>
                <c:pt idx="16">
                  <c:v>0.51966</c:v>
                </c:pt>
                <c:pt idx="17">
                  <c:v>0.63513</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mooth val="0"/>
        </c:ser>
        <c:ser>
          <c:idx val="2"/>
          <c:order val="1"/>
          <c:tx>
            <c:v>B grid</c:v>
          </c:tx>
          <c:spPr>
            <a:ln w="3175">
              <a:solidFill>
                <a:srgbClr val="C0C0C0"/>
              </a:solidFill>
              <a:prstDash val="sysDash"/>
            </a:ln>
          </c:spPr>
          <c:marker>
            <c:symbol val="none"/>
          </c:marker>
          <c:dLbls>
            <c:dLbl>
              <c:idx val="0"/>
              <c:layout>
                <c:manualLayout>
                  <c:xMode val="edge"/>
                  <c:yMode val="edge"/>
                  <c:x val="0.181494661921708"/>
                  <c:y val="0.843537414965987"/>
                </c:manualLayout>
              </c:layout>
              <c:tx>
                <c:rich>
                  <a:bodyPr/>
                  <a:lstStyle/>
                  <a:p>
                    <a:r>
                      <a:t>90%</a:t>
                    </a:r>
                  </a:p>
                </c:rich>
              </c:tx>
              <c:dLblPos val="r"/>
              <c:showLegendKey val="0"/>
              <c:showVal val="0"/>
              <c:showCatName val="0"/>
              <c:showSerName val="0"/>
              <c:showPercent val="0"/>
              <c:showBubbleSize val="0"/>
            </c:dLbl>
            <c:dLbl>
              <c:idx val="1"/>
              <c:delete val="1"/>
            </c:dLbl>
            <c:dLbl>
              <c:idx val="2"/>
              <c:delete val="1"/>
            </c:dLbl>
            <c:dLbl>
              <c:idx val="3"/>
              <c:layout>
                <c:manualLayout>
                  <c:xMode val="edge"/>
                  <c:yMode val="edge"/>
                  <c:x val="0.245551601423487"/>
                  <c:y val="0.840136054421769"/>
                </c:manualLayout>
              </c:layout>
              <c:tx>
                <c:rich>
                  <a:bodyPr/>
                  <a:lstStyle/>
                  <a:p>
                    <a:r>
                      <a:t>80%</a:t>
                    </a:r>
                  </a:p>
                </c:rich>
              </c:tx>
              <c:dLblPos val="r"/>
              <c:showLegendKey val="0"/>
              <c:showVal val="0"/>
              <c:showCatName val="0"/>
              <c:showSerName val="0"/>
              <c:showPercent val="0"/>
              <c:showBubbleSize val="0"/>
            </c:dLbl>
            <c:dLbl>
              <c:idx val="4"/>
              <c:layout>
                <c:manualLayout>
                  <c:xMode val="edge"/>
                  <c:yMode val="edge"/>
                  <c:x val="0.317615658362989"/>
                  <c:y val="0.843537414965987"/>
                </c:manualLayout>
              </c:layout>
              <c:tx>
                <c:rich>
                  <a:bodyPr/>
                  <a:lstStyle/>
                  <a:p>
                    <a:r>
                      <a:t>70%</a:t>
                    </a:r>
                  </a:p>
                </c:rich>
              </c:tx>
              <c:dLblPos val="r"/>
              <c:showLegendKey val="0"/>
              <c:showVal val="0"/>
              <c:showCatName val="0"/>
              <c:showSerName val="0"/>
              <c:showPercent val="0"/>
              <c:showBubbleSize val="0"/>
            </c:dLbl>
            <c:dLbl>
              <c:idx val="5"/>
              <c:delete val="1"/>
            </c:dLbl>
            <c:dLbl>
              <c:idx val="6"/>
              <c:delete val="1"/>
            </c:dLbl>
            <c:dLbl>
              <c:idx val="7"/>
              <c:layout>
                <c:manualLayout>
                  <c:xMode val="edge"/>
                  <c:yMode val="edge"/>
                  <c:x val="0.382562277580071"/>
                  <c:y val="0.843537414965987"/>
                </c:manualLayout>
              </c:layout>
              <c:tx>
                <c:rich>
                  <a:bodyPr/>
                  <a:lstStyle/>
                  <a:p>
                    <a:r>
                      <a:t>60%</a:t>
                    </a:r>
                  </a:p>
                </c:rich>
              </c:tx>
              <c:dLblPos val="r"/>
              <c:showLegendKey val="0"/>
              <c:showVal val="0"/>
              <c:showCatName val="0"/>
              <c:showSerName val="0"/>
              <c:showPercent val="0"/>
              <c:showBubbleSize val="0"/>
            </c:dLbl>
            <c:dLbl>
              <c:idx val="8"/>
              <c:layout>
                <c:manualLayout>
                  <c:xMode val="edge"/>
                  <c:yMode val="edge"/>
                  <c:x val="0.449288256227758"/>
                  <c:y val="0.843537414965987"/>
                </c:manualLayout>
              </c:layout>
              <c:tx>
                <c:rich>
                  <a:bodyPr/>
                  <a:lstStyle/>
                  <a:p>
                    <a:r>
                      <a:t>50%</a:t>
                    </a:r>
                  </a:p>
                </c:rich>
              </c:tx>
              <c:dLblPos val="r"/>
              <c:showLegendKey val="0"/>
              <c:showVal val="0"/>
              <c:showCatName val="0"/>
              <c:showSerName val="0"/>
              <c:showPercent val="0"/>
              <c:showBubbleSize val="0"/>
            </c:dLbl>
            <c:dLbl>
              <c:idx val="9"/>
              <c:delete val="1"/>
            </c:dLbl>
            <c:dLbl>
              <c:idx val="10"/>
              <c:delete val="1"/>
            </c:dLbl>
            <c:dLbl>
              <c:idx val="11"/>
              <c:layout>
                <c:manualLayout>
                  <c:xMode val="edge"/>
                  <c:yMode val="edge"/>
                  <c:x val="0.518683274021352"/>
                  <c:y val="0.843537414965987"/>
                </c:manualLayout>
              </c:layout>
              <c:tx>
                <c:rich>
                  <a:bodyPr/>
                  <a:lstStyle/>
                  <a:p>
                    <a:r>
                      <a:t>40%</a:t>
                    </a:r>
                  </a:p>
                </c:rich>
              </c:tx>
              <c:dLblPos val="r"/>
              <c:showLegendKey val="0"/>
              <c:showVal val="0"/>
              <c:showCatName val="0"/>
              <c:showSerName val="0"/>
              <c:showPercent val="0"/>
              <c:showBubbleSize val="0"/>
            </c:dLbl>
            <c:dLbl>
              <c:idx val="12"/>
              <c:layout>
                <c:manualLayout>
                  <c:xMode val="edge"/>
                  <c:yMode val="edge"/>
                  <c:x val="0.585409252669039"/>
                  <c:y val="0.843537414965987"/>
                </c:manualLayout>
              </c:layout>
              <c:tx>
                <c:rich>
                  <a:bodyPr/>
                  <a:lstStyle/>
                  <a:p>
                    <a:r>
                      <a:t>30%</a:t>
                    </a:r>
                  </a:p>
                </c:rich>
              </c:tx>
              <c:dLblPos val="r"/>
              <c:showLegendKey val="0"/>
              <c:showVal val="0"/>
              <c:showCatName val="0"/>
              <c:showSerName val="0"/>
              <c:showPercent val="0"/>
              <c:showBubbleSize val="0"/>
            </c:dLbl>
            <c:dLbl>
              <c:idx val="13"/>
              <c:delete val="1"/>
            </c:dLbl>
            <c:dLbl>
              <c:idx val="14"/>
              <c:delete val="1"/>
            </c:dLbl>
            <c:dLbl>
              <c:idx val="15"/>
              <c:layout>
                <c:manualLayout>
                  <c:xMode val="edge"/>
                  <c:yMode val="edge"/>
                  <c:x val="0.654804270462633"/>
                  <c:y val="0.840136054421769"/>
                </c:manualLayout>
              </c:layout>
              <c:tx>
                <c:rich>
                  <a:bodyPr/>
                  <a:lstStyle/>
                  <a:p>
                    <a:r>
                      <a:t>20%</a:t>
                    </a:r>
                  </a:p>
                </c:rich>
              </c:tx>
              <c:dLblPos val="r"/>
              <c:showLegendKey val="0"/>
              <c:showVal val="0"/>
              <c:showCatName val="0"/>
              <c:showSerName val="0"/>
              <c:showPercent val="0"/>
              <c:showBubbleSize val="0"/>
            </c:dLbl>
            <c:dLbl>
              <c:idx val="16"/>
              <c:layout>
                <c:manualLayout>
                  <c:xMode val="edge"/>
                  <c:yMode val="edge"/>
                  <c:x val="0.71797153024911"/>
                  <c:y val="0.840136054421769"/>
                </c:manualLayout>
              </c:layout>
              <c:tx>
                <c:rich>
                  <a:bodyPr/>
                  <a:lstStyle/>
                  <a:p>
                    <a:r>
                      <a:t>10%</a:t>
                    </a:r>
                  </a:p>
                </c:rich>
              </c:tx>
              <c:dLblPos val="r"/>
              <c:showLegendKey val="0"/>
              <c:showVal val="0"/>
              <c:showCatName val="0"/>
              <c:showSerName val="0"/>
              <c:showPercent val="0"/>
              <c:showBubbleSize val="0"/>
            </c:dLbl>
            <c:dLbl>
              <c:idx val="17"/>
              <c:delete val="1"/>
            </c:dLbl>
            <c:spPr>
              <a:noFill/>
              <a:ln w="25400">
                <a:noFill/>
              </a:ln>
            </c:spPr>
            <c:txPr>
              <a:bodyPr rot="3600000" vert="horz"/>
              <a:lstStyle/>
              <a:p>
                <a:pPr algn="l">
                  <a:defRPr sz="1500" b="0" i="0" u="none" strike="noStrike" baseline="0">
                    <a:solidFill>
                      <a:srgbClr val="C0C0C0"/>
                    </a:solidFill>
                    <a:latin typeface="Arial"/>
                    <a:ea typeface="Arial"/>
                    <a:cs typeface="Arial"/>
                  </a:defRPr>
                </a:pPr>
                <a:endParaRPr lang="en-US"/>
              </a:p>
            </c:txPr>
            <c:dLblPos val="b"/>
            <c:showLegendKey val="0"/>
            <c:showVal val="1"/>
            <c:showCatName val="0"/>
            <c:showSerName val="0"/>
            <c:showPercent val="0"/>
            <c:showBubbleSize val="0"/>
            <c:showLeaderLines val="0"/>
          </c:dLbls>
          <c:xVal>
            <c:numRef>
              <c:f>Tgrid!$K$5:$K$22</c:f>
              <c:numCache>
                <c:formatCode>General</c:formatCode>
                <c:ptCount val="18"/>
                <c:pt idx="0">
                  <c:v>0.11547</c:v>
                </c:pt>
                <c:pt idx="1">
                  <c:v>0.05774</c:v>
                </c:pt>
                <c:pt idx="2">
                  <c:v>0.11548</c:v>
                </c:pt>
                <c:pt idx="3">
                  <c:v>0.23094</c:v>
                </c:pt>
                <c:pt idx="4">
                  <c:v>0.34641</c:v>
                </c:pt>
                <c:pt idx="5">
                  <c:v>0.17322</c:v>
                </c:pt>
                <c:pt idx="6">
                  <c:v>0.23096</c:v>
                </c:pt>
                <c:pt idx="7">
                  <c:v>0.46188</c:v>
                </c:pt>
                <c:pt idx="8">
                  <c:v>0.57735</c:v>
                </c:pt>
                <c:pt idx="9">
                  <c:v>0.2887</c:v>
                </c:pt>
                <c:pt idx="10">
                  <c:v>0.34644</c:v>
                </c:pt>
                <c:pt idx="11">
                  <c:v>0.69282</c:v>
                </c:pt>
                <c:pt idx="12">
                  <c:v>0.80829</c:v>
                </c:pt>
                <c:pt idx="13">
                  <c:v>0.40418</c:v>
                </c:pt>
                <c:pt idx="14">
                  <c:v>0.46192</c:v>
                </c:pt>
                <c:pt idx="15">
                  <c:v>0.92376</c:v>
                </c:pt>
                <c:pt idx="16">
                  <c:v>1.03923</c:v>
                </c:pt>
                <c:pt idx="17">
                  <c:v>0.51966</c:v>
                </c:pt>
              </c:numCache>
            </c:numRef>
          </c:xVal>
          <c:yVal>
            <c:numRef>
              <c:f>Tgrid!$L$5:$L$22</c:f>
              <c:numCache>
                <c:formatCode>0.00</c:formatCode>
                <c:ptCount val="18"/>
                <c:pt idx="0">
                  <c:v>0.0</c:v>
                </c:pt>
                <c:pt idx="1">
                  <c:v>0.1</c:v>
                </c:pt>
                <c:pt idx="2">
                  <c:v>0.2</c:v>
                </c:pt>
                <c:pt idx="3">
                  <c:v>0.0</c:v>
                </c:pt>
                <c:pt idx="4">
                  <c:v>0.0</c:v>
                </c:pt>
                <c:pt idx="5">
                  <c:v>0.3</c:v>
                </c:pt>
                <c:pt idx="6">
                  <c:v>0.4</c:v>
                </c:pt>
                <c:pt idx="7">
                  <c:v>0.0</c:v>
                </c:pt>
                <c:pt idx="8">
                  <c:v>0.0</c:v>
                </c:pt>
                <c:pt idx="9">
                  <c:v>0.5</c:v>
                </c:pt>
                <c:pt idx="10">
                  <c:v>0.6</c:v>
                </c:pt>
                <c:pt idx="11">
                  <c:v>0.0</c:v>
                </c:pt>
                <c:pt idx="12">
                  <c:v>0.0</c:v>
                </c:pt>
                <c:pt idx="13">
                  <c:v>0.7</c:v>
                </c:pt>
                <c:pt idx="14">
                  <c:v>0.8</c:v>
                </c:pt>
                <c:pt idx="15">
                  <c:v>0.0</c:v>
                </c:pt>
                <c:pt idx="16">
                  <c:v>0.0</c:v>
                </c:pt>
                <c:pt idx="17">
                  <c:v>0.9</c:v>
                </c:pt>
              </c:numCache>
            </c:numRef>
          </c:yVal>
          <c:smooth val="0"/>
        </c:ser>
        <c:ser>
          <c:idx val="3"/>
          <c:order val="2"/>
          <c:tx>
            <c:v>C grid</c:v>
          </c:tx>
          <c:spPr>
            <a:ln w="3175">
              <a:solidFill>
                <a:srgbClr val="C0C0C0"/>
              </a:solidFill>
              <a:prstDash val="sysDash"/>
            </a:ln>
          </c:spPr>
          <c:marker>
            <c:symbol val="none"/>
          </c:marker>
          <c:dLbls>
            <c:dLbl>
              <c:idx val="0"/>
              <c:delete val="1"/>
            </c:dLbl>
            <c:dLbl>
              <c:idx val="1"/>
              <c:layout>
                <c:manualLayout>
                  <c:xMode val="edge"/>
                  <c:yMode val="edge"/>
                  <c:x val="0.494661921708185"/>
                  <c:y val="0.156462585034014"/>
                </c:manualLayout>
              </c:layout>
              <c:tx>
                <c:rich>
                  <a:bodyPr/>
                  <a:lstStyle/>
                  <a:p>
                    <a:r>
                      <a:t>10%</a:t>
                    </a:r>
                  </a:p>
                </c:rich>
              </c:tx>
              <c:dLblPos val="r"/>
              <c:showLegendKey val="0"/>
              <c:showVal val="0"/>
              <c:showCatName val="0"/>
              <c:showSerName val="0"/>
              <c:showPercent val="0"/>
              <c:showBubbleSize val="0"/>
            </c:dLbl>
            <c:dLbl>
              <c:idx val="2"/>
              <c:layout>
                <c:manualLayout>
                  <c:xMode val="edge"/>
                  <c:yMode val="edge"/>
                  <c:x val="0.525800711743772"/>
                  <c:y val="0.22562358276644"/>
                </c:manualLayout>
              </c:layout>
              <c:tx>
                <c:rich>
                  <a:bodyPr/>
                  <a:lstStyle/>
                  <a:p>
                    <a:r>
                      <a:t>20%</a:t>
                    </a:r>
                  </a:p>
                </c:rich>
              </c:tx>
              <c:dLblPos val="r"/>
              <c:showLegendKey val="0"/>
              <c:showVal val="0"/>
              <c:showCatName val="0"/>
              <c:showSerName val="0"/>
              <c:showPercent val="0"/>
              <c:showBubbleSize val="0"/>
            </c:dLbl>
            <c:dLbl>
              <c:idx val="3"/>
              <c:delete val="1"/>
            </c:dLbl>
            <c:dLbl>
              <c:idx val="4"/>
              <c:delete val="1"/>
            </c:dLbl>
            <c:dLbl>
              <c:idx val="5"/>
              <c:layout>
                <c:manualLayout>
                  <c:xMode val="edge"/>
                  <c:yMode val="edge"/>
                  <c:x val="0.558718861209964"/>
                  <c:y val="0.289115646258503"/>
                </c:manualLayout>
              </c:layout>
              <c:tx>
                <c:rich>
                  <a:bodyPr/>
                  <a:lstStyle/>
                  <a:p>
                    <a:r>
                      <a:t>30%</a:t>
                    </a:r>
                  </a:p>
                </c:rich>
              </c:tx>
              <c:dLblPos val="r"/>
              <c:showLegendKey val="0"/>
              <c:showVal val="0"/>
              <c:showCatName val="0"/>
              <c:showSerName val="0"/>
              <c:showPercent val="0"/>
              <c:showBubbleSize val="0"/>
            </c:dLbl>
            <c:dLbl>
              <c:idx val="6"/>
              <c:layout>
                <c:manualLayout>
                  <c:xMode val="edge"/>
                  <c:yMode val="edge"/>
                  <c:x val="0.591637010676157"/>
                  <c:y val="0.353741496598639"/>
                </c:manualLayout>
              </c:layout>
              <c:tx>
                <c:rich>
                  <a:bodyPr/>
                  <a:lstStyle/>
                  <a:p>
                    <a:r>
                      <a:t>40%</a:t>
                    </a:r>
                  </a:p>
                </c:rich>
              </c:tx>
              <c:dLblPos val="r"/>
              <c:showLegendKey val="0"/>
              <c:showVal val="0"/>
              <c:showCatName val="0"/>
              <c:showSerName val="0"/>
              <c:showPercent val="0"/>
              <c:showBubbleSize val="0"/>
            </c:dLbl>
            <c:dLbl>
              <c:idx val="7"/>
              <c:delete val="1"/>
            </c:dLbl>
            <c:dLbl>
              <c:idx val="8"/>
              <c:delete val="1"/>
            </c:dLbl>
            <c:dLbl>
              <c:idx val="9"/>
              <c:layout>
                <c:manualLayout>
                  <c:xMode val="edge"/>
                  <c:yMode val="edge"/>
                  <c:x val="0.621886120996441"/>
                  <c:y val="0.418367346938776"/>
                </c:manualLayout>
              </c:layout>
              <c:tx>
                <c:rich>
                  <a:bodyPr/>
                  <a:lstStyle/>
                  <a:p>
                    <a:r>
                      <a:t>50%</a:t>
                    </a:r>
                  </a:p>
                </c:rich>
              </c:tx>
              <c:dLblPos val="r"/>
              <c:showLegendKey val="0"/>
              <c:showVal val="0"/>
              <c:showCatName val="0"/>
              <c:showSerName val="0"/>
              <c:showPercent val="0"/>
              <c:showBubbleSize val="0"/>
            </c:dLbl>
            <c:dLbl>
              <c:idx val="10"/>
              <c:layout>
                <c:manualLayout>
                  <c:xMode val="edge"/>
                  <c:yMode val="edge"/>
                  <c:x val="0.659252669039146"/>
                  <c:y val="0.487528344671202"/>
                </c:manualLayout>
              </c:layout>
              <c:tx>
                <c:rich>
                  <a:bodyPr/>
                  <a:lstStyle/>
                  <a:p>
                    <a:r>
                      <a:t>60%</a:t>
                    </a:r>
                  </a:p>
                </c:rich>
              </c:tx>
              <c:dLblPos val="r"/>
              <c:showLegendKey val="0"/>
              <c:showVal val="0"/>
              <c:showCatName val="0"/>
              <c:showSerName val="0"/>
              <c:showPercent val="0"/>
              <c:showBubbleSize val="0"/>
            </c:dLbl>
            <c:dLbl>
              <c:idx val="11"/>
              <c:delete val="1"/>
            </c:dLbl>
            <c:dLbl>
              <c:idx val="12"/>
              <c:delete val="1"/>
            </c:dLbl>
            <c:dLbl>
              <c:idx val="13"/>
              <c:layout>
                <c:manualLayout>
                  <c:xMode val="edge"/>
                  <c:yMode val="edge"/>
                  <c:x val="0.695729537366548"/>
                  <c:y val="0.558956916099774"/>
                </c:manualLayout>
              </c:layout>
              <c:tx>
                <c:rich>
                  <a:bodyPr/>
                  <a:lstStyle/>
                  <a:p>
                    <a:r>
                      <a:t>70%</a:t>
                    </a:r>
                  </a:p>
                </c:rich>
              </c:tx>
              <c:dLblPos val="r"/>
              <c:showLegendKey val="0"/>
              <c:showVal val="0"/>
              <c:showCatName val="0"/>
              <c:showSerName val="0"/>
              <c:showPercent val="0"/>
              <c:showBubbleSize val="0"/>
            </c:dLbl>
            <c:dLbl>
              <c:idx val="14"/>
              <c:layout>
                <c:manualLayout>
                  <c:xMode val="edge"/>
                  <c:yMode val="edge"/>
                  <c:x val="0.725978647686833"/>
                  <c:y val="0.6281179138322"/>
                </c:manualLayout>
              </c:layout>
              <c:tx>
                <c:rich>
                  <a:bodyPr/>
                  <a:lstStyle/>
                  <a:p>
                    <a:r>
                      <a:t>80%</a:t>
                    </a:r>
                  </a:p>
                </c:rich>
              </c:tx>
              <c:dLblPos val="r"/>
              <c:showLegendKey val="0"/>
              <c:showVal val="0"/>
              <c:showCatName val="0"/>
              <c:showSerName val="0"/>
              <c:showPercent val="0"/>
              <c:showBubbleSize val="0"/>
            </c:dLbl>
            <c:dLbl>
              <c:idx val="15"/>
              <c:delete val="1"/>
            </c:dLbl>
            <c:dLbl>
              <c:idx val="16"/>
              <c:delete val="1"/>
            </c:dLbl>
            <c:dLbl>
              <c:idx val="17"/>
              <c:layout>
                <c:manualLayout>
                  <c:xMode val="edge"/>
                  <c:yMode val="edge"/>
                  <c:x val="0.758896797153025"/>
                  <c:y val="0.690476190476191"/>
                </c:manualLayout>
              </c:layout>
              <c:tx>
                <c:rich>
                  <a:bodyPr/>
                  <a:lstStyle/>
                  <a:p>
                    <a:r>
                      <a:t>90%</a:t>
                    </a:r>
                  </a:p>
                </c:rich>
              </c:tx>
              <c:dLblPos val="r"/>
              <c:showLegendKey val="0"/>
              <c:showVal val="0"/>
              <c:showCatName val="0"/>
              <c:showSerName val="0"/>
              <c:showPercent val="0"/>
              <c:showBubbleSize val="0"/>
            </c:dLbl>
            <c:spPr>
              <a:noFill/>
              <a:ln w="25400">
                <a:noFill/>
              </a:ln>
            </c:spPr>
            <c:txPr>
              <a:bodyPr rot="-3600000" vert="horz"/>
              <a:lstStyle/>
              <a:p>
                <a:pPr algn="l">
                  <a:defRPr sz="1500" b="0" i="0" u="none" strike="noStrike" baseline="0">
                    <a:solidFill>
                      <a:srgbClr val="C0C0C0"/>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Tgrid!$P$5:$P$22</c:f>
              <c:numCache>
                <c:formatCode>General</c:formatCode>
                <c:ptCount val="18"/>
                <c:pt idx="0">
                  <c:v>0.11547</c:v>
                </c:pt>
                <c:pt idx="1">
                  <c:v>0.63513</c:v>
                </c:pt>
                <c:pt idx="2">
                  <c:v>0.69286</c:v>
                </c:pt>
                <c:pt idx="3">
                  <c:v>0.23094</c:v>
                </c:pt>
                <c:pt idx="4">
                  <c:v>0.34641</c:v>
                </c:pt>
                <c:pt idx="5">
                  <c:v>0.75059</c:v>
                </c:pt>
                <c:pt idx="6">
                  <c:v>0.80832</c:v>
                </c:pt>
                <c:pt idx="7">
                  <c:v>0.46188</c:v>
                </c:pt>
                <c:pt idx="8">
                  <c:v>0.57735</c:v>
                </c:pt>
                <c:pt idx="9">
                  <c:v>0.86605</c:v>
                </c:pt>
                <c:pt idx="10">
                  <c:v>0.92378</c:v>
                </c:pt>
                <c:pt idx="11">
                  <c:v>0.69282</c:v>
                </c:pt>
                <c:pt idx="12">
                  <c:v>0.80829</c:v>
                </c:pt>
                <c:pt idx="13">
                  <c:v>0.98151</c:v>
                </c:pt>
                <c:pt idx="14">
                  <c:v>1.03924</c:v>
                </c:pt>
                <c:pt idx="15">
                  <c:v>0.92376</c:v>
                </c:pt>
                <c:pt idx="16">
                  <c:v>1.03923</c:v>
                </c:pt>
                <c:pt idx="17">
                  <c:v>1.09697</c:v>
                </c:pt>
              </c:numCache>
            </c:numRef>
          </c:xVal>
          <c:yVal>
            <c:numRef>
              <c:f>Tgrid!$Q$5:$Q$22</c:f>
              <c:numCache>
                <c:formatCode>0.00</c:formatCode>
                <c:ptCount val="18"/>
                <c:pt idx="0">
                  <c:v>0.0</c:v>
                </c:pt>
                <c:pt idx="1">
                  <c:v>0.9</c:v>
                </c:pt>
                <c:pt idx="2">
                  <c:v>0.8</c:v>
                </c:pt>
                <c:pt idx="3">
                  <c:v>0.0</c:v>
                </c:pt>
                <c:pt idx="4">
                  <c:v>0.0</c:v>
                </c:pt>
                <c:pt idx="5">
                  <c:v>0.7</c:v>
                </c:pt>
                <c:pt idx="6">
                  <c:v>0.6</c:v>
                </c:pt>
                <c:pt idx="7">
                  <c:v>0.0</c:v>
                </c:pt>
                <c:pt idx="8">
                  <c:v>0.0</c:v>
                </c:pt>
                <c:pt idx="9">
                  <c:v>0.5</c:v>
                </c:pt>
                <c:pt idx="10">
                  <c:v>0.4</c:v>
                </c:pt>
                <c:pt idx="11">
                  <c:v>0.0</c:v>
                </c:pt>
                <c:pt idx="12">
                  <c:v>0.0</c:v>
                </c:pt>
                <c:pt idx="13">
                  <c:v>0.3</c:v>
                </c:pt>
                <c:pt idx="14">
                  <c:v>0.2</c:v>
                </c:pt>
                <c:pt idx="15">
                  <c:v>0.0</c:v>
                </c:pt>
                <c:pt idx="16">
                  <c:v>0.0</c:v>
                </c:pt>
                <c:pt idx="17">
                  <c:v>0.1</c:v>
                </c:pt>
              </c:numCache>
            </c:numRef>
          </c:yVal>
          <c:smooth val="0"/>
        </c:ser>
        <c:ser>
          <c:idx val="0"/>
          <c:order val="3"/>
          <c:tx>
            <c:v>border</c:v>
          </c:tx>
          <c:spPr>
            <a:ln w="38100">
              <a:solidFill>
                <a:srgbClr val="000000"/>
              </a:solidFill>
              <a:prstDash val="solid"/>
            </a:ln>
          </c:spPr>
          <c:marker>
            <c:symbol val="none"/>
          </c:marker>
          <c:dLbls>
            <c:dLbl>
              <c:idx val="0"/>
              <c:delete val="1"/>
            </c:dLbl>
            <c:dLbl>
              <c:idx val="1"/>
              <c:tx>
                <c:strRef>
                  <c:f>input!$CA$10</c:f>
                  <c:strCache>
                    <c:ptCount val="1"/>
                    <c:pt idx="0">
                      <c:v>N2</c:v>
                    </c:pt>
                  </c:strCache>
                </c:strRef>
              </c:tx>
              <c:spPr>
                <a:noFill/>
                <a:ln w="25400">
                  <a:noFill/>
                </a:ln>
              </c:spPr>
              <c:txPr>
                <a:bodyPr/>
                <a:lstStyle/>
                <a:p>
                  <a:pPr>
                    <a:defRPr sz="1575" b="1" i="0" u="none" strike="noStrike" baseline="0">
                      <a:solidFill>
                        <a:srgbClr val="000000"/>
                      </a:solidFill>
                      <a:latin typeface="Arial"/>
                      <a:ea typeface="Arial"/>
                      <a:cs typeface="Arial"/>
                    </a:defRPr>
                  </a:pPr>
                  <a:endParaRPr lang="en-US"/>
                </a:p>
              </c:txPr>
              <c:dLblPos val="t"/>
              <c:showLegendKey val="0"/>
              <c:showVal val="0"/>
              <c:showCatName val="0"/>
              <c:showSerName val="0"/>
              <c:showPercent val="0"/>
              <c:showBubbleSize val="0"/>
            </c:dLbl>
            <c:dLbl>
              <c:idx val="2"/>
              <c:tx>
                <c:strRef>
                  <c:f>input!$CC$10</c:f>
                  <c:strCache>
                    <c:ptCount val="1"/>
                    <c:pt idx="0">
                      <c:v>100 Ar</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showLegendKey val="0"/>
              <c:showVal val="0"/>
              <c:showCatName val="0"/>
              <c:showSerName val="0"/>
              <c:showPercent val="0"/>
              <c:showBubbleSize val="0"/>
            </c:dLbl>
            <c:dLbl>
              <c:idx val="3"/>
              <c:tx>
                <c:strRef>
                  <c:f>input!$CB$10</c:f>
                  <c:strCache>
                    <c:ptCount val="1"/>
                    <c:pt idx="0">
                      <c:v>1000 He</c:v>
                    </c:pt>
                  </c:strCache>
                </c:strRef>
              </c:tx>
              <c:spPr>
                <a:noFill/>
                <a:ln w="25400">
                  <a:noFill/>
                </a:ln>
              </c:spPr>
              <c:txPr>
                <a:bodyPr/>
                <a:lstStyle/>
                <a:p>
                  <a:pPr algn="l">
                    <a:defRPr sz="1575" b="1" i="0" u="none" strike="noStrike" baseline="0">
                      <a:solidFill>
                        <a:srgbClr val="000000"/>
                      </a:solidFill>
                      <a:latin typeface="Arial"/>
                      <a:ea typeface="Arial"/>
                      <a:cs typeface="Arial"/>
                    </a:defRPr>
                  </a:pPr>
                  <a:endParaRPr lang="en-US"/>
                </a:p>
              </c:txPr>
              <c:dLblPos val="l"/>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xVal>
            <c:numRef>
              <c:f>Tgrid!$A$5:$A$8</c:f>
              <c:numCache>
                <c:formatCode>General</c:formatCode>
                <c:ptCount val="4"/>
                <c:pt idx="0">
                  <c:v>0.0</c:v>
                </c:pt>
                <c:pt idx="1">
                  <c:v>0.5774</c:v>
                </c:pt>
                <c:pt idx="2">
                  <c:v>1.1547</c:v>
                </c:pt>
                <c:pt idx="3">
                  <c:v>0.0</c:v>
                </c:pt>
              </c:numCache>
            </c:numRef>
          </c:xVal>
          <c:yVal>
            <c:numRef>
              <c:f>Tgrid!$B$5:$B$8</c:f>
              <c:numCache>
                <c:formatCode>General</c:formatCode>
                <c:ptCount val="4"/>
                <c:pt idx="0">
                  <c:v>0.0</c:v>
                </c:pt>
                <c:pt idx="1">
                  <c:v>1.0</c:v>
                </c:pt>
                <c:pt idx="2">
                  <c:v>0.0</c:v>
                </c:pt>
                <c:pt idx="3">
                  <c:v>0.0</c:v>
                </c:pt>
              </c:numCache>
            </c:numRef>
          </c:yVal>
          <c:smooth val="0"/>
        </c:ser>
        <c:ser>
          <c:idx val="4"/>
          <c:order val="4"/>
          <c:tx>
            <c:v>air asw</c:v>
          </c:tx>
          <c:spPr>
            <a:ln w="28575">
              <a:noFill/>
            </a:ln>
          </c:spPr>
          <c:marker>
            <c:symbol val="square"/>
            <c:size val="7"/>
            <c:spPr>
              <a:solidFill>
                <a:srgbClr val="424242"/>
              </a:solidFill>
              <a:ln>
                <a:solidFill>
                  <a:srgbClr val="424242"/>
                </a:solidFill>
                <a:prstDash val="solid"/>
              </a:ln>
            </c:spPr>
          </c:marker>
          <c:dLbls>
            <c:dLbl>
              <c:idx val="0"/>
              <c:tx>
                <c:rich>
                  <a:bodyPr/>
                  <a:lstStyle/>
                  <a:p>
                    <a:pPr>
                      <a:defRPr sz="1100" b="1" i="0" u="none" strike="noStrike" baseline="0">
                        <a:solidFill>
                          <a:srgbClr val="424242"/>
                        </a:solidFill>
                        <a:latin typeface="Arial"/>
                        <a:ea typeface="Arial"/>
                        <a:cs typeface="Arial"/>
                      </a:defRPr>
                    </a:pPr>
                    <a:r>
                      <a:t>ASW (N2/Ar = 38)</a:t>
                    </a:r>
                  </a:p>
                </c:rich>
              </c:tx>
              <c:spPr>
                <a:noFill/>
                <a:ln w="25400">
                  <a:noFill/>
                </a:ln>
              </c:spPr>
              <c:dLblPos val="r"/>
              <c:showLegendKey val="0"/>
              <c:showVal val="0"/>
              <c:showCatName val="0"/>
              <c:showSerName val="0"/>
              <c:showPercent val="0"/>
              <c:showBubbleSize val="0"/>
            </c:dLbl>
            <c:dLbl>
              <c:idx val="1"/>
              <c:tx>
                <c:rich>
                  <a:bodyPr/>
                  <a:lstStyle/>
                  <a:p>
                    <a:pPr>
                      <a:defRPr sz="1100" b="1" i="0" u="none" strike="noStrike" baseline="0">
                        <a:solidFill>
                          <a:srgbClr val="424242"/>
                        </a:solidFill>
                        <a:latin typeface="Arial"/>
                        <a:ea typeface="Arial"/>
                        <a:cs typeface="Arial"/>
                      </a:defRPr>
                    </a:pPr>
                    <a:r>
                      <a:t>Air (N2/Ar = 84)</a:t>
                    </a:r>
                  </a:p>
                </c:rich>
              </c:tx>
              <c:spPr>
                <a:noFill/>
                <a:ln w="25400">
                  <a:noFill/>
                </a:ln>
              </c:spPr>
              <c:dLblPos val="r"/>
              <c:showLegendKey val="0"/>
              <c:showVal val="0"/>
              <c:showCatName val="0"/>
              <c:showSerName val="0"/>
              <c:showPercent val="0"/>
              <c:showBubbleSize val="0"/>
            </c:dLbl>
            <c:spPr>
              <a:noFill/>
              <a:ln w="25400">
                <a:noFill/>
              </a:ln>
            </c:spPr>
            <c:txPr>
              <a:bodyPr/>
              <a:lstStyle/>
              <a:p>
                <a:pPr>
                  <a:defRPr sz="1100" b="0" i="0" u="none" strike="noStrike" baseline="0">
                    <a:solidFill>
                      <a:srgbClr val="424242"/>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Ref!$K$5:$K$6</c:f>
              <c:numCache>
                <c:formatCode>0.000</c:formatCode>
                <c:ptCount val="2"/>
                <c:pt idx="0">
                  <c:v>0.995733333333333</c:v>
                </c:pt>
                <c:pt idx="1">
                  <c:v>0.89115</c:v>
                </c:pt>
              </c:numCache>
            </c:numRef>
          </c:xVal>
          <c:yVal>
            <c:numRef>
              <c:f>Ref!$L$5:$L$6</c:f>
              <c:numCache>
                <c:formatCode>0.000</c:formatCode>
                <c:ptCount val="2"/>
                <c:pt idx="0">
                  <c:v>0.27536231884058</c:v>
                </c:pt>
                <c:pt idx="1">
                  <c:v>0.456521739130435</c:v>
                </c:pt>
              </c:numCache>
            </c:numRef>
          </c:yVal>
          <c:smooth val="0"/>
        </c:ser>
        <c:ser>
          <c:idx val="5"/>
          <c:order val="5"/>
          <c:tx>
            <c:v>crustal magmatic meteoric</c:v>
          </c:tx>
          <c:spPr>
            <a:ln w="38100">
              <a:solidFill>
                <a:srgbClr val="424242"/>
              </a:solidFill>
              <a:prstDash val="lgDash"/>
            </a:ln>
          </c:spPr>
          <c:marker>
            <c:symbol val="square"/>
            <c:size val="7"/>
            <c:spPr>
              <a:solidFill>
                <a:srgbClr val="424242"/>
              </a:solidFill>
              <a:ln>
                <a:solidFill>
                  <a:srgbClr val="424242"/>
                </a:solidFill>
                <a:prstDash val="solid"/>
              </a:ln>
            </c:spPr>
          </c:marker>
          <c:dLbls>
            <c:dLbl>
              <c:idx val="0"/>
              <c:layout>
                <c:manualLayout>
                  <c:xMode val="edge"/>
                  <c:yMode val="edge"/>
                  <c:x val="0.115658362989324"/>
                  <c:y val="0.845804988662132"/>
                </c:manualLayout>
              </c:layout>
              <c:tx>
                <c:rich>
                  <a:bodyPr/>
                  <a:lstStyle/>
                  <a:p>
                    <a:pPr>
                      <a:defRPr sz="1200" b="1" i="0" u="none" strike="noStrike" baseline="0">
                        <a:solidFill>
                          <a:srgbClr val="424242"/>
                        </a:solidFill>
                        <a:latin typeface="Arial"/>
                        <a:ea typeface="Arial"/>
                        <a:cs typeface="Arial"/>
                      </a:defRPr>
                    </a:pPr>
                    <a:r>
                      <a:t>Crustal
</a:t>
                    </a:r>
                  </a:p>
                </c:rich>
              </c:tx>
              <c:spPr>
                <a:noFill/>
                <a:ln w="25400">
                  <a:noFill/>
                </a:ln>
              </c:spPr>
              <c:dLblPos val="r"/>
              <c:showLegendKey val="0"/>
              <c:showVal val="0"/>
              <c:showCatName val="0"/>
              <c:showSerName val="0"/>
              <c:showPercent val="0"/>
              <c:showBubbleSize val="0"/>
            </c:dLbl>
            <c:dLbl>
              <c:idx val="1"/>
              <c:layout>
                <c:manualLayout>
                  <c:xMode val="edge"/>
                  <c:yMode val="edge"/>
                  <c:x val="0.417259786476868"/>
                  <c:y val="0.249433106575964"/>
                </c:manualLayout>
              </c:layout>
              <c:tx>
                <c:rich>
                  <a:bodyPr/>
                  <a:lstStyle/>
                  <a:p>
                    <a:pPr>
                      <a:defRPr sz="1200" b="1" i="0" u="none" strike="noStrike" baseline="0">
                        <a:solidFill>
                          <a:srgbClr val="424242"/>
                        </a:solidFill>
                        <a:latin typeface="Arial"/>
                        <a:ea typeface="Arial"/>
                        <a:cs typeface="Arial"/>
                      </a:defRPr>
                    </a:pPr>
                    <a:r>
                      <a:t>Magmatic</a:t>
                    </a:r>
                  </a:p>
                </c:rich>
              </c:tx>
              <c:spPr>
                <a:noFill/>
                <a:ln w="25400">
                  <a:noFill/>
                </a:ln>
              </c:spPr>
              <c:dLblPos val="r"/>
              <c:showLegendKey val="0"/>
              <c:showVal val="0"/>
              <c:showCatName val="0"/>
              <c:showSerName val="0"/>
              <c:showPercent val="0"/>
              <c:showBubbleSize val="0"/>
            </c:dLbl>
            <c:dLbl>
              <c:idx val="2"/>
              <c:layout>
                <c:manualLayout>
                  <c:xMode val="edge"/>
                  <c:yMode val="edge"/>
                  <c:x val="0.638790035587189"/>
                  <c:y val="0.682539682539683"/>
                </c:manualLayout>
              </c:layout>
              <c:tx>
                <c:rich>
                  <a:bodyPr/>
                  <a:lstStyle/>
                  <a:p>
                    <a:pPr>
                      <a:defRPr sz="1200" b="1" i="0" u="none" strike="noStrike" baseline="0">
                        <a:solidFill>
                          <a:srgbClr val="424242"/>
                        </a:solidFill>
                        <a:latin typeface="Arial"/>
                        <a:ea typeface="Arial"/>
                        <a:cs typeface="Arial"/>
                      </a:defRPr>
                    </a:pPr>
                    <a:r>
                      <a:t>Meteoric    .
     </a:t>
                    </a:r>
                  </a:p>
                </c:rich>
              </c:tx>
              <c:spPr>
                <a:noFill/>
                <a:ln w="25400">
                  <a:noFill/>
                </a:ln>
              </c:spPr>
              <c:dLblPos val="r"/>
              <c:showLegendKey val="0"/>
              <c:showVal val="0"/>
              <c:showCatName val="0"/>
              <c:showSerName val="0"/>
              <c:showPercent val="0"/>
              <c:showBubbleSize val="0"/>
            </c:dLbl>
            <c:dLbl>
              <c:idx val="3"/>
              <c:delete val="1"/>
            </c:dLbl>
            <c:dLbl>
              <c:idx val="4"/>
              <c:delete val="1"/>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xVal>
            <c:numRef>
              <c:f>Ref!$K$7:$K$10</c:f>
              <c:numCache>
                <c:formatCode>0.000</c:formatCode>
                <c:ptCount val="4"/>
                <c:pt idx="0">
                  <c:v>0.0</c:v>
                </c:pt>
                <c:pt idx="1">
                  <c:v>0.57739</c:v>
                </c:pt>
                <c:pt idx="2">
                  <c:v>0.995733333333333</c:v>
                </c:pt>
                <c:pt idx="3">
                  <c:v>0.0</c:v>
                </c:pt>
              </c:numCache>
            </c:numRef>
          </c:xVal>
          <c:yVal>
            <c:numRef>
              <c:f>Ref!$L$7:$L$10</c:f>
              <c:numCache>
                <c:formatCode>0.000</c:formatCode>
                <c:ptCount val="4"/>
                <c:pt idx="0">
                  <c:v>0.0</c:v>
                </c:pt>
                <c:pt idx="1">
                  <c:v>0.8</c:v>
                </c:pt>
                <c:pt idx="2">
                  <c:v>0.27536231884058</c:v>
                </c:pt>
                <c:pt idx="3">
                  <c:v>0.0</c:v>
                </c:pt>
              </c:numCache>
            </c:numRef>
          </c:yVal>
          <c:smooth val="0"/>
        </c:ser>
        <c:ser>
          <c:idx val="6"/>
          <c:order val="6"/>
          <c:tx>
            <c:v>data</c:v>
          </c:tx>
          <c:spPr>
            <a:ln w="28575">
              <a:noFill/>
            </a:ln>
          </c:spPr>
          <c:marker>
            <c:symbol val="diamond"/>
            <c:size val="7"/>
            <c:spPr>
              <a:solidFill>
                <a:srgbClr val="800080"/>
              </a:solidFill>
              <a:ln>
                <a:solidFill>
                  <a:srgbClr val="800080"/>
                </a:solidFill>
                <a:prstDash val="solid"/>
              </a:ln>
            </c:spPr>
          </c:marker>
          <c:dLbls>
            <c:dLbl>
              <c:idx val="0"/>
              <c:tx>
                <c:strRef>
                  <c:f>input!$T$11</c:f>
                  <c:strCache>
                    <c:ptCount val="1"/>
                    <c:pt idx="0">
                      <c:v>3</c:v>
                    </c:pt>
                  </c:strCache>
                </c:strRef>
              </c:tx>
              <c:dLblPos val="r"/>
              <c:showLegendKey val="0"/>
              <c:showVal val="0"/>
              <c:showCatName val="0"/>
              <c:showSerName val="0"/>
              <c:showPercent val="0"/>
              <c:showBubbleSize val="0"/>
            </c:dLbl>
            <c:dLbl>
              <c:idx val="1"/>
              <c:tx>
                <c:strRef>
                  <c:f>input!$T$12</c:f>
                  <c:strCache>
                    <c:ptCount val="1"/>
                    <c:pt idx="0">
                      <c:v>5</c:v>
                    </c:pt>
                  </c:strCache>
                </c:strRef>
              </c:tx>
              <c:dLblPos val="r"/>
              <c:showLegendKey val="0"/>
              <c:showVal val="0"/>
              <c:showCatName val="0"/>
              <c:showSerName val="0"/>
              <c:showPercent val="0"/>
              <c:showBubbleSize val="0"/>
            </c:dLbl>
            <c:dLbl>
              <c:idx val="2"/>
              <c:tx>
                <c:strRef>
                  <c:f>input!$T$13</c:f>
                  <c:strCache>
                    <c:ptCount val="1"/>
                    <c:pt idx="0">
                      <c:v>8</c:v>
                    </c:pt>
                  </c:strCache>
                </c:strRef>
              </c:tx>
              <c:dLblPos val="r"/>
              <c:showLegendKey val="0"/>
              <c:showVal val="0"/>
              <c:showCatName val="0"/>
              <c:showSerName val="0"/>
              <c:showPercent val="0"/>
              <c:showBubbleSize val="0"/>
            </c:dLbl>
            <c:dLbl>
              <c:idx val="3"/>
              <c:tx>
                <c:strRef>
                  <c:f>input!$T$14</c:f>
                  <c:strCache>
                    <c:ptCount val="1"/>
                    <c:pt idx="0">
                      <c:v>12</c:v>
                    </c:pt>
                  </c:strCache>
                </c:strRef>
              </c:tx>
              <c:dLblPos val="r"/>
              <c:showLegendKey val="0"/>
              <c:showVal val="0"/>
              <c:showCatName val="0"/>
              <c:showSerName val="0"/>
              <c:showPercent val="0"/>
              <c:showBubbleSize val="0"/>
            </c:dLbl>
            <c:dLbl>
              <c:idx val="4"/>
              <c:tx>
                <c:strRef>
                  <c:f>input!$T$15</c:f>
                  <c:strCache>
                    <c:ptCount val="1"/>
                    <c:pt idx="0">
                      <c:v>15</c:v>
                    </c:pt>
                  </c:strCache>
                </c:strRef>
              </c:tx>
              <c:dLblPos val="r"/>
              <c:showLegendKey val="0"/>
              <c:showVal val="0"/>
              <c:showCatName val="0"/>
              <c:showSerName val="0"/>
              <c:showPercent val="0"/>
              <c:showBubbleSize val="0"/>
            </c:dLbl>
            <c:dLbl>
              <c:idx val="5"/>
              <c:tx>
                <c:strRef>
                  <c:f>input!$T$16</c:f>
                  <c:strCache>
                    <c:ptCount val="1"/>
                    <c:pt idx="0">
                      <c:v>16</c:v>
                    </c:pt>
                  </c:strCache>
                </c:strRef>
              </c:tx>
              <c:dLblPos val="r"/>
              <c:showLegendKey val="0"/>
              <c:showVal val="0"/>
              <c:showCatName val="0"/>
              <c:showSerName val="0"/>
              <c:showPercent val="0"/>
              <c:showBubbleSize val="0"/>
            </c:dLbl>
            <c:dLbl>
              <c:idx val="6"/>
              <c:tx>
                <c:strRef>
                  <c:f>input!$T$17</c:f>
                  <c:strCache>
                    <c:ptCount val="1"/>
                    <c:pt idx="0">
                      <c:v>22</c:v>
                    </c:pt>
                  </c:strCache>
                </c:strRef>
              </c:tx>
              <c:dLblPos val="r"/>
              <c:showLegendKey val="0"/>
              <c:showVal val="0"/>
              <c:showCatName val="0"/>
              <c:showSerName val="0"/>
              <c:showPercent val="0"/>
              <c:showBubbleSize val="0"/>
            </c:dLbl>
            <c:dLbl>
              <c:idx val="7"/>
              <c:tx>
                <c:strRef>
                  <c:f>input!$T$18</c:f>
                  <c:strCache>
                    <c:ptCount val="1"/>
                    <c:pt idx="0">
                      <c:v>23</c:v>
                    </c:pt>
                  </c:strCache>
                </c:strRef>
              </c:tx>
              <c:dLblPos val="r"/>
              <c:showLegendKey val="0"/>
              <c:showVal val="0"/>
              <c:showCatName val="0"/>
              <c:showSerName val="0"/>
              <c:showPercent val="0"/>
              <c:showBubbleSize val="0"/>
            </c:dLbl>
            <c:dLbl>
              <c:idx val="8"/>
              <c:tx>
                <c:strRef>
                  <c:f>input!$T$19</c:f>
                  <c:strCache>
                    <c:ptCount val="1"/>
                    <c:pt idx="0">
                      <c:v>23</c:v>
                    </c:pt>
                  </c:strCache>
                </c:strRef>
              </c:tx>
              <c:dLblPos val="r"/>
              <c:showLegendKey val="0"/>
              <c:showVal val="0"/>
              <c:showCatName val="0"/>
              <c:showSerName val="0"/>
              <c:showPercent val="0"/>
              <c:showBubbleSize val="0"/>
            </c:dLbl>
            <c:dLbl>
              <c:idx val="9"/>
              <c:tx>
                <c:strRef>
                  <c:f>input!$T$20</c:f>
                  <c:strCache>
                    <c:ptCount val="1"/>
                    <c:pt idx="0">
                      <c:v>26</c:v>
                    </c:pt>
                  </c:strCache>
                </c:strRef>
              </c:tx>
              <c:dLblPos val="r"/>
              <c:showLegendKey val="0"/>
              <c:showVal val="0"/>
              <c:showCatName val="0"/>
              <c:showSerName val="0"/>
              <c:showPercent val="0"/>
              <c:showBubbleSize val="0"/>
            </c:dLbl>
            <c:dLbl>
              <c:idx val="10"/>
              <c:tx>
                <c:strRef>
                  <c:f>input!$T$21</c:f>
                  <c:strCache>
                    <c:ptCount val="1"/>
                    <c:pt idx="0">
                      <c:v>LR</c:v>
                    </c:pt>
                  </c:strCache>
                </c:strRef>
              </c:tx>
              <c:dLblPos val="r"/>
              <c:showLegendKey val="0"/>
              <c:showVal val="0"/>
              <c:showCatName val="0"/>
              <c:showSerName val="0"/>
              <c:showPercent val="0"/>
              <c:showBubbleSize val="0"/>
            </c:dLbl>
            <c:dLbl>
              <c:idx val="11"/>
              <c:tx>
                <c:strRef>
                  <c:f>input!$T$22</c:f>
                  <c:strCache>
                    <c:ptCount val="1"/>
                    <c:pt idx="0">
                      <c:v>HP</c:v>
                    </c:pt>
                  </c:strCache>
                </c:strRef>
              </c:tx>
              <c:dLblPos val="r"/>
              <c:showLegendKey val="0"/>
              <c:showVal val="0"/>
              <c:showCatName val="0"/>
              <c:showSerName val="0"/>
              <c:showPercent val="0"/>
              <c:showBubbleSize val="0"/>
            </c:dLbl>
            <c:dLbl>
              <c:idx val="12"/>
              <c:tx>
                <c:strRef>
                  <c:f>input!$T$23</c:f>
                  <c:strCache>
                    <c:ptCount val="1"/>
                    <c:pt idx="0">
                      <c:v>28</c:v>
                    </c:pt>
                  </c:strCache>
                </c:strRef>
              </c:tx>
              <c:dLblPos val="r"/>
              <c:showLegendKey val="0"/>
              <c:showVal val="0"/>
              <c:showCatName val="0"/>
              <c:showSerName val="0"/>
              <c:showPercent val="0"/>
              <c:showBubbleSize val="0"/>
            </c:dLbl>
            <c:dLbl>
              <c:idx val="13"/>
              <c:tx>
                <c:strRef>
                  <c:f>input!$T$24</c:f>
                  <c:strCache>
                    <c:ptCount val="1"/>
                    <c:pt idx="0">
                      <c:v>30</c:v>
                    </c:pt>
                  </c:strCache>
                </c:strRef>
              </c:tx>
              <c:dLblPos val="r"/>
              <c:showLegendKey val="0"/>
              <c:showVal val="0"/>
              <c:showCatName val="0"/>
              <c:showSerName val="0"/>
              <c:showPercent val="0"/>
              <c:showBubbleSize val="0"/>
            </c:dLbl>
            <c:dLbl>
              <c:idx val="14"/>
              <c:tx>
                <c:strRef>
                  <c:f>input!$T$25</c:f>
                  <c:strCache>
                    <c:ptCount val="1"/>
                    <c:pt idx="0">
                      <c:v>36</c:v>
                    </c:pt>
                  </c:strCache>
                </c:strRef>
              </c:tx>
              <c:dLblPos val="r"/>
              <c:showLegendKey val="0"/>
              <c:showVal val="0"/>
              <c:showCatName val="0"/>
              <c:showSerName val="0"/>
              <c:showPercent val="0"/>
              <c:showBubbleSize val="0"/>
            </c:dLbl>
            <c:dLbl>
              <c:idx val="15"/>
              <c:tx>
                <c:strRef>
                  <c:f>input!$T$26</c:f>
                  <c:strCache>
                    <c:ptCount val="1"/>
                    <c:pt idx="0">
                      <c:v>38</c:v>
                    </c:pt>
                  </c:strCache>
                </c:strRef>
              </c:tx>
              <c:dLblPos val="r"/>
              <c:showLegendKey val="0"/>
              <c:showVal val="0"/>
              <c:showCatName val="0"/>
              <c:showSerName val="0"/>
              <c:showPercent val="0"/>
              <c:showBubbleSize val="0"/>
            </c:dLbl>
            <c:dLbl>
              <c:idx val="16"/>
              <c:tx>
                <c:strRef>
                  <c:f>input!$T$27</c:f>
                  <c:strCache>
                    <c:ptCount val="1"/>
                    <c:pt idx="0">
                      <c:v>40</c:v>
                    </c:pt>
                  </c:strCache>
                </c:strRef>
              </c:tx>
              <c:dLblPos val="r"/>
              <c:showLegendKey val="0"/>
              <c:showVal val="0"/>
              <c:showCatName val="0"/>
              <c:showSerName val="0"/>
              <c:showPercent val="0"/>
              <c:showBubbleSize val="0"/>
            </c:dLbl>
            <c:dLbl>
              <c:idx val="17"/>
              <c:tx>
                <c:strRef>
                  <c:f>input!$T$28</c:f>
                  <c:strCache>
                    <c:ptCount val="1"/>
                    <c:pt idx="0">
                      <c:v>41</c:v>
                    </c:pt>
                  </c:strCache>
                </c:strRef>
              </c:tx>
              <c:dLblPos val="r"/>
              <c:showLegendKey val="0"/>
              <c:showVal val="0"/>
              <c:showCatName val="0"/>
              <c:showSerName val="0"/>
              <c:showPercent val="0"/>
              <c:showBubbleSize val="0"/>
            </c:dLbl>
            <c:dLbl>
              <c:idx val="18"/>
              <c:tx>
                <c:strRef>
                  <c:f>input!$T$29</c:f>
                  <c:strCache>
                    <c:ptCount val="1"/>
                    <c:pt idx="0">
                      <c:v>42</c:v>
                    </c:pt>
                  </c:strCache>
                </c:strRef>
              </c:tx>
              <c:dLblPos val="r"/>
              <c:showLegendKey val="0"/>
              <c:showVal val="0"/>
              <c:showCatName val="0"/>
              <c:showSerName val="0"/>
              <c:showPercent val="0"/>
              <c:showBubbleSize val="0"/>
            </c:dLbl>
            <c:dLbl>
              <c:idx val="19"/>
              <c:tx>
                <c:strRef>
                  <c:f>input!$T$30</c:f>
                  <c:strCache>
                    <c:ptCount val="1"/>
                    <c:pt idx="0">
                      <c:v>43</c:v>
                    </c:pt>
                  </c:strCache>
                </c:strRef>
              </c:tx>
              <c:dLblPos val="r"/>
              <c:showLegendKey val="0"/>
              <c:showVal val="0"/>
              <c:showCatName val="0"/>
              <c:showSerName val="0"/>
              <c:showPercent val="0"/>
              <c:showBubbleSize val="0"/>
            </c:dLbl>
            <c:dLbl>
              <c:idx val="20"/>
              <c:tx>
                <c:strRef>
                  <c:f>input!$T$31</c:f>
                  <c:strCache>
                    <c:ptCount val="1"/>
                    <c:pt idx="0">
                      <c:v>44</c:v>
                    </c:pt>
                  </c:strCache>
                </c:strRef>
              </c:tx>
              <c:dLblPos val="r"/>
              <c:showLegendKey val="0"/>
              <c:showVal val="0"/>
              <c:showCatName val="0"/>
              <c:showSerName val="0"/>
              <c:showPercent val="0"/>
              <c:showBubbleSize val="0"/>
            </c:dLbl>
            <c:dLbl>
              <c:idx val="21"/>
              <c:tx>
                <c:strRef>
                  <c:f>input!$T$32</c:f>
                  <c:strCache>
                    <c:ptCount val="1"/>
                  </c:strCache>
                </c:strRef>
              </c:tx>
              <c:dLblPos val="r"/>
              <c:showLegendKey val="0"/>
              <c:showVal val="0"/>
              <c:showCatName val="0"/>
              <c:showSerName val="0"/>
              <c:showPercent val="0"/>
              <c:showBubbleSize val="0"/>
            </c:dLbl>
            <c:dLbl>
              <c:idx val="22"/>
              <c:tx>
                <c:strRef>
                  <c:f>input!$T$33</c:f>
                  <c:strCache>
                    <c:ptCount val="1"/>
                  </c:strCache>
                </c:strRef>
              </c:tx>
              <c:dLblPos val="r"/>
              <c:showLegendKey val="0"/>
              <c:showVal val="0"/>
              <c:showCatName val="0"/>
              <c:showSerName val="0"/>
              <c:showPercent val="0"/>
              <c:showBubbleSize val="0"/>
            </c:dLbl>
            <c:dLbl>
              <c:idx val="23"/>
              <c:tx>
                <c:strRef>
                  <c:f>input!$T$34</c:f>
                  <c:strCache>
                    <c:ptCount val="1"/>
                  </c:strCache>
                </c:strRef>
              </c:tx>
              <c:dLblPos val="r"/>
              <c:showLegendKey val="0"/>
              <c:showVal val="0"/>
              <c:showCatName val="0"/>
              <c:showSerName val="0"/>
              <c:showPercent val="0"/>
              <c:showBubbleSize val="0"/>
            </c:dLbl>
            <c:dLbl>
              <c:idx val="24"/>
              <c:tx>
                <c:strRef>
                  <c:f>input!$T$35</c:f>
                  <c:strCache>
                    <c:ptCount val="1"/>
                  </c:strCache>
                </c:strRef>
              </c:tx>
              <c:dLblPos val="r"/>
              <c:showLegendKey val="0"/>
              <c:showVal val="0"/>
              <c:showCatName val="0"/>
              <c:showSerName val="0"/>
              <c:showPercent val="0"/>
              <c:showBubbleSize val="0"/>
            </c:dLbl>
            <c:dLbl>
              <c:idx val="25"/>
              <c:tx>
                <c:strRef>
                  <c:f>input!$T$36</c:f>
                  <c:strCache>
                    <c:ptCount val="1"/>
                  </c:strCache>
                </c:strRef>
              </c:tx>
              <c:dLblPos val="r"/>
              <c:showLegendKey val="0"/>
              <c:showVal val="0"/>
              <c:showCatName val="0"/>
              <c:showSerName val="0"/>
              <c:showPercent val="0"/>
              <c:showBubbleSize val="0"/>
            </c:dLbl>
            <c:dLbl>
              <c:idx val="26"/>
              <c:tx>
                <c:strRef>
                  <c:f>input!$T$37</c:f>
                  <c:strCache>
                    <c:ptCount val="1"/>
                  </c:strCache>
                </c:strRef>
              </c:tx>
              <c:dLblPos val="r"/>
              <c:showLegendKey val="0"/>
              <c:showVal val="0"/>
              <c:showCatName val="0"/>
              <c:showSerName val="0"/>
              <c:showPercent val="0"/>
              <c:showBubbleSize val="0"/>
            </c:dLbl>
            <c:dLbl>
              <c:idx val="27"/>
              <c:tx>
                <c:strRef>
                  <c:f>input!$T$38</c:f>
                  <c:strCache>
                    <c:ptCount val="1"/>
                  </c:strCache>
                </c:strRef>
              </c:tx>
              <c:dLblPos val="r"/>
              <c:showLegendKey val="0"/>
              <c:showVal val="0"/>
              <c:showCatName val="0"/>
              <c:showSerName val="0"/>
              <c:showPercent val="0"/>
              <c:showBubbleSize val="0"/>
            </c:dLbl>
            <c:dLbl>
              <c:idx val="28"/>
              <c:tx>
                <c:strRef>
                  <c:f>input!$T$39</c:f>
                  <c:strCache>
                    <c:ptCount val="1"/>
                  </c:strCache>
                </c:strRef>
              </c:tx>
              <c:dLblPos val="r"/>
              <c:showLegendKey val="0"/>
              <c:showVal val="0"/>
              <c:showCatName val="0"/>
              <c:showSerName val="0"/>
              <c:showPercent val="0"/>
              <c:showBubbleSize val="0"/>
            </c:dLbl>
            <c:dLbl>
              <c:idx val="29"/>
              <c:tx>
                <c:strRef>
                  <c:f>input!$T$40</c:f>
                  <c:strCache>
                    <c:ptCount val="1"/>
                  </c:strCache>
                </c:strRef>
              </c:tx>
              <c:dLblPos val="r"/>
              <c:showLegendKey val="0"/>
              <c:showVal val="0"/>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r"/>
            <c:showLegendKey val="0"/>
            <c:showVal val="1"/>
            <c:showCatName val="0"/>
            <c:showSerName val="0"/>
            <c:showPercent val="0"/>
            <c:showBubbleSize val="0"/>
            <c:showLeaderLines val="0"/>
          </c:dLbls>
          <c:xVal>
            <c:numRef>
              <c:f>input!$CD$11:$CD$40</c:f>
              <c:numCache>
                <c:formatCode>0.000</c:formatCode>
                <c:ptCount val="30"/>
                <c:pt idx="0">
                  <c:v>0.954536667530448</c:v>
                </c:pt>
                <c:pt idx="1">
                  <c:v>0.773404727793696</c:v>
                </c:pt>
                <c:pt idx="2">
                  <c:v>0.859175</c:v>
                </c:pt>
                <c:pt idx="3">
                  <c:v>0.817373873873874</c:v>
                </c:pt>
                <c:pt idx="4">
                  <c:v>0.839174146014735</c:v>
                </c:pt>
                <c:pt idx="5">
                  <c:v>0.886478881278539</c:v>
                </c:pt>
                <c:pt idx="6">
                  <c:v>0.870853085210578</c:v>
                </c:pt>
                <c:pt idx="7">
                  <c:v>0.467773148148148</c:v>
                </c:pt>
                <c:pt idx="8">
                  <c:v>0.636276530612245</c:v>
                </c:pt>
                <c:pt idx="9">
                  <c:v>0.544679245283019</c:v>
                </c:pt>
                <c:pt idx="10">
                  <c:v>0.816270498084291</c:v>
                </c:pt>
                <c:pt idx="11">
                  <c:v>0.939943281471004</c:v>
                </c:pt>
                <c:pt idx="12">
                  <c:v>0.84520019389239</c:v>
                </c:pt>
                <c:pt idx="13">
                  <c:v>0.907732030401737</c:v>
                </c:pt>
                <c:pt idx="14">
                  <c:v>0.836292479108635</c:v>
                </c:pt>
                <c:pt idx="15">
                  <c:v>0.822607190412783</c:v>
                </c:pt>
                <c:pt idx="16">
                  <c:v>0.918354628422425</c:v>
                </c:pt>
                <c:pt idx="17">
                  <c:v>0.859190506735087</c:v>
                </c:pt>
                <c:pt idx="18">
                  <c:v>0.84933148295004</c:v>
                </c:pt>
                <c:pt idx="19">
                  <c:v>0.863856060606061</c:v>
                </c:pt>
                <c:pt idx="20">
                  <c:v>0.5774</c:v>
                </c:pt>
                <c:pt idx="21">
                  <c:v>0.0</c:v>
                </c:pt>
                <c:pt idx="22">
                  <c:v>0.0</c:v>
                </c:pt>
                <c:pt idx="23">
                  <c:v>0.0</c:v>
                </c:pt>
                <c:pt idx="24">
                  <c:v>0.0</c:v>
                </c:pt>
                <c:pt idx="25">
                  <c:v>0.0</c:v>
                </c:pt>
                <c:pt idx="26">
                  <c:v>0.0</c:v>
                </c:pt>
                <c:pt idx="27">
                  <c:v>0.0</c:v>
                </c:pt>
                <c:pt idx="28">
                  <c:v>0.0</c:v>
                </c:pt>
                <c:pt idx="29">
                  <c:v>0.0</c:v>
                </c:pt>
              </c:numCache>
            </c:numRef>
          </c:xVal>
          <c:yVal>
            <c:numRef>
              <c:f>input!$CE$11:$CE$40</c:f>
              <c:numCache>
                <c:formatCode>0.000</c:formatCode>
                <c:ptCount val="30"/>
                <c:pt idx="0">
                  <c:v>0.331692148224929</c:v>
                </c:pt>
                <c:pt idx="1">
                  <c:v>0.408309455587392</c:v>
                </c:pt>
                <c:pt idx="2">
                  <c:v>0.464285714285714</c:v>
                </c:pt>
                <c:pt idx="3">
                  <c:v>0.373230373230373</c:v>
                </c:pt>
                <c:pt idx="4">
                  <c:v>0.502344273275285</c:v>
                </c:pt>
                <c:pt idx="5">
                  <c:v>0.450913242009132</c:v>
                </c:pt>
                <c:pt idx="6">
                  <c:v>0.430950048971596</c:v>
                </c:pt>
                <c:pt idx="7">
                  <c:v>0.25462962962963</c:v>
                </c:pt>
                <c:pt idx="8">
                  <c:v>0.26530612244898</c:v>
                </c:pt>
                <c:pt idx="9">
                  <c:v>0.188679245283019</c:v>
                </c:pt>
                <c:pt idx="10">
                  <c:v>0.340996168582375</c:v>
                </c:pt>
                <c:pt idx="11">
                  <c:v>0.284299858557284</c:v>
                </c:pt>
                <c:pt idx="12">
                  <c:v>0.494425593795443</c:v>
                </c:pt>
                <c:pt idx="13">
                  <c:v>0.39956568946797</c:v>
                </c:pt>
                <c:pt idx="14">
                  <c:v>0.389972144846797</c:v>
                </c:pt>
                <c:pt idx="15">
                  <c:v>0.359520639147803</c:v>
                </c:pt>
                <c:pt idx="16">
                  <c:v>0.286831812255541</c:v>
                </c:pt>
                <c:pt idx="17">
                  <c:v>0.333547145606158</c:v>
                </c:pt>
                <c:pt idx="18">
                  <c:v>0.360824742268041</c:v>
                </c:pt>
                <c:pt idx="19">
                  <c:v>0.359848484848485</c:v>
                </c:pt>
                <c:pt idx="20">
                  <c:v>1.0</c:v>
                </c:pt>
                <c:pt idx="21">
                  <c:v>-99.0</c:v>
                </c:pt>
                <c:pt idx="22">
                  <c:v>-99.0</c:v>
                </c:pt>
                <c:pt idx="23">
                  <c:v>-99.0</c:v>
                </c:pt>
                <c:pt idx="24">
                  <c:v>-99.0</c:v>
                </c:pt>
                <c:pt idx="25">
                  <c:v>-99.0</c:v>
                </c:pt>
                <c:pt idx="26">
                  <c:v>-99.0</c:v>
                </c:pt>
                <c:pt idx="27">
                  <c:v>-99.0</c:v>
                </c:pt>
                <c:pt idx="28">
                  <c:v>-99.0</c:v>
                </c:pt>
                <c:pt idx="29">
                  <c:v>-99.0</c:v>
                </c:pt>
              </c:numCache>
            </c:numRef>
          </c:yVal>
          <c:smooth val="0"/>
        </c:ser>
        <c:dLbls>
          <c:showLegendKey val="0"/>
          <c:showVal val="0"/>
          <c:showCatName val="0"/>
          <c:showSerName val="0"/>
          <c:showPercent val="0"/>
          <c:showBubbleSize val="0"/>
        </c:dLbls>
        <c:axId val="2100328280"/>
        <c:axId val="2100331160"/>
      </c:scatterChart>
      <c:valAx>
        <c:axId val="2100328280"/>
        <c:scaling>
          <c:orientation val="minMax"/>
          <c:max val="1.4"/>
          <c:min val="-0.2"/>
        </c:scaling>
        <c:delete val="1"/>
        <c:axPos val="b"/>
        <c:numFmt formatCode="General" sourceLinked="1"/>
        <c:majorTickMark val="out"/>
        <c:minorTickMark val="none"/>
        <c:tickLblPos val="none"/>
        <c:crossAx val="2100331160"/>
        <c:crosses val="autoZero"/>
        <c:crossBetween val="midCat"/>
      </c:valAx>
      <c:valAx>
        <c:axId val="2100331160"/>
        <c:scaling>
          <c:orientation val="minMax"/>
          <c:max val="1.2"/>
          <c:min val="-0.2"/>
        </c:scaling>
        <c:delete val="1"/>
        <c:axPos val="l"/>
        <c:numFmt formatCode="_(* #,##0.00_);_(* \(#,##0.00\);_(* &quot;-&quot;??_);_(@_)" sourceLinked="1"/>
        <c:majorTickMark val="out"/>
        <c:minorTickMark val="none"/>
        <c:tickLblPos val="none"/>
        <c:crossAx val="2100328280"/>
        <c:crosses val="autoZero"/>
        <c:crossBetween val="midCat"/>
      </c:valAx>
      <c:spPr>
        <a:no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sheetPr/>
  <sheetViews>
    <sheetView zoomScale="75" workbookViewId="0"/>
  </sheetViews>
  <pageMargins left="0.56000000000000005" right="0.55000000000000004" top="0.68" bottom="0.71" header="0.5" footer="0.5"/>
  <pageSetup orientation="landscape" horizontalDpi="300" verticalDpi="300"/>
  <headerFooter alignWithMargins="0">
    <oddFooter>&amp;C&amp;F&amp;R&amp;D</oddFooter>
  </headerFooter>
  <drawing r:id="rId1"/>
</chartsheet>
</file>

<file path=xl/chartsheets/sheet2.xml><?xml version="1.0" encoding="utf-8"?>
<chartsheet xmlns="http://schemas.openxmlformats.org/spreadsheetml/2006/main" xmlns:r="http://schemas.openxmlformats.org/officeDocument/2006/relationships">
  <sheetPr/>
  <sheetViews>
    <sheetView zoomScale="75" workbookViewId="0"/>
  </sheetViews>
  <pageMargins left="0.56000000000000005" right="0.55000000000000004" top="0.68" bottom="0.71" header="0.5" footer="0.5"/>
  <pageSetup orientation="landscape" horizontalDpi="300" verticalDpi="300"/>
  <headerFooter alignWithMargins="0">
    <oddFooter>&amp;C&amp;F&amp;R&amp;D</oddFooter>
  </headerFooter>
  <drawing r:id="rId1"/>
</chartsheet>
</file>

<file path=xl/chartsheets/sheet3.xml><?xml version="1.0" encoding="utf-8"?>
<chartsheet xmlns="http://schemas.openxmlformats.org/spreadsheetml/2006/main" xmlns:r="http://schemas.openxmlformats.org/officeDocument/2006/relationships">
  <sheetPr/>
  <sheetViews>
    <sheetView zoomScale="75" workbookViewId="0"/>
  </sheetViews>
  <pageMargins left="0.56000000000000005" right="0.55000000000000004" top="0.68" bottom="0.71" header="0.5" footer="0.5"/>
  <pageSetup orientation="landscape" horizontalDpi="300" verticalDpi="300"/>
  <headerFooter alignWithMargins="0">
    <oddFooter>&amp;C&amp;F&amp;R&amp;D</oddFooter>
  </headerFooter>
  <drawing r:id="rId1"/>
</chartsheet>
</file>

<file path=xl/chartsheets/sheet4.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orientation="portrait" horizontalDpi="300" verticalDpi="300"/>
  <headerFooter alignWithMargins="0">
    <oddFooter>&amp;C&amp;F&amp;R&amp;D</oddFooter>
  </headerFooter>
  <drawing r:id="rId1"/>
</chartsheet>
</file>

<file path=xl/chartsheets/sheet5.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orientation="landscape" horizontalDpi="300" verticalDpi="300"/>
  <headerFooter alignWithMargins="0">
    <oddFooter>&amp;C&amp;F&amp;R&amp;D</oddFooter>
  </headerFooter>
  <drawing r:id="rId1"/>
</chartsheet>
</file>

<file path=xl/chartsheets/sheet6.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headerFooter alignWithMargins="0">
    <oddHeader>&amp;C&amp;"Arial,Bold"&amp;14CO2-H2S-NH3 Ternary</oddHeader>
    <oddFooter>&amp;C&amp;F&amp;R&amp;D</oddFooter>
  </headerFooter>
  <drawing r:id="rId1"/>
</chartsheet>
</file>

<file path=xl/chartsheets/sheet7.xml><?xml version="1.0" encoding="utf-8"?>
<chartsheet xmlns="http://schemas.openxmlformats.org/spreadsheetml/2006/main" xmlns:r="http://schemas.openxmlformats.org/officeDocument/2006/relationships">
  <sheetPr/>
  <sheetViews>
    <sheetView zoomScale="75" workbookViewId="0"/>
  </sheetViews>
  <pageMargins left="0.75" right="0.75" top="0.78" bottom="0.67" header="0.5" footer="0.5"/>
  <pageSetup orientation="landscape" horizontalDpi="300" verticalDpi="300"/>
  <headerFooter alignWithMargins="0">
    <oddHeader>&amp;C&amp;"Arial,Bold"&amp;14CH4 - CO2 - H2S Ternary</oddHeader>
    <oddFooter>&amp;C&amp;F&amp;R&amp;D</oddFooter>
  </headerFooter>
  <drawing r:id="rId1"/>
</chartsheet>
</file>

<file path=xl/chartsheets/sheet8.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headerFooter alignWithMargins="0">
    <oddHeader>&amp;C&amp;"Arial,Bold"&amp;14N2 - CO2 - Ar Ternary</oddHeader>
    <oddFooter>&amp;C&amp;F&amp;R&amp;D</oddFooter>
  </headerFooter>
  <drawing r:id="rId1"/>
</chartsheet>
</file>

<file path=xl/chartsheets/sheet9.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headerFooter alignWithMargins="0">
    <oddHeader>&amp;C&amp;"Arial,Bold"&amp;14N2 - He - Ar Ternary</oddHeader>
    <oddFooter>&amp;C&amp;F&amp;R&amp;D</oddFooter>
  </headerFooter>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923020" cy="638556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64880" cy="632460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0.14725</cdr:x>
      <cdr:y>0.22575</cdr:y>
    </cdr:from>
    <cdr:to>
      <cdr:x>0.31725</cdr:x>
      <cdr:y>0.304</cdr:y>
    </cdr:to>
    <cdr:sp macro="" textlink="">
      <cdr:nvSpPr>
        <cdr:cNvPr id="343045" name="Text Box 5"/>
        <cdr:cNvSpPr txBox="1">
          <a:spLocks xmlns:a="http://schemas.openxmlformats.org/drawingml/2006/main" noChangeArrowheads="1"/>
        </cdr:cNvSpPr>
      </cdr:nvSpPr>
      <cdr:spPr bwMode="auto">
        <a:xfrm xmlns:a="http://schemas.openxmlformats.org/drawingml/2006/main">
          <a:off x="1261179" y="1427778"/>
          <a:ext cx="1456029" cy="494900"/>
        </a:xfrm>
        <a:prstGeom xmlns:a="http://schemas.openxmlformats.org/drawingml/2006/main" prst="rect">
          <a:avLst/>
        </a:prstGeom>
        <a:noFill xmlns:a="http://schemas.openxmlformats.org/drawingml/2006/main"/>
        <a:ln xmlns:a="http://schemas.openxmlformats.org/drawingml/2006/main" w="12700">
          <a:solidFill>
            <a:srgbClr val="000000"/>
          </a:solidFill>
          <a:miter lim="800000"/>
          <a:headEnd/>
          <a:tailEnd/>
        </a:ln>
        <a:effectLst xmlns:a="http://schemas.openxmlformats.org/drawingml/2006/main"/>
      </cdr:spPr>
      <cdr:txBody>
        <a:bodyPr xmlns:a="http://schemas.openxmlformats.org/drawingml/2006/main" vertOverflow="clip" wrap="square" lIns="45720" tIns="32004" rIns="0" bIns="32004" anchor="ctr" upright="1"/>
        <a:lstStyle xmlns:a="http://schemas.openxmlformats.org/drawingml/2006/main"/>
        <a:p xmlns:a="http://schemas.openxmlformats.org/drawingml/2006/main">
          <a:pPr algn="l" rtl="0">
            <a:defRPr sz="1000"/>
          </a:pPr>
          <a:r>
            <a:rPr lang="en-US" sz="1400" b="0" i="0" u="none" strike="noStrike" baseline="0">
              <a:solidFill>
                <a:srgbClr val="000000"/>
              </a:solidFill>
              <a:latin typeface="Arial"/>
              <a:cs typeface="Arial"/>
            </a:rPr>
            <a:t> Chart R</a:t>
          </a:r>
          <a:r>
            <a:rPr lang="en-US" sz="1400" b="0" i="0" u="none" strike="noStrike" baseline="-25000">
              <a:solidFill>
                <a:srgbClr val="000000"/>
              </a:solidFill>
              <a:latin typeface="Arial"/>
              <a:cs typeface="Arial"/>
            </a:rPr>
            <a:t>H</a:t>
          </a:r>
          <a:r>
            <a:rPr lang="en-US" sz="1400" b="0" i="0" u="none" strike="noStrike" baseline="0">
              <a:solidFill>
                <a:srgbClr val="000000"/>
              </a:solidFill>
              <a:latin typeface="Arial"/>
              <a:cs typeface="Arial"/>
            </a:rPr>
            <a:t> =</a:t>
          </a:r>
        </a:p>
      </cdr:txBody>
    </cdr:sp>
  </cdr:relSizeAnchor>
  <cdr:relSizeAnchor xmlns:cdr="http://schemas.openxmlformats.org/drawingml/2006/chartDrawing">
    <cdr:from>
      <cdr:x>0.26938</cdr:x>
      <cdr:y>0.24273</cdr:y>
    </cdr:from>
    <cdr:to>
      <cdr:x>0.31412</cdr:x>
      <cdr:y>0.28702</cdr:y>
    </cdr:to>
    <cdr:sp macro="" textlink="input!$J$5">
      <cdr:nvSpPr>
        <cdr:cNvPr id="343046" name="Text Box 6"/>
        <cdr:cNvSpPr txBox="1">
          <a:spLocks xmlns:a="http://schemas.openxmlformats.org/drawingml/2006/main" noChangeArrowheads="1" noTextEdit="1"/>
        </cdr:cNvSpPr>
      </cdr:nvSpPr>
      <cdr:spPr bwMode="auto">
        <a:xfrm xmlns:a="http://schemas.openxmlformats.org/drawingml/2006/main">
          <a:off x="2307187" y="1535190"/>
          <a:ext cx="383233" cy="2800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fld id="{3826D0B0-703B-4883-BFC1-9F72FA643F16}" type="TxLink">
            <a:rPr lang="en-US" sz="1400" b="0" i="0" u="none" strike="noStrike" baseline="0">
              <a:solidFill>
                <a:srgbClr val="000000"/>
              </a:solidFill>
              <a:latin typeface="Arial"/>
              <a:cs typeface="Arial"/>
            </a:rPr>
            <a:pPr algn="ctr" rtl="0">
              <a:defRPr sz="1000"/>
            </a:pPr>
            <a:t>-2.8</a:t>
          </a:fld>
          <a:endParaRPr lang="en-US" sz="1400" b="0" i="0" u="none" strike="noStrike" baseline="0">
            <a:solidFill>
              <a:srgbClr val="000000"/>
            </a:solidFill>
            <a:latin typeface="Arial"/>
            <a:cs typeface="Arial"/>
          </a:endParaRPr>
        </a:p>
      </cdr:txBody>
    </cdr:sp>
  </cdr:relSizeAnchor>
  <cdr:relSizeAnchor xmlns:cdr="http://schemas.openxmlformats.org/drawingml/2006/chartDrawing">
    <cdr:from>
      <cdr:x>0.14625</cdr:x>
      <cdr:y>0.32425</cdr:y>
    </cdr:from>
    <cdr:to>
      <cdr:x>0.2885</cdr:x>
      <cdr:y>0.4375</cdr:y>
    </cdr:to>
    <cdr:sp macro="" textlink="">
      <cdr:nvSpPr>
        <cdr:cNvPr id="343047" name="Text Box 7"/>
        <cdr:cNvSpPr txBox="1">
          <a:spLocks xmlns:a="http://schemas.openxmlformats.org/drawingml/2006/main" noChangeArrowheads="1"/>
        </cdr:cNvSpPr>
      </cdr:nvSpPr>
      <cdr:spPr bwMode="auto">
        <a:xfrm xmlns:a="http://schemas.openxmlformats.org/drawingml/2006/main">
          <a:off x="1252614" y="2050752"/>
          <a:ext cx="1218354" cy="716261"/>
        </a:xfrm>
        <a:prstGeom xmlns:a="http://schemas.openxmlformats.org/drawingml/2006/main" prst="rect">
          <a:avLst/>
        </a:prstGeom>
        <a:noFill xmlns:a="http://schemas.openxmlformats.org/drawingml/2006/main"/>
        <a:ln xmlns:a="http://schemas.openxmlformats.org/drawingml/2006/main" w="12700">
          <a:solidFill>
            <a:srgbClr val="000000"/>
          </a:solidFill>
          <a:miter lim="800000"/>
          <a:headEnd/>
          <a:tailEnd/>
        </a:ln>
        <a:effectLst xmlns:a="http://schemas.openxmlformats.org/drawingml/2006/main"/>
      </cdr:spPr>
      <cdr:txBody>
        <a:bodyPr xmlns:a="http://schemas.openxmlformats.org/drawingml/2006/main" vertOverflow="clip" wrap="square" lIns="45720" tIns="32004" rIns="0" bIns="0" anchor="t" upright="1"/>
        <a:lstStyle xmlns:a="http://schemas.openxmlformats.org/drawingml/2006/main"/>
        <a:p xmlns:a="http://schemas.openxmlformats.org/drawingml/2006/main">
          <a:pPr algn="l" rtl="0">
            <a:defRPr sz="1000"/>
          </a:pPr>
          <a:r>
            <a:rPr lang="en-US" sz="1400" b="0" i="0" u="none" strike="noStrike" baseline="0">
              <a:solidFill>
                <a:srgbClr val="000000"/>
              </a:solidFill>
              <a:latin typeface="Arial"/>
              <a:cs typeface="Arial"/>
            </a:rPr>
            <a:t> Reservoir</a:t>
          </a:r>
        </a:p>
        <a:p xmlns:a="http://schemas.openxmlformats.org/drawingml/2006/main">
          <a:pPr algn="l" rtl="0">
            <a:defRPr sz="1000"/>
          </a:pPr>
          <a:r>
            <a:rPr lang="en-US" sz="1400" b="0" i="0" u="none" strike="noStrike" baseline="0">
              <a:solidFill>
                <a:srgbClr val="000000"/>
              </a:solidFill>
              <a:latin typeface="Arial"/>
              <a:cs typeface="Arial"/>
            </a:rPr>
            <a:t> Temperature</a:t>
          </a:r>
        </a:p>
      </cdr:txBody>
    </cdr:sp>
  </cdr:relSizeAnchor>
  <cdr:relSizeAnchor xmlns:cdr="http://schemas.openxmlformats.org/drawingml/2006/chartDrawing">
    <cdr:from>
      <cdr:x>0.16295</cdr:x>
      <cdr:y>0.39223</cdr:y>
    </cdr:from>
    <cdr:to>
      <cdr:x>0.20655</cdr:x>
      <cdr:y>0.43652</cdr:y>
    </cdr:to>
    <cdr:sp macro="" textlink="input!$J$6">
      <cdr:nvSpPr>
        <cdr:cNvPr id="343048" name="Text Box 8"/>
        <cdr:cNvSpPr txBox="1">
          <a:spLocks xmlns:a="http://schemas.openxmlformats.org/drawingml/2006/main" noChangeArrowheads="1" noTextEdit="1"/>
        </cdr:cNvSpPr>
      </cdr:nvSpPr>
      <cdr:spPr bwMode="auto">
        <a:xfrm xmlns:a="http://schemas.openxmlformats.org/drawingml/2006/main">
          <a:off x="1395654" y="2480718"/>
          <a:ext cx="373415" cy="2800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fld id="{4CC6E369-15C8-428B-BEC6-E81BD0492150}" type="TxLink">
            <a:rPr lang="en-US" sz="1400" b="0" i="0" u="none" strike="noStrike" baseline="0">
              <a:solidFill>
                <a:srgbClr val="000000"/>
              </a:solidFill>
              <a:latin typeface="Arial"/>
              <a:cs typeface="Arial"/>
            </a:rPr>
            <a:pPr algn="ctr" rtl="0">
              <a:defRPr sz="1000"/>
            </a:pPr>
            <a:t>200</a:t>
          </a:fld>
          <a:endParaRPr lang="en-US" sz="1400" b="0" i="0" u="none" strike="noStrike" baseline="0">
            <a:solidFill>
              <a:srgbClr val="000000"/>
            </a:solidFill>
            <a:latin typeface="Arial"/>
            <a:cs typeface="Arial"/>
          </a:endParaRP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564880" cy="672084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564880" cy="672084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923020" cy="638556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0.49925</cdr:x>
      <cdr:y>0.41325</cdr:y>
    </cdr:from>
    <cdr:to>
      <cdr:x>0.5105</cdr:x>
      <cdr:y>0.44525</cdr:y>
    </cdr:to>
    <cdr:sp macro="" textlink="input!$E$40">
      <cdr:nvSpPr>
        <cdr:cNvPr id="354305" name="Text Box 1"/>
        <cdr:cNvSpPr txBox="1">
          <a:spLocks xmlns:a="http://schemas.openxmlformats.org/drawingml/2006/main" noChangeArrowheads="1" noTextEdit="1"/>
        </cdr:cNvSpPr>
      </cdr:nvSpPr>
      <cdr:spPr bwMode="auto">
        <a:xfrm xmlns:a="http://schemas.openxmlformats.org/drawingml/2006/main">
          <a:off x="4454818" y="2638833"/>
          <a:ext cx="100384" cy="20433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fld id="{B8ED8906-54B0-48D0-884F-A3472E513BC6}" type="TxLink">
            <a:rPr lang="en-US"/>
            <a:pPr/>
            <a:t> </a:t>
          </a:fld>
          <a:endParaRPr lang="en-US"/>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923020" cy="638556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278880" cy="810768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0.179</cdr:x>
      <cdr:y>0.1645</cdr:y>
    </cdr:from>
    <cdr:to>
      <cdr:x>0.30775</cdr:x>
      <cdr:y>0.1965</cdr:y>
    </cdr:to>
    <cdr:sp macro="" textlink="">
      <cdr:nvSpPr>
        <cdr:cNvPr id="117767" name="Text Box 7"/>
        <cdr:cNvSpPr txBox="1">
          <a:spLocks xmlns:a="http://schemas.openxmlformats.org/drawingml/2006/main" noChangeArrowheads="1"/>
        </cdr:cNvSpPr>
      </cdr:nvSpPr>
      <cdr:spPr bwMode="auto">
        <a:xfrm xmlns:a="http://schemas.openxmlformats.org/drawingml/2006/main">
          <a:off x="1123920" y="1333713"/>
          <a:ext cx="808405" cy="259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32004" rIns="27432" bIns="32004" anchor="ctr" upright="1">
          <a:spAutoFit/>
        </a:bodyPr>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GRID RH = </a:t>
          </a:r>
        </a:p>
      </cdr:txBody>
    </cdr:sp>
  </cdr:relSizeAnchor>
  <cdr:relSizeAnchor xmlns:cdr="http://schemas.openxmlformats.org/drawingml/2006/chartDrawing">
    <cdr:from>
      <cdr:x>0.30347</cdr:x>
      <cdr:y>0.16513</cdr:y>
    </cdr:from>
    <cdr:to>
      <cdr:x>0.35453</cdr:x>
      <cdr:y>0.19587</cdr:y>
    </cdr:to>
    <cdr:sp macro="" textlink="input!$S$3">
      <cdr:nvSpPr>
        <cdr:cNvPr id="117768" name="Text Box 8"/>
        <cdr:cNvSpPr txBox="1">
          <a:spLocks xmlns:a="http://schemas.openxmlformats.org/drawingml/2006/main" noChangeArrowheads="1" noTextEdit="1"/>
        </cdr:cNvSpPr>
      </cdr:nvSpPr>
      <cdr:spPr bwMode="auto">
        <a:xfrm xmlns:a="http://schemas.openxmlformats.org/drawingml/2006/main">
          <a:off x="1905465" y="1338786"/>
          <a:ext cx="320572" cy="2492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32004" rIns="27432" bIns="32004" anchor="ctr" upright="1">
          <a:spAutoFit/>
        </a:bodyPr>
        <a:lstStyle xmlns:a="http://schemas.openxmlformats.org/drawingml/2006/main"/>
        <a:p xmlns:a="http://schemas.openxmlformats.org/drawingml/2006/main">
          <a:pPr algn="ctr" rtl="0">
            <a:defRPr sz="1000"/>
          </a:pPr>
          <a:fld id="{B3E5A734-CAE6-49CC-B28A-08247113656F}" type="TxLink">
            <a:rPr lang="en-US" sz="1200" b="1" i="0" u="none" strike="noStrike" baseline="0">
              <a:solidFill>
                <a:srgbClr val="000000"/>
              </a:solidFill>
              <a:latin typeface="Arial"/>
              <a:cs typeface="Arial"/>
            </a:rPr>
            <a:pPr algn="ctr" rtl="0">
              <a:defRPr sz="1000"/>
            </a:pPr>
            <a:t>-2.8</a:t>
          </a:fld>
          <a:endParaRPr lang="en-US" sz="1200" b="1"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64880" cy="582168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0.14525</cdr:x>
      <cdr:y>0.19425</cdr:y>
    </cdr:from>
    <cdr:to>
      <cdr:x>0.2565</cdr:x>
      <cdr:y>0.25975</cdr:y>
    </cdr:to>
    <cdr:sp macro="" textlink="">
      <cdr:nvSpPr>
        <cdr:cNvPr id="157707" name="Text Box 11"/>
        <cdr:cNvSpPr txBox="1">
          <a:spLocks xmlns:a="http://schemas.openxmlformats.org/drawingml/2006/main" noChangeArrowheads="1"/>
        </cdr:cNvSpPr>
      </cdr:nvSpPr>
      <cdr:spPr bwMode="auto">
        <a:xfrm xmlns:a="http://schemas.openxmlformats.org/drawingml/2006/main">
          <a:off x="1244049" y="1130861"/>
          <a:ext cx="952843" cy="3813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32004" rIns="36576" bIns="32004" anchor="ctr" upright="1"/>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GRID RH = </a:t>
          </a:r>
        </a:p>
      </cdr:txBody>
    </cdr:sp>
  </cdr:relSizeAnchor>
  <cdr:relSizeAnchor xmlns:cdr="http://schemas.openxmlformats.org/drawingml/2006/chartDrawing">
    <cdr:from>
      <cdr:x>0.24</cdr:x>
      <cdr:y>0.19425</cdr:y>
    </cdr:from>
    <cdr:to>
      <cdr:x>0.2925</cdr:x>
      <cdr:y>0.25975</cdr:y>
    </cdr:to>
    <cdr:sp macro="" textlink="input!$R$3">
      <cdr:nvSpPr>
        <cdr:cNvPr id="157708" name="Text Box 12"/>
        <cdr:cNvSpPr txBox="1">
          <a:spLocks xmlns:a="http://schemas.openxmlformats.org/drawingml/2006/main" noChangeArrowheads="1" noTextEdit="1"/>
        </cdr:cNvSpPr>
      </cdr:nvSpPr>
      <cdr:spPr bwMode="auto">
        <a:xfrm xmlns:a="http://schemas.openxmlformats.org/drawingml/2006/main">
          <a:off x="2055571" y="1130861"/>
          <a:ext cx="449656" cy="381320"/>
        </a:xfrm>
        <a:prstGeom xmlns:a="http://schemas.openxmlformats.org/drawingml/2006/main" prst="rect">
          <a:avLst/>
        </a:prstGeom>
        <a:noFill xmlns:a="http://schemas.openxmlformats.org/drawingml/2006/main"/>
        <a:ln xmlns:a="http://schemas.openxmlformats.org/drawingml/2006/main" w="12700">
          <a:noFill/>
          <a:miter lim="800000"/>
          <a:headEnd/>
          <a:tailEnd/>
        </a:ln>
        <a:effectLst xmlns:a="http://schemas.openxmlformats.org/drawingml/2006/main"/>
      </cdr:spPr>
      <cdr:txBody>
        <a:bodyPr xmlns:a="http://schemas.openxmlformats.org/drawingml/2006/main" vertOverflow="clip" wrap="square" lIns="36576" tIns="32004" rIns="36576" bIns="32004" anchor="ctr" upright="1"/>
        <a:lstStyle xmlns:a="http://schemas.openxmlformats.org/drawingml/2006/main"/>
        <a:p xmlns:a="http://schemas.openxmlformats.org/drawingml/2006/main">
          <a:pPr algn="ctr" rtl="0">
            <a:defRPr sz="1000"/>
          </a:pPr>
          <a:fld id="{DC7FB1EF-580A-455A-BD79-5F6E55EEFD20}" type="TxLink">
            <a:rPr lang="en-US" sz="1200" b="1" i="0" u="none" strike="noStrike" baseline="0">
              <a:solidFill>
                <a:srgbClr val="000000"/>
              </a:solidFill>
              <a:latin typeface="Arial"/>
              <a:cs typeface="Arial"/>
            </a:rPr>
            <a:pPr algn="ctr" rtl="0">
              <a:defRPr sz="1000"/>
            </a:pPr>
            <a:t>-2.8</a:t>
          </a:fld>
          <a:endParaRPr lang="en-US" sz="1200" b="1" i="0" u="none" strike="noStrike" baseline="0">
            <a:solidFill>
              <a:srgbClr val="000000"/>
            </a:solidFill>
            <a:latin typeface="Arial"/>
            <a:cs typeface="Aria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564880" cy="6720840"/>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76"/>
  <sheetViews>
    <sheetView showZeros="0" topLeftCell="A4" zoomScale="75" workbookViewId="0">
      <selection activeCell="A3" sqref="A3"/>
    </sheetView>
  </sheetViews>
  <sheetFormatPr baseColWidth="10" defaultColWidth="9.1640625" defaultRowHeight="12" x14ac:dyDescent="0"/>
  <cols>
    <col min="1" max="1" width="15.1640625" style="1" customWidth="1"/>
    <col min="2" max="2" width="12" style="2" customWidth="1"/>
    <col min="3" max="3" width="7.5" style="3" customWidth="1"/>
    <col min="4" max="4" width="9" style="119" customWidth="1"/>
    <col min="5" max="5" width="16.33203125" style="3" customWidth="1"/>
    <col min="6" max="6" width="9.5" style="1" customWidth="1"/>
    <col min="7" max="7" width="9.83203125" style="1" customWidth="1"/>
    <col min="8" max="8" width="8.6640625" style="1" customWidth="1"/>
    <col min="9" max="9" width="9.83203125" style="1" bestFit="1" customWidth="1"/>
    <col min="10" max="15" width="9.5" style="1" bestFit="1" customWidth="1"/>
    <col min="16" max="17" width="9.1640625" style="1"/>
    <col min="18" max="18" width="10.5" style="1" bestFit="1" customWidth="1"/>
    <col min="19" max="19" width="11.5" style="1" customWidth="1"/>
    <col min="20" max="34" width="10.33203125" style="78" hidden="1" customWidth="1"/>
    <col min="35" max="35" width="10.33203125" style="1" customWidth="1"/>
    <col min="36" max="36" width="10.83203125" style="1" customWidth="1"/>
    <col min="37" max="39" width="10.33203125" style="1" customWidth="1"/>
    <col min="40" max="40" width="10.33203125" style="78" hidden="1" customWidth="1"/>
    <col min="41" max="42" width="0" style="93" hidden="1" customWidth="1"/>
    <col min="43" max="43" width="11" style="88" hidden="1" customWidth="1"/>
    <col min="44" max="44" width="9.5" style="89" hidden="1" customWidth="1"/>
    <col min="45" max="45" width="12" style="89" hidden="1" customWidth="1"/>
    <col min="46" max="46" width="12.6640625" style="89" hidden="1" customWidth="1"/>
    <col min="47" max="47" width="12" style="89" hidden="1" customWidth="1"/>
    <col min="48" max="48" width="11" style="89" hidden="1" customWidth="1"/>
    <col min="49" max="49" width="12" style="89" hidden="1" customWidth="1"/>
    <col min="50" max="50" width="10.5" style="89" hidden="1" customWidth="1"/>
    <col min="51" max="51" width="9.83203125" style="89" hidden="1" customWidth="1"/>
    <col min="52" max="52" width="12.6640625" style="89" hidden="1" customWidth="1"/>
    <col min="53" max="58" width="0" style="89" hidden="1" customWidth="1"/>
    <col min="59" max="59" width="11.33203125" style="89" hidden="1" customWidth="1"/>
    <col min="60" max="60" width="10.1640625" style="89" hidden="1" customWidth="1"/>
    <col min="61" max="61" width="12.33203125" style="89" hidden="1" customWidth="1"/>
    <col min="62" max="62" width="13.1640625" style="89" hidden="1" customWidth="1"/>
    <col min="63" max="63" width="13.83203125" style="89" hidden="1" customWidth="1"/>
    <col min="64" max="83" width="0" style="89" hidden="1" customWidth="1"/>
    <col min="84" max="16384" width="9.1640625" style="1"/>
  </cols>
  <sheetData>
    <row r="1" spans="1:83">
      <c r="A1" s="49" t="s">
        <v>63</v>
      </c>
      <c r="E1" s="243" t="s">
        <v>121</v>
      </c>
      <c r="F1" s="50" t="s">
        <v>87</v>
      </c>
      <c r="I1" s="49" t="s">
        <v>88</v>
      </c>
      <c r="L1" s="49" t="s">
        <v>89</v>
      </c>
      <c r="O1" s="49" t="s">
        <v>94</v>
      </c>
      <c r="R1" s="63" t="s">
        <v>134</v>
      </c>
      <c r="S1" s="63" t="s">
        <v>136</v>
      </c>
    </row>
    <row r="2" spans="1:83">
      <c r="E2" s="243"/>
      <c r="F2" s="48" t="s">
        <v>19</v>
      </c>
      <c r="G2" s="51">
        <v>1</v>
      </c>
      <c r="I2" s="48" t="s">
        <v>22</v>
      </c>
      <c r="J2" s="51">
        <v>200</v>
      </c>
      <c r="L2" s="48" t="s">
        <v>23</v>
      </c>
      <c r="M2" s="51">
        <v>100</v>
      </c>
      <c r="O2" s="48" t="s">
        <v>23</v>
      </c>
      <c r="P2" s="51">
        <v>1</v>
      </c>
      <c r="R2" s="63" t="s">
        <v>135</v>
      </c>
      <c r="S2" s="63" t="s">
        <v>135</v>
      </c>
    </row>
    <row r="3" spans="1:83">
      <c r="E3" s="243"/>
      <c r="F3" s="48" t="s">
        <v>20</v>
      </c>
      <c r="G3" s="52">
        <v>10</v>
      </c>
      <c r="I3" s="48" t="s">
        <v>19</v>
      </c>
      <c r="J3" s="52">
        <v>1</v>
      </c>
      <c r="L3" s="48" t="s">
        <v>19</v>
      </c>
      <c r="M3" s="52">
        <v>1</v>
      </c>
      <c r="O3" s="48" t="s">
        <v>29</v>
      </c>
      <c r="P3" s="52">
        <v>1000</v>
      </c>
      <c r="R3" s="66">
        <v>-2.8</v>
      </c>
      <c r="S3" s="66">
        <v>-2.8</v>
      </c>
    </row>
    <row r="4" spans="1:83">
      <c r="E4" s="243"/>
      <c r="F4" s="48" t="s">
        <v>24</v>
      </c>
      <c r="G4" s="53">
        <v>200</v>
      </c>
      <c r="I4" s="48" t="s">
        <v>20</v>
      </c>
      <c r="J4" s="52">
        <v>10</v>
      </c>
      <c r="L4" s="48" t="s">
        <v>25</v>
      </c>
      <c r="M4" s="53">
        <v>10000</v>
      </c>
      <c r="O4" s="48" t="s">
        <v>25</v>
      </c>
      <c r="P4" s="53">
        <v>100</v>
      </c>
    </row>
    <row r="5" spans="1:83" s="11" customFormat="1" ht="15">
      <c r="B5" s="12"/>
      <c r="C5" s="13"/>
      <c r="D5" s="120"/>
      <c r="E5" s="13"/>
      <c r="I5" s="67" t="s">
        <v>135</v>
      </c>
      <c r="J5" s="69">
        <v>-2.8</v>
      </c>
      <c r="T5" s="80"/>
      <c r="U5" s="80"/>
      <c r="V5" s="80"/>
      <c r="W5" s="80"/>
      <c r="X5" s="80"/>
      <c r="Y5" s="80"/>
      <c r="Z5" s="80"/>
      <c r="AA5" s="80"/>
      <c r="AB5" s="80"/>
      <c r="AC5" s="80"/>
      <c r="AD5" s="80"/>
      <c r="AE5" s="80"/>
      <c r="AF5" s="80"/>
      <c r="AG5" s="80"/>
      <c r="AH5" s="80"/>
      <c r="AN5" s="80"/>
      <c r="AO5" s="81"/>
      <c r="AP5" s="81"/>
      <c r="AQ5" s="85"/>
      <c r="AR5" s="94"/>
      <c r="AS5" s="94"/>
      <c r="AT5" s="94"/>
      <c r="AU5" s="94"/>
      <c r="AV5" s="94"/>
      <c r="AW5" s="94"/>
      <c r="AX5" s="94"/>
      <c r="AY5" s="89"/>
      <c r="AZ5" s="94"/>
      <c r="BA5" s="94"/>
      <c r="BB5" s="94"/>
      <c r="BC5" s="94"/>
      <c r="BD5" s="94"/>
      <c r="BE5" s="94"/>
      <c r="BF5" s="94"/>
      <c r="BG5" s="94"/>
      <c r="BH5" s="94"/>
      <c r="BI5" s="94"/>
      <c r="BJ5" s="94"/>
      <c r="BK5" s="95"/>
      <c r="BL5" s="235" t="s">
        <v>87</v>
      </c>
      <c r="BM5" s="236"/>
      <c r="BN5" s="236"/>
      <c r="BO5" s="236"/>
      <c r="BP5" s="237"/>
      <c r="BQ5" s="235" t="s">
        <v>88</v>
      </c>
      <c r="BR5" s="236"/>
      <c r="BS5" s="236"/>
      <c r="BT5" s="236"/>
      <c r="BU5" s="237"/>
      <c r="BV5" s="235" t="s">
        <v>89</v>
      </c>
      <c r="BW5" s="236"/>
      <c r="BX5" s="236"/>
      <c r="BY5" s="236"/>
      <c r="BZ5" s="237"/>
      <c r="CA5" s="235" t="s">
        <v>94</v>
      </c>
      <c r="CB5" s="236"/>
      <c r="CC5" s="236"/>
      <c r="CD5" s="236"/>
      <c r="CE5" s="237"/>
    </row>
    <row r="6" spans="1:83" s="11" customFormat="1" ht="15">
      <c r="B6" s="12"/>
      <c r="C6" s="13"/>
      <c r="D6" s="120"/>
      <c r="E6" s="13"/>
      <c r="I6" s="228" t="s">
        <v>234</v>
      </c>
      <c r="J6" s="70">
        <v>200</v>
      </c>
      <c r="T6" s="80"/>
      <c r="U6" s="80"/>
      <c r="V6" s="80"/>
      <c r="W6" s="80"/>
      <c r="X6" s="80"/>
      <c r="Y6" s="80"/>
      <c r="Z6" s="80"/>
      <c r="AA6" s="80"/>
      <c r="AB6" s="80"/>
      <c r="AC6" s="80"/>
      <c r="AD6" s="80"/>
      <c r="AE6" s="80"/>
      <c r="AF6" s="80"/>
      <c r="AG6" s="80"/>
      <c r="AH6" s="80"/>
      <c r="AN6" s="80"/>
      <c r="AO6" s="81"/>
      <c r="AP6" s="81"/>
      <c r="AQ6" s="85"/>
      <c r="AR6" s="94"/>
      <c r="AS6" s="94"/>
      <c r="AT6" s="94"/>
      <c r="AU6" s="94"/>
      <c r="AV6" s="94"/>
      <c r="AW6" s="94"/>
      <c r="AX6" s="94"/>
      <c r="AY6" s="89"/>
      <c r="AZ6" s="94"/>
      <c r="BA6" s="94"/>
      <c r="BB6" s="94"/>
      <c r="BC6" s="94"/>
      <c r="BD6" s="94"/>
      <c r="BE6" s="94"/>
      <c r="BF6" s="94"/>
      <c r="BG6" s="94"/>
      <c r="BH6" s="94"/>
      <c r="BI6" s="94"/>
      <c r="BJ6" s="94"/>
      <c r="BK6" s="95"/>
      <c r="BL6" s="96"/>
      <c r="BM6" s="97"/>
      <c r="BN6" s="97"/>
      <c r="BO6" s="97"/>
      <c r="BP6" s="98"/>
      <c r="BQ6" s="96"/>
      <c r="BR6" s="97"/>
      <c r="BS6" s="97"/>
      <c r="BT6" s="97"/>
      <c r="BU6" s="98"/>
      <c r="BV6" s="96"/>
      <c r="BW6" s="97"/>
      <c r="BX6" s="97"/>
      <c r="BY6" s="97"/>
      <c r="BZ6" s="98"/>
      <c r="CA6" s="96"/>
      <c r="CB6" s="97"/>
      <c r="CC6" s="97"/>
      <c r="CD6" s="97"/>
      <c r="CE6" s="98"/>
    </row>
    <row r="7" spans="1:83" s="11" customFormat="1" ht="15">
      <c r="B7" s="12"/>
      <c r="C7" s="13"/>
      <c r="D7" s="120"/>
      <c r="E7" s="13"/>
      <c r="I7" s="67"/>
      <c r="J7" s="68"/>
      <c r="T7" s="82" t="s">
        <v>161</v>
      </c>
      <c r="U7" s="80"/>
      <c r="V7" s="80"/>
      <c r="W7" s="80"/>
      <c r="X7" s="80"/>
      <c r="Y7" s="80"/>
      <c r="Z7" s="80"/>
      <c r="AA7" s="80"/>
      <c r="AB7" s="80"/>
      <c r="AC7" s="80"/>
      <c r="AD7" s="80"/>
      <c r="AE7" s="80"/>
      <c r="AF7" s="80"/>
      <c r="AG7" s="80"/>
      <c r="AH7" s="80"/>
      <c r="AN7" s="80"/>
      <c r="AO7" s="81"/>
      <c r="AP7" s="81"/>
      <c r="AQ7" s="85"/>
      <c r="AR7" s="94"/>
      <c r="AS7" s="94"/>
      <c r="AT7" s="94"/>
      <c r="AU7" s="94"/>
      <c r="AV7" s="94"/>
      <c r="AW7" s="94"/>
      <c r="AX7" s="94"/>
      <c r="AY7" s="89"/>
      <c r="AZ7" s="94"/>
      <c r="BA7" s="94"/>
      <c r="BB7" s="94"/>
      <c r="BC7" s="94"/>
      <c r="BD7" s="94"/>
      <c r="BE7" s="94"/>
      <c r="BF7" s="94"/>
      <c r="BG7" s="94"/>
      <c r="BH7" s="94"/>
      <c r="BI7" s="94"/>
      <c r="BJ7" s="94"/>
      <c r="BK7" s="95"/>
      <c r="BL7" s="96"/>
      <c r="BM7" s="97"/>
      <c r="BN7" s="97"/>
      <c r="BO7" s="97"/>
      <c r="BP7" s="98"/>
      <c r="BQ7" s="96"/>
      <c r="BR7" s="97"/>
      <c r="BS7" s="97"/>
      <c r="BT7" s="97"/>
      <c r="BU7" s="98"/>
      <c r="BV7" s="96"/>
      <c r="BW7" s="97"/>
      <c r="BX7" s="97"/>
      <c r="BY7" s="97"/>
      <c r="BZ7" s="98"/>
      <c r="CA7" s="96"/>
      <c r="CB7" s="97"/>
      <c r="CC7" s="97"/>
      <c r="CD7" s="97"/>
      <c r="CE7" s="98"/>
    </row>
    <row r="8" spans="1:83" s="14" customFormat="1" ht="42.75" customHeight="1">
      <c r="A8" s="244" t="s">
        <v>176</v>
      </c>
      <c r="B8" s="245"/>
      <c r="C8" s="245"/>
      <c r="D8" s="246"/>
      <c r="E8" s="17" t="s">
        <v>71</v>
      </c>
      <c r="F8" s="240" t="s">
        <v>120</v>
      </c>
      <c r="G8" s="241"/>
      <c r="H8" s="242"/>
      <c r="I8" s="240" t="s">
        <v>233</v>
      </c>
      <c r="J8" s="241"/>
      <c r="K8" s="241"/>
      <c r="L8" s="241"/>
      <c r="M8" s="241"/>
      <c r="N8" s="241"/>
      <c r="O8" s="241"/>
      <c r="P8" s="241"/>
      <c r="Q8" s="241"/>
      <c r="R8" s="241"/>
      <c r="S8" s="242"/>
      <c r="T8" s="83" t="s">
        <v>162</v>
      </c>
      <c r="U8" s="84" t="s">
        <v>133</v>
      </c>
      <c r="V8" s="84" t="s">
        <v>163</v>
      </c>
      <c r="W8" s="84" t="s">
        <v>164</v>
      </c>
      <c r="X8" s="84" t="s">
        <v>165</v>
      </c>
      <c r="Y8" s="84" t="s">
        <v>166</v>
      </c>
      <c r="Z8" s="84" t="s">
        <v>167</v>
      </c>
      <c r="AA8" s="84" t="s">
        <v>168</v>
      </c>
      <c r="AB8" s="83" t="s">
        <v>169</v>
      </c>
      <c r="AC8" s="84" t="s">
        <v>170</v>
      </c>
      <c r="AD8" s="84" t="s">
        <v>171</v>
      </c>
      <c r="AE8" s="84" t="s">
        <v>172</v>
      </c>
      <c r="AF8" s="83" t="s">
        <v>173</v>
      </c>
      <c r="AG8" s="84" t="s">
        <v>174</v>
      </c>
      <c r="AH8" s="84" t="s">
        <v>175</v>
      </c>
      <c r="AI8" s="20"/>
      <c r="AJ8" s="20"/>
      <c r="AK8" s="20"/>
      <c r="AL8" s="20"/>
      <c r="AM8" s="20"/>
      <c r="AN8" s="84"/>
      <c r="AO8" s="99"/>
      <c r="AP8" s="99"/>
      <c r="AQ8" s="100"/>
      <c r="AR8" s="100"/>
      <c r="AS8" s="100"/>
      <c r="AT8" s="100"/>
      <c r="AU8" s="100"/>
      <c r="AV8" s="100"/>
      <c r="AW8" s="100"/>
      <c r="AX8" s="100"/>
      <c r="AY8" s="100"/>
      <c r="AZ8" s="100"/>
      <c r="BA8" s="100"/>
      <c r="BB8" s="100"/>
      <c r="BC8" s="100"/>
      <c r="BD8" s="100"/>
      <c r="BE8" s="100"/>
      <c r="BF8" s="100"/>
      <c r="BG8" s="100"/>
      <c r="BH8" s="100"/>
      <c r="BI8" s="100"/>
      <c r="BJ8" s="100"/>
      <c r="BK8" s="101"/>
      <c r="BL8" s="102" t="s">
        <v>19</v>
      </c>
      <c r="BM8" s="103" t="s">
        <v>20</v>
      </c>
      <c r="BN8" s="103" t="s">
        <v>24</v>
      </c>
      <c r="BO8" s="56"/>
      <c r="BP8" s="58"/>
      <c r="BQ8" s="102" t="s">
        <v>22</v>
      </c>
      <c r="BR8" s="103" t="s">
        <v>19</v>
      </c>
      <c r="BS8" s="103" t="s">
        <v>20</v>
      </c>
      <c r="BT8" s="56"/>
      <c r="BU8" s="58"/>
      <c r="BV8" s="102" t="s">
        <v>23</v>
      </c>
      <c r="BW8" s="103" t="s">
        <v>19</v>
      </c>
      <c r="BX8" s="103" t="s">
        <v>25</v>
      </c>
      <c r="BY8" s="56"/>
      <c r="BZ8" s="58"/>
      <c r="CA8" s="102" t="s">
        <v>23</v>
      </c>
      <c r="CB8" s="103" t="s">
        <v>29</v>
      </c>
      <c r="CC8" s="103" t="s">
        <v>25</v>
      </c>
      <c r="CD8" s="56"/>
      <c r="CE8" s="58"/>
    </row>
    <row r="9" spans="1:83" ht="10.5" customHeight="1">
      <c r="F9" s="238" t="s">
        <v>32</v>
      </c>
      <c r="G9" s="239"/>
      <c r="H9" s="247"/>
      <c r="I9" s="238" t="s">
        <v>78</v>
      </c>
      <c r="J9" s="239"/>
      <c r="K9" s="239"/>
      <c r="L9" s="239"/>
      <c r="M9" s="239"/>
      <c r="N9" s="239"/>
      <c r="O9" s="239"/>
      <c r="P9" s="239"/>
      <c r="Q9" s="239"/>
      <c r="R9" s="239"/>
      <c r="S9" s="71"/>
      <c r="U9" s="85"/>
      <c r="V9" s="85"/>
      <c r="W9" s="104" t="s">
        <v>231</v>
      </c>
      <c r="X9" s="85">
        <v>44</v>
      </c>
      <c r="Y9" s="85">
        <v>34</v>
      </c>
      <c r="Z9" s="85">
        <v>17</v>
      </c>
      <c r="AA9" s="85">
        <v>16</v>
      </c>
      <c r="AB9" s="85">
        <v>28</v>
      </c>
      <c r="AC9" s="85">
        <v>40</v>
      </c>
      <c r="AD9" s="85">
        <v>2</v>
      </c>
      <c r="AE9" s="85">
        <v>4</v>
      </c>
      <c r="AF9" s="85">
        <v>28</v>
      </c>
      <c r="AG9" s="85"/>
      <c r="AH9" s="85"/>
      <c r="AI9" s="18"/>
      <c r="AJ9" s="18"/>
      <c r="AK9" s="18"/>
      <c r="AL9" s="18"/>
      <c r="AM9" s="18"/>
      <c r="AN9" s="86"/>
      <c r="AO9" s="88"/>
      <c r="AP9" s="88"/>
      <c r="AQ9" s="232" t="s">
        <v>75</v>
      </c>
      <c r="AR9" s="233"/>
      <c r="AS9" s="233"/>
      <c r="AT9" s="233"/>
      <c r="AU9" s="233"/>
      <c r="AV9" s="233"/>
      <c r="AW9" s="233"/>
      <c r="AX9" s="233"/>
      <c r="AY9" s="233"/>
      <c r="AZ9" s="234"/>
      <c r="BA9" s="85"/>
      <c r="BB9" s="229" t="s">
        <v>220</v>
      </c>
      <c r="BC9" s="230"/>
      <c r="BD9" s="230"/>
      <c r="BE9" s="230"/>
      <c r="BF9" s="230"/>
      <c r="BG9" s="230"/>
      <c r="BH9" s="230"/>
      <c r="BI9" s="230"/>
      <c r="BJ9" s="231"/>
      <c r="BK9" s="103" t="s">
        <v>90</v>
      </c>
      <c r="BL9" s="57">
        <f>G2</f>
        <v>1</v>
      </c>
      <c r="BM9" s="56">
        <f>G3</f>
        <v>10</v>
      </c>
      <c r="BN9" s="56">
        <f>G4</f>
        <v>200</v>
      </c>
      <c r="BO9" s="56"/>
      <c r="BP9" s="58"/>
      <c r="BQ9" s="57">
        <f>J2</f>
        <v>200</v>
      </c>
      <c r="BR9" s="56">
        <f>J3</f>
        <v>1</v>
      </c>
      <c r="BS9" s="56">
        <f>J4</f>
        <v>10</v>
      </c>
      <c r="BT9" s="56"/>
      <c r="BU9" s="58"/>
      <c r="BV9" s="57">
        <f>M2</f>
        <v>100</v>
      </c>
      <c r="BW9" s="56">
        <f>M3</f>
        <v>1</v>
      </c>
      <c r="BX9" s="56">
        <f>M4</f>
        <v>10000</v>
      </c>
      <c r="BY9" s="56"/>
      <c r="BZ9" s="58"/>
      <c r="CA9" s="57">
        <f>P2</f>
        <v>1</v>
      </c>
      <c r="CB9" s="56">
        <f>P3</f>
        <v>1000</v>
      </c>
      <c r="CC9" s="56">
        <f>P4</f>
        <v>100</v>
      </c>
      <c r="CD9" s="56"/>
      <c r="CE9" s="58"/>
    </row>
    <row r="10" spans="1:83" ht="26.25" customHeight="1" thickBot="1">
      <c r="A10" s="21" t="s">
        <v>64</v>
      </c>
      <c r="B10" s="21" t="s">
        <v>27</v>
      </c>
      <c r="C10" s="19" t="s">
        <v>30</v>
      </c>
      <c r="D10" s="121" t="s">
        <v>28</v>
      </c>
      <c r="E10" s="19" t="s">
        <v>65</v>
      </c>
      <c r="F10" s="16" t="s">
        <v>31</v>
      </c>
      <c r="G10" s="15" t="s">
        <v>72</v>
      </c>
      <c r="H10" s="15" t="s">
        <v>66</v>
      </c>
      <c r="I10" s="16" t="s">
        <v>19</v>
      </c>
      <c r="J10" s="16" t="s">
        <v>20</v>
      </c>
      <c r="K10" s="16" t="s">
        <v>24</v>
      </c>
      <c r="L10" s="16" t="s">
        <v>25</v>
      </c>
      <c r="M10" s="16" t="s">
        <v>23</v>
      </c>
      <c r="N10" s="16" t="s">
        <v>22</v>
      </c>
      <c r="O10" s="16" t="s">
        <v>21</v>
      </c>
      <c r="P10" s="16" t="s">
        <v>29</v>
      </c>
      <c r="Q10" s="16" t="s">
        <v>62</v>
      </c>
      <c r="R10" s="15" t="s">
        <v>67</v>
      </c>
      <c r="S10" s="15" t="s">
        <v>70</v>
      </c>
      <c r="T10" s="87" t="s">
        <v>65</v>
      </c>
      <c r="U10" s="88" t="s">
        <v>31</v>
      </c>
      <c r="V10" s="87" t="s">
        <v>72</v>
      </c>
      <c r="W10" s="87" t="s">
        <v>66</v>
      </c>
      <c r="X10" s="88" t="s">
        <v>19</v>
      </c>
      <c r="Y10" s="88" t="s">
        <v>20</v>
      </c>
      <c r="Z10" s="88" t="s">
        <v>24</v>
      </c>
      <c r="AA10" s="88" t="s">
        <v>22</v>
      </c>
      <c r="AB10" s="88" t="s">
        <v>23</v>
      </c>
      <c r="AC10" s="88" t="s">
        <v>25</v>
      </c>
      <c r="AD10" s="88" t="s">
        <v>21</v>
      </c>
      <c r="AE10" s="79" t="s">
        <v>29</v>
      </c>
      <c r="AF10" s="88" t="s">
        <v>62</v>
      </c>
      <c r="AG10" s="87" t="s">
        <v>67</v>
      </c>
      <c r="AH10" s="87" t="s">
        <v>70</v>
      </c>
      <c r="AI10" s="73" t="s">
        <v>73</v>
      </c>
      <c r="AJ10" s="73" t="s">
        <v>68</v>
      </c>
      <c r="AK10" s="73" t="s">
        <v>69</v>
      </c>
      <c r="AL10" s="73" t="s">
        <v>237</v>
      </c>
      <c r="AM10" s="74" t="s">
        <v>238</v>
      </c>
      <c r="AN10" s="100" t="s">
        <v>190</v>
      </c>
      <c r="AO10" s="87" t="s">
        <v>74</v>
      </c>
      <c r="AP10" s="87" t="s">
        <v>76</v>
      </c>
      <c r="AQ10" s="87" t="s">
        <v>77</v>
      </c>
      <c r="AR10" s="104" t="s">
        <v>19</v>
      </c>
      <c r="AS10" s="104" t="s">
        <v>20</v>
      </c>
      <c r="AT10" s="104" t="s">
        <v>24</v>
      </c>
      <c r="AU10" s="104" t="s">
        <v>22</v>
      </c>
      <c r="AV10" s="104" t="s">
        <v>23</v>
      </c>
      <c r="AW10" s="104" t="s">
        <v>25</v>
      </c>
      <c r="AX10" s="104" t="s">
        <v>21</v>
      </c>
      <c r="AY10" s="104" t="s">
        <v>62</v>
      </c>
      <c r="AZ10" s="104" t="s">
        <v>29</v>
      </c>
      <c r="BA10" s="104"/>
      <c r="BB10" s="104" t="s">
        <v>1</v>
      </c>
      <c r="BC10" s="104" t="s">
        <v>33</v>
      </c>
      <c r="BD10" s="104" t="s">
        <v>2</v>
      </c>
      <c r="BE10" s="105" t="s">
        <v>79</v>
      </c>
      <c r="BF10" s="104" t="s">
        <v>80</v>
      </c>
      <c r="BG10" s="104" t="s">
        <v>81</v>
      </c>
      <c r="BH10" s="104" t="s">
        <v>82</v>
      </c>
      <c r="BI10" s="89" t="s">
        <v>83</v>
      </c>
      <c r="BJ10" s="104" t="s">
        <v>84</v>
      </c>
      <c r="BK10" s="103" t="s">
        <v>91</v>
      </c>
      <c r="BL10" s="102" t="str">
        <f>IF(BL9=1,BL8,CONCATENATE(BL9," ",BL8))</f>
        <v>CO2</v>
      </c>
      <c r="BM10" s="103" t="str">
        <f>IF(BM9=1,BM8,CONCATENATE(BM9," ",BM8))</f>
        <v>10 H2S</v>
      </c>
      <c r="BN10" s="103" t="str">
        <f>IF(BN9=1,BN8,CONCATENATE(BN9," ",BN8))</f>
        <v>200 NH3</v>
      </c>
      <c r="BO10" s="103" t="s">
        <v>92</v>
      </c>
      <c r="BP10" s="106" t="s">
        <v>93</v>
      </c>
      <c r="BQ10" s="102" t="str">
        <f>IF(BQ9=1,BQ8,CONCATENATE(BQ9," ",BQ8))</f>
        <v>200 CH4</v>
      </c>
      <c r="BR10" s="103" t="str">
        <f>IF(BR9=1,BR8,CONCATENATE(BR9," ",BR8))</f>
        <v>CO2</v>
      </c>
      <c r="BS10" s="103" t="str">
        <f>IF(BS9=1,BS8,CONCATENATE(BS9," ",BS8))</f>
        <v>10 H2S</v>
      </c>
      <c r="BT10" s="103" t="s">
        <v>92</v>
      </c>
      <c r="BU10" s="106" t="s">
        <v>93</v>
      </c>
      <c r="BV10" s="102" t="str">
        <f>IF(BV9=1,BV8,CONCATENATE(BV9," ",BV8))</f>
        <v>100 N2</v>
      </c>
      <c r="BW10" s="103" t="str">
        <f>IF(BW9=1,BW8,CONCATENATE(BW9," ",BW8))</f>
        <v>CO2</v>
      </c>
      <c r="BX10" s="103" t="str">
        <f>IF(BX9=1,BX8,CONCATENATE(BX9," ",BX8))</f>
        <v>10000 Ar</v>
      </c>
      <c r="BY10" s="103" t="s">
        <v>92</v>
      </c>
      <c r="BZ10" s="106" t="s">
        <v>93</v>
      </c>
      <c r="CA10" s="102" t="str">
        <f>IF(CA9=1,CA8,CONCATENATE(CA9," ",CA8))</f>
        <v>N2</v>
      </c>
      <c r="CB10" s="103" t="str">
        <f>IF(CB9=1,CB8,CONCATENATE(CB9," ",CB8))</f>
        <v>1000 He</v>
      </c>
      <c r="CC10" s="103" t="str">
        <f>IF(CC9=1,CC8,CONCATENATE(CC9," ",CC8))</f>
        <v>100 Ar</v>
      </c>
      <c r="CD10" s="103" t="s">
        <v>92</v>
      </c>
      <c r="CE10" s="106" t="s">
        <v>93</v>
      </c>
    </row>
    <row r="11" spans="1:83" ht="13">
      <c r="A11" s="190" t="s">
        <v>194</v>
      </c>
      <c r="B11" s="65"/>
      <c r="C11" s="65" t="s">
        <v>195</v>
      </c>
      <c r="D11" s="124"/>
      <c r="E11" s="225">
        <v>3</v>
      </c>
      <c r="F11" s="191">
        <v>1000</v>
      </c>
      <c r="G11" s="22"/>
      <c r="H11" s="65"/>
      <c r="I11" s="204">
        <v>71.2</v>
      </c>
      <c r="J11" s="204">
        <v>2</v>
      </c>
      <c r="K11" s="208">
        <v>0.2</v>
      </c>
      <c r="L11" s="206">
        <v>0.51</v>
      </c>
      <c r="M11" s="204">
        <v>25.6</v>
      </c>
      <c r="N11" s="213">
        <v>0.28000000000000003</v>
      </c>
      <c r="O11" s="213">
        <v>0.13</v>
      </c>
      <c r="P11" s="217">
        <v>5.8E-4</v>
      </c>
      <c r="Q11" s="216">
        <v>5.9999999999999995E-4</v>
      </c>
      <c r="R11" s="220">
        <v>-0.03</v>
      </c>
      <c r="S11" s="192"/>
      <c r="T11" s="89">
        <f ca="1">IF(ISBLANK(INDIRECT("E"&amp;(CELL("row",T11)))),"",INDIRECT("E"&amp;(CELL("row",T11))))</f>
        <v>3</v>
      </c>
      <c r="U11" s="90">
        <f ca="1">INDIRECT("F"&amp;(CELL("row", U11)))</f>
        <v>1000</v>
      </c>
      <c r="V11" s="89">
        <f ca="1">INDIRECT("G"&amp;(CELL("row", V11)))</f>
        <v>0</v>
      </c>
      <c r="W11" s="89">
        <f ca="1">INDIRECT("H"&amp;(CELL("row", W11)))</f>
        <v>0</v>
      </c>
      <c r="X11" s="89">
        <f ca="1">INDIRECT("I"&amp;(CELL("row", X11)))</f>
        <v>71.2</v>
      </c>
      <c r="Y11" s="89">
        <f ca="1">INDIRECT("J"&amp;(CELL("row", Y11)))</f>
        <v>2</v>
      </c>
      <c r="Z11" s="89">
        <f ca="1">INDIRECT("K"&amp;(CELL("row", Z11)))</f>
        <v>0.2</v>
      </c>
      <c r="AA11" s="89">
        <f ca="1">INDIRECT("N"&amp;(CELL("row", AA11)))</f>
        <v>0.28000000000000003</v>
      </c>
      <c r="AB11" s="89">
        <f ca="1">INDIRECT("M"&amp;(CELL("row", AB11)))</f>
        <v>25.6</v>
      </c>
      <c r="AC11" s="89">
        <f ca="1">INDIRECT("L"&amp;(CELL("row", AC11)))</f>
        <v>0.51</v>
      </c>
      <c r="AD11" s="89">
        <f ca="1">INDIRECT("O"&amp;(CELL("row", AD11)))</f>
        <v>0.13</v>
      </c>
      <c r="AE11" s="89">
        <f ca="1">INDIRECT("P"&amp;(CELL("row", AE11)))</f>
        <v>5.8E-4</v>
      </c>
      <c r="AF11" s="89">
        <f ca="1">INDIRECT("Q"&amp;(CELL("row", AF11)))</f>
        <v>5.9999999999999995E-4</v>
      </c>
      <c r="AG11" s="89">
        <f ca="1">INDIRECT("R"&amp;(CELL("row", AG11)))</f>
        <v>-0.03</v>
      </c>
      <c r="AH11" s="89">
        <f ca="1">INDIRECT("S"&amp;(CELL("row", AH11)))</f>
        <v>0</v>
      </c>
      <c r="AI11" s="75">
        <f ca="1">IF(AG11&lt;=0,0,0.01*AG11/0.21)</f>
        <v>0</v>
      </c>
      <c r="AJ11" s="76">
        <f ca="1">ABS(X11)+ABS(Y11)+ABS(Z11)+ABS(AA11)+ABS(AB11)+ABS(AC11)+ABS(AD11)+ABS(AE11)+ABS(AF11)+ABS(AG11)</f>
        <v>99.951180000000008</v>
      </c>
      <c r="AK11" s="76">
        <f ca="1">(ABS($X11)*X$9+ABS($Y11)*Y$9+ABS($Z11)*Z$9+ABS($AA11)*AA$9+ABS($AB11)*(1-AL11)*AB$9+ABS($AC11)*(1-AM11)*AC$9+ABS($AD11)*AD$9+ABS($AE11)*AE$9)/100</f>
        <v>39.461423200000006</v>
      </c>
      <c r="AL11" s="77">
        <f ca="1">IF($AB11=0,0,IF($AG11=0,(0.78*$AH11)/(0.78*$AH11+$AB11*AJ11/($AH11+AJ11)),(0.78*AI11)/$AB11))</f>
        <v>0</v>
      </c>
      <c r="AM11" s="77">
        <f ca="1">IF($AC11=0,0,IF($AG11=0,(0.00934*$AH11)/(0.00934*$AH11+ABS($AC11)*AJ11/($AH11+AJ11)),(0.00934*AI11)/ABS($AC11)))</f>
        <v>0</v>
      </c>
      <c r="AN11" s="90">
        <f ca="1">IF(AF11&lt;=0,"",T11)</f>
        <v>3</v>
      </c>
      <c r="AO11" s="107">
        <f ca="1">IF(V11=0,(W11/AK11)/(W11/AK11+(100-W11)/18), V11/100)</f>
        <v>0</v>
      </c>
      <c r="AP11" s="93">
        <f ca="1">IF($U11=0,$AO11/(1-$AO11),$U11/1000000)</f>
        <v>1E-3</v>
      </c>
      <c r="AQ11" s="222">
        <f ca="1">IF(AI11=0,AP11,AP11*(1-0.01*AI11))</f>
        <v>1E-3</v>
      </c>
      <c r="AR11" s="223">
        <f ca="1">$AQ11*ABS(X11)/100</f>
        <v>7.1199999999999996E-4</v>
      </c>
      <c r="AS11" s="223">
        <f ca="1">$AQ11*ABS(Y11)/100</f>
        <v>2.0000000000000002E-5</v>
      </c>
      <c r="AT11" s="223">
        <f ca="1">$AQ11*ABS(Z11)/100</f>
        <v>1.9999999999999999E-6</v>
      </c>
      <c r="AU11" s="223">
        <f ca="1">$AQ11*ABS(AA11)/100</f>
        <v>2.8000000000000003E-6</v>
      </c>
      <c r="AV11" s="222">
        <f ca="1">IF($AH11=0, $AQ11*ABS(AB11)/100, $AQ11*ABS(AB11*(1-AL11))/100)</f>
        <v>2.5599999999999999E-4</v>
      </c>
      <c r="AW11" s="222">
        <f ca="1">IF($AH11=0, $AQ11*ABS(AC11)/100, $AQ11*ABS(AC11*(1-AM11))/100)</f>
        <v>5.1000000000000003E-6</v>
      </c>
      <c r="AX11" s="222">
        <f ca="1">$AQ11*ABS(AD11/100)</f>
        <v>1.3E-6</v>
      </c>
      <c r="AY11" s="223">
        <f ca="1">$AQ11*ABS(AF11/100)</f>
        <v>5.9999999999999991E-9</v>
      </c>
      <c r="AZ11" s="223">
        <f ca="1">IF(AI11=0, $AQ11*AE11/100, $AQ11*(AE11-0.00000524*AI11)/100)</f>
        <v>5.8000000000000007E-9</v>
      </c>
      <c r="BB11" s="108">
        <f t="shared" ref="BB11:BB16" ca="1" si="0">LOG(AR11)+4*LOG(AX11)-LOG(AU11)</f>
        <v>-21.138904628478016</v>
      </c>
      <c r="BC11" s="91">
        <f t="shared" ref="BC11:BC16" ca="1" si="1">3*LOG(AS11)-LOG(AX11)</f>
        <v>-8.2108533653148932</v>
      </c>
      <c r="BD11" s="91">
        <f t="shared" ref="BD11:BD17" ca="1" si="2">LOG(AV11)+3*LOG(AX11)-2*LOG(AT11)</f>
        <v>-9.8519899690956017</v>
      </c>
      <c r="BE11" s="91">
        <f t="shared" ref="BE11:BE16" ca="1" si="3">LOG(AR11)</f>
        <v>-3.1475200063631434</v>
      </c>
      <c r="BF11" s="91">
        <f t="shared" ref="BF11:BF16" ca="1" si="4">LOG(AS11)</f>
        <v>-4.6989700043360187</v>
      </c>
      <c r="BG11" s="91">
        <f ca="1">LOG(ABS(X11/AC11))</f>
        <v>2.1449098175389198</v>
      </c>
      <c r="BH11" s="91">
        <f ca="1">IF(ISERROR(LOG(ABS(AD11/AC11))),-99,LOG(ABS(AD11/AC11)))</f>
        <v>-0.59362682379109966</v>
      </c>
      <c r="BI11" s="109">
        <f t="shared" ref="BI11:BI23" si="5">IF(Q11=0,0,LOG(ABS(Q11/I11)))</f>
        <v>-5.0743287432532131</v>
      </c>
      <c r="BJ11" s="91">
        <f ca="1">LOG(ABS(AA11/X11))</f>
        <v>-2.4053219622946371</v>
      </c>
      <c r="BK11" s="110"/>
      <c r="BL11" s="111">
        <f t="shared" ref="BL11:BL40" ca="1" si="6">BL$9*ABS(X11)/(BL$9*ABS(X11)+BM$9*ABS(Y11)+BN$9*ABS(Z11))</f>
        <v>0.54268292682926833</v>
      </c>
      <c r="BM11" s="112">
        <f t="shared" ref="BM11:BM40" ca="1" si="7">BM$9*ABS(Y11)/(BL$9*ABS(X11)+BM$9*ABS(Y11)+BN$9*ABS(Z11))</f>
        <v>0.15243902439024393</v>
      </c>
      <c r="BN11" s="112">
        <f t="shared" ref="BN11:BN40" ca="1" si="8">BN$9*ABS(Z11)/(BL$9*ABS(X11)+BM$9*ABS(Y11)+BN$9*ABS(Z11))</f>
        <v>0.30487804878048785</v>
      </c>
      <c r="BO11" s="113">
        <f ca="1">(0.5774*BL11+1.1547*BN11)</f>
        <v>0.66538780487804883</v>
      </c>
      <c r="BP11" s="114">
        <f ca="1">IF(ISERROR(BL11),-99,BL11)</f>
        <v>0.54268292682926833</v>
      </c>
      <c r="BQ11" s="115">
        <f t="shared" ref="BQ11:BQ40" ca="1" si="9">BQ$9*ABS(AA11)/(BQ$9*ABS(AA11)+BR$9*ABS(X11)+BS$9*ABS(Y11))</f>
        <v>0.38043478260869568</v>
      </c>
      <c r="BR11" s="112">
        <f t="shared" ref="BR11:BR40" ca="1" si="10">BR$9*ABS(X11)/(BQ$9*ABS(AA11)+BR$9*ABS(X11)+BS$9*ABS(Y11))</f>
        <v>0.48369565217391303</v>
      </c>
      <c r="BS11" s="112">
        <f t="shared" ref="BS11:BS40" ca="1" si="11">BS$9*ABS(Y11)/(BQ$9*ABS(AA11)+BR$9*ABS(X11)+BS$9*ABS(Y11))</f>
        <v>0.1358695652173913</v>
      </c>
      <c r="BT11" s="113">
        <f t="shared" ref="BT11:BT16" ca="1" si="12">0.5774*BQ11+1.1547*BS11</f>
        <v>0.37655163043478268</v>
      </c>
      <c r="BU11" s="114">
        <f ca="1">IF(ISERROR(BQ11),-99,BQ11)</f>
        <v>0.38043478260869568</v>
      </c>
      <c r="BV11" s="115">
        <f t="shared" ref="BV11:BV40" ca="1" si="13">BV$9*ABS(AB11)/(BV$9*ABS(AB11)+BW$9*ABS(X11)+BX$9*ABS(AC11))</f>
        <v>0.33112582781456956</v>
      </c>
      <c r="BW11" s="112">
        <f t="shared" ref="BW11:BW40" ca="1" si="14">BW$9*ABS(X11)/(BV$9*ABS(AB11)+BW$9*ABS(X11)+BX$9*ABS(AC11))</f>
        <v>9.2094370860927154E-3</v>
      </c>
      <c r="BX11" s="112">
        <f t="shared" ref="BX11:BX40" ca="1" si="15">BX$9*ABS(AC11)/(BV$9*ABS(AB11)+BW$9*ABS(X11)+BX$9*ABS(AC11))</f>
        <v>0.65966473509933776</v>
      </c>
      <c r="BY11" s="113">
        <f t="shared" ref="BY11:BY16" ca="1" si="16">0.5774*BV11+1.1547*BX11</f>
        <v>0.95290692259933785</v>
      </c>
      <c r="BZ11" s="114">
        <f ca="1">IF(ISERROR(BV11),-99,BV11)</f>
        <v>0.33112582781456956</v>
      </c>
      <c r="CA11" s="115">
        <f t="shared" ref="CA11:CA40" ca="1" si="17">CA$9*ABS(AB11)/(CA$9*ABS(AB11)+CB$9*ABS(AE11)+CC$9*ABS(AC11))</f>
        <v>0.33169214822492871</v>
      </c>
      <c r="CB11" s="112">
        <f t="shared" ref="CB11:CB40" ca="1" si="18">CB$9*ABS(AE11)/(CA$9*ABS(AB11)+CB$9*ABS(AE11)+CC$9*ABS(AC11))</f>
        <v>7.5149002332210403E-3</v>
      </c>
      <c r="CC11" s="112">
        <f t="shared" ref="CC11:CC40" ca="1" si="19">CC$9*ABS(AC11)/(CA$9*ABS(AB11)+CB$9*ABS(AE11)+CC$9*ABS(AC11))</f>
        <v>0.66079295154185014</v>
      </c>
      <c r="CD11" s="113">
        <f t="shared" ref="CD11:CD16" ca="1" si="20">0.5774*CA11+1.1547*CC11</f>
        <v>0.9545366675304483</v>
      </c>
      <c r="CE11" s="114">
        <f ca="1">IF(ISERROR(CA11),-99,CA11)</f>
        <v>0.33169214822492871</v>
      </c>
    </row>
    <row r="12" spans="1:83" ht="13">
      <c r="A12" s="193" t="s">
        <v>196</v>
      </c>
      <c r="B12" s="64"/>
      <c r="C12" s="219"/>
      <c r="D12" s="125"/>
      <c r="E12" s="226">
        <v>5</v>
      </c>
      <c r="F12" s="116">
        <v>1000000</v>
      </c>
      <c r="G12" s="26"/>
      <c r="H12" s="64"/>
      <c r="I12" s="205">
        <v>89.5</v>
      </c>
      <c r="J12" s="205">
        <v>0.7</v>
      </c>
      <c r="K12" s="209">
        <v>1E-3</v>
      </c>
      <c r="L12" s="207">
        <v>6.5000000000000002E-2</v>
      </c>
      <c r="M12" s="205">
        <v>5.7</v>
      </c>
      <c r="N12" s="214">
        <v>3.79</v>
      </c>
      <c r="O12" s="214">
        <v>0.14000000000000001</v>
      </c>
      <c r="P12" s="218">
        <v>1.7600000000000001E-3</v>
      </c>
      <c r="Q12" s="218">
        <v>-2.0000000000000001E-4</v>
      </c>
      <c r="R12" s="210">
        <v>5.1999999999999998E-2</v>
      </c>
      <c r="S12" s="194"/>
      <c r="T12" s="89">
        <f t="shared" ref="T12:T40" ca="1" si="21">IF(ISBLANK(INDIRECT("E"&amp;(CELL("row",T12)))),"",INDIRECT("E"&amp;(CELL("row",T12))))</f>
        <v>5</v>
      </c>
      <c r="U12" s="90">
        <f t="shared" ref="U12:U40" ca="1" si="22">INDIRECT("F"&amp;(CELL("row", U12)))</f>
        <v>1000000</v>
      </c>
      <c r="V12" s="89">
        <f t="shared" ref="V12:V40" ca="1" si="23">INDIRECT("G"&amp;(CELL("row", V12)))</f>
        <v>0</v>
      </c>
      <c r="W12" s="89">
        <f t="shared" ref="W12:W40" ca="1" si="24">INDIRECT("H"&amp;(CELL("row", W12)))</f>
        <v>0</v>
      </c>
      <c r="X12" s="89">
        <f t="shared" ref="X12:X40" ca="1" si="25">INDIRECT("I"&amp;(CELL("row", X12)))</f>
        <v>89.5</v>
      </c>
      <c r="Y12" s="89">
        <f t="shared" ref="Y12:Y40" ca="1" si="26">INDIRECT("J"&amp;(CELL("row", Y12)))</f>
        <v>0.7</v>
      </c>
      <c r="Z12" s="89">
        <f t="shared" ref="Z12:Z40" ca="1" si="27">INDIRECT("K"&amp;(CELL("row", Z12)))</f>
        <v>1E-3</v>
      </c>
      <c r="AA12" s="89">
        <f t="shared" ref="AA12:AA40" ca="1" si="28">INDIRECT("N"&amp;(CELL("row", AA12)))</f>
        <v>3.79</v>
      </c>
      <c r="AB12" s="89">
        <f t="shared" ref="AB12:AB40" ca="1" si="29">INDIRECT("M"&amp;(CELL("row", AB12)))</f>
        <v>5.7</v>
      </c>
      <c r="AC12" s="89">
        <f t="shared" ref="AC12:AC40" ca="1" si="30">INDIRECT("L"&amp;(CELL("row", AC12)))</f>
        <v>6.5000000000000002E-2</v>
      </c>
      <c r="AD12" s="89">
        <f t="shared" ref="AD12:AD40" ca="1" si="31">INDIRECT("O"&amp;(CELL("row", AD12)))</f>
        <v>0.14000000000000001</v>
      </c>
      <c r="AE12" s="89">
        <f t="shared" ref="AE12:AE40" ca="1" si="32">INDIRECT("P"&amp;(CELL("row", AE12)))</f>
        <v>1.7600000000000001E-3</v>
      </c>
      <c r="AF12" s="89">
        <f t="shared" ref="AF12:AF40" ca="1" si="33">INDIRECT("Q"&amp;(CELL("row", AF12)))</f>
        <v>-2.0000000000000001E-4</v>
      </c>
      <c r="AG12" s="89">
        <f t="shared" ref="AG12:AG40" ca="1" si="34">INDIRECT("R"&amp;(CELL("row", AG12)))</f>
        <v>5.1999999999999998E-2</v>
      </c>
      <c r="AH12" s="89">
        <f t="shared" ref="AH12:AH40" ca="1" si="35">INDIRECT("S"&amp;(CELL("row", AH12)))</f>
        <v>0</v>
      </c>
      <c r="AI12" s="75">
        <f t="shared" ref="AI12:AI40" ca="1" si="36">IF(AG12&lt;=0,0,AG12/0.21)</f>
        <v>0.24761904761904763</v>
      </c>
      <c r="AJ12" s="76">
        <f t="shared" ref="AJ12:AJ42" ca="1" si="37">ABS(X12)+ABS(Y12)+ABS(Z12)+ABS(AA12)+ABS(AB12)+ABS(AC12)+ABS(AD12)+ABS(AE12)+ABS(AF12)+ABS(AG12)</f>
        <v>99.949960000000033</v>
      </c>
      <c r="AK12" s="76">
        <f t="shared" ref="AK12:AK40" ca="1" si="38">(ABS($X12)*X$9+ABS($Y12)*Y$9+ABS($Z12)*Z$9+ABS($AA12)*AA$9+ABS($AB12)*(1-AL12)*AB$9+ABS($AC12)*(1-AM12)*AC$9+ABS($AD12)*AD$9+ABS($AE12)*AE$9)/100</f>
        <v>41.794435295238088</v>
      </c>
      <c r="AL12" s="77">
        <f t="shared" ref="AL12:AL40" ca="1" si="39">IF($AB12=0,0,IF($AG12=0,(0.78*$AH12)/(0.78*$AH12+$AB12*AJ12/($AH12+AJ12)),(0.78*AI12)/$AB12))</f>
        <v>3.3884711779448622E-2</v>
      </c>
      <c r="AM12" s="77">
        <f t="shared" ref="AM12:AM40" ca="1" si="40">IF($AC12=0,0,IF($AG12=0,(0.00934*$AH12)/(0.00934*$AH12+ABS($AC12)*AJ12/($AH12+AJ12)),(0.00934*AI12)/ABS($AC12)))</f>
        <v>3.558095238095238E-2</v>
      </c>
      <c r="AN12" s="90" t="str">
        <f t="shared" ref="AN12:AN40" ca="1" si="41">IF(AF12&lt;=0,"",T12)</f>
        <v/>
      </c>
      <c r="AO12" s="107">
        <f t="shared" ref="AO12:AO40" ca="1" si="42">IF(V12=0,(W12/AK12)/(W12/AK12+(100-W12)/18), V12/100)</f>
        <v>0</v>
      </c>
      <c r="AP12" s="93">
        <f t="shared" ref="AP12:AP40" ca="1" si="43">IF($U12=0,$AO12/(1-$AO12),$U12/1000000)</f>
        <v>1</v>
      </c>
      <c r="AQ12" s="222">
        <f t="shared" ref="AQ12:AQ40" ca="1" si="44">IF(AI12=0,AP12,AP12*(1-0.01*AI12))</f>
        <v>0.99752380952380948</v>
      </c>
      <c r="AR12" s="223">
        <f t="shared" ref="AR12:AR40" ca="1" si="45">$AQ12*ABS(I12)/100</f>
        <v>0.89278380952380942</v>
      </c>
      <c r="AS12" s="223">
        <f t="shared" ref="AS12:AS40" ca="1" si="46">$AQ12*ABS(J12)/100</f>
        <v>6.9826666666666657E-3</v>
      </c>
      <c r="AT12" s="223">
        <f t="shared" ref="AT12:AT40" ca="1" si="47">$AQ12*ABS(K12)/100</f>
        <v>9.9752380952380955E-6</v>
      </c>
      <c r="AU12" s="223">
        <f ca="1">$AQ12*ABS(AA12)/100</f>
        <v>3.7806152380952376E-2</v>
      </c>
      <c r="AV12" s="222">
        <f t="shared" ref="AV12:AV39" ca="1" si="48">IF($AH12=0, $AQ12*ABS(AB12)/100, $AQ12*ABS(AB12*(1-AL12))/100)</f>
        <v>5.6858857142857142E-2</v>
      </c>
      <c r="AW12" s="222">
        <f t="shared" ref="AW12:AW40" ca="1" si="49">IF($AH12=0, $AQ12*ABS(AC12)/100, $AQ12*ABS(AC12*(1-AM12))/100)</f>
        <v>6.4839047619047615E-4</v>
      </c>
      <c r="AX12" s="222">
        <f ca="1">$AQ12*ABS(AD12/100)</f>
        <v>1.3965333333333335E-3</v>
      </c>
      <c r="AY12" s="223">
        <f t="shared" ref="AY12:AY40" ca="1" si="50">$AQ12*ABS(AF12/100)</f>
        <v>1.9950476190476189E-6</v>
      </c>
      <c r="AZ12" s="223">
        <f t="shared" ref="AZ12:AZ40" ca="1" si="51">IF(AI12=0, $AQ12*AE12/100, $AQ12*(AE12-0.00000524*AI12)/100)</f>
        <v>1.7543475938684806E-5</v>
      </c>
      <c r="BB12" s="108">
        <f t="shared" ca="1" si="0"/>
        <v>-10.046610949957092</v>
      </c>
      <c r="BC12" s="91">
        <f t="shared" ca="1" si="1"/>
        <v>-3.6129873746444106</v>
      </c>
      <c r="BD12" s="91">
        <f t="shared" ca="1" si="2"/>
        <v>0.19210550369826507</v>
      </c>
      <c r="BE12" s="91">
        <f t="shared" ca="1" si="3"/>
        <v>-4.9253694188559058E-2</v>
      </c>
      <c r="BF12" s="91">
        <f t="shared" ca="1" si="4"/>
        <v>-2.1559786894902144</v>
      </c>
      <c r="BG12" s="91">
        <f t="shared" ref="BG12:BG40" ca="1" si="52">LOG(ABS(X12/AC12))</f>
        <v>3.1389096786730564</v>
      </c>
      <c r="BH12" s="91">
        <f t="shared" ref="BH12:BH40" ca="1" si="53">IF(ISERROR(LOG(ABS(AD12/AC12))),-99,LOG(ABS(AD12/AC12)))</f>
        <v>0.33321467903538254</v>
      </c>
      <c r="BI12" s="109">
        <f t="shared" si="5"/>
        <v>-5.6507930396519308</v>
      </c>
      <c r="BJ12" s="91">
        <f t="shared" ref="BJ12:BJ40" ca="1" si="54">LOG(ABS(AA12/X12))</f>
        <v>-1.3731838253478397</v>
      </c>
      <c r="BL12" s="111">
        <f t="shared" ca="1" si="6"/>
        <v>0.92554291623578078</v>
      </c>
      <c r="BM12" s="112">
        <f t="shared" ca="1" si="7"/>
        <v>7.2388831437435366E-2</v>
      </c>
      <c r="BN12" s="112">
        <f t="shared" ca="1" si="8"/>
        <v>2.0682523267838678E-3</v>
      </c>
      <c r="BO12" s="113">
        <f t="shared" ref="BO12:BO40" ca="1" si="55">(0.5774*BL12+1.1547*BN12)</f>
        <v>0.53679669079627723</v>
      </c>
      <c r="BP12" s="114">
        <f t="shared" ref="BP12:BP40" ca="1" si="56">IF(ISERROR(BL12),-99,BL12)</f>
        <v>0.92554291623578078</v>
      </c>
      <c r="BQ12" s="115">
        <f t="shared" ca="1" si="9"/>
        <v>0.8870684610883558</v>
      </c>
      <c r="BR12" s="112">
        <f t="shared" ca="1" si="10"/>
        <v>0.10473961380924517</v>
      </c>
      <c r="BS12" s="112">
        <f t="shared" ca="1" si="11"/>
        <v>8.1919251023990641E-3</v>
      </c>
      <c r="BT12" s="113">
        <f t="shared" ca="1" si="12"/>
        <v>0.52165254534815686</v>
      </c>
      <c r="BU12" s="114">
        <f t="shared" ref="BU12:BU40" ca="1" si="57">IF(ISERROR(BQ12),-99,BQ12)</f>
        <v>0.8870684610883558</v>
      </c>
      <c r="BV12" s="115">
        <f t="shared" ca="1" si="13"/>
        <v>0.43528064146620848</v>
      </c>
      <c r="BW12" s="112">
        <f t="shared" ca="1" si="14"/>
        <v>6.8346697212676596E-2</v>
      </c>
      <c r="BX12" s="112">
        <f t="shared" ca="1" si="15"/>
        <v>0.49637266132111491</v>
      </c>
      <c r="BY12" s="113">
        <f t="shared" ca="1" si="16"/>
        <v>0.82449255441008029</v>
      </c>
      <c r="BZ12" s="114">
        <f t="shared" ref="BZ12:BZ40" ca="1" si="58">IF(ISERROR(BV12),-99,BV12)</f>
        <v>0.43528064146620848</v>
      </c>
      <c r="CA12" s="115">
        <f t="shared" ca="1" si="17"/>
        <v>0.40830945558739251</v>
      </c>
      <c r="CB12" s="112">
        <f t="shared" ca="1" si="18"/>
        <v>0.12607449856733524</v>
      </c>
      <c r="CC12" s="112">
        <f t="shared" ca="1" si="19"/>
        <v>0.46561604584527216</v>
      </c>
      <c r="CD12" s="113">
        <f t="shared" ca="1" si="20"/>
        <v>0.77340472779369629</v>
      </c>
      <c r="CE12" s="114">
        <f t="shared" ref="CE12:CE40" ca="1" si="59">IF(ISERROR(CA12),-99,CA12)</f>
        <v>0.40830945558739251</v>
      </c>
    </row>
    <row r="13" spans="1:83" ht="13">
      <c r="A13" s="193" t="s">
        <v>197</v>
      </c>
      <c r="B13" s="64"/>
      <c r="C13" s="219"/>
      <c r="D13" s="125"/>
      <c r="E13" s="226">
        <v>8</v>
      </c>
      <c r="F13" s="116">
        <v>18600</v>
      </c>
      <c r="G13" s="26"/>
      <c r="H13" s="30"/>
      <c r="I13" s="205">
        <v>85.8</v>
      </c>
      <c r="J13" s="205">
        <v>9.8000000000000007</v>
      </c>
      <c r="K13" s="209">
        <v>0.01</v>
      </c>
      <c r="L13" s="207">
        <v>4.2999999999999997E-2</v>
      </c>
      <c r="M13" s="205">
        <v>3.9</v>
      </c>
      <c r="N13" s="214">
        <v>0.19</v>
      </c>
      <c r="O13" s="214">
        <v>0.22</v>
      </c>
      <c r="P13" s="218">
        <v>2.0000000000000001E-4</v>
      </c>
      <c r="Q13" s="218">
        <v>2.9999999999999997E-4</v>
      </c>
      <c r="R13" s="210">
        <v>-3.0000000000000001E-3</v>
      </c>
      <c r="S13" s="194"/>
      <c r="T13" s="89">
        <f t="shared" ca="1" si="21"/>
        <v>8</v>
      </c>
      <c r="U13" s="90">
        <f t="shared" ca="1" si="22"/>
        <v>18600</v>
      </c>
      <c r="V13" s="89">
        <f t="shared" ca="1" si="23"/>
        <v>0</v>
      </c>
      <c r="W13" s="89">
        <f t="shared" ca="1" si="24"/>
        <v>0</v>
      </c>
      <c r="X13" s="89">
        <f t="shared" ca="1" si="25"/>
        <v>85.8</v>
      </c>
      <c r="Y13" s="89">
        <f t="shared" ca="1" si="26"/>
        <v>9.8000000000000007</v>
      </c>
      <c r="Z13" s="89">
        <f t="shared" ca="1" si="27"/>
        <v>0.01</v>
      </c>
      <c r="AA13" s="89">
        <f t="shared" ca="1" si="28"/>
        <v>0.19</v>
      </c>
      <c r="AB13" s="89">
        <f t="shared" ca="1" si="29"/>
        <v>3.9</v>
      </c>
      <c r="AC13" s="89">
        <f t="shared" ca="1" si="30"/>
        <v>4.2999999999999997E-2</v>
      </c>
      <c r="AD13" s="89">
        <f t="shared" ca="1" si="31"/>
        <v>0.22</v>
      </c>
      <c r="AE13" s="89">
        <f t="shared" ca="1" si="32"/>
        <v>2.0000000000000001E-4</v>
      </c>
      <c r="AF13" s="89">
        <f t="shared" ca="1" si="33"/>
        <v>2.9999999999999997E-4</v>
      </c>
      <c r="AG13" s="89">
        <f t="shared" ca="1" si="34"/>
        <v>-3.0000000000000001E-3</v>
      </c>
      <c r="AH13" s="89">
        <f t="shared" ca="1" si="35"/>
        <v>0</v>
      </c>
      <c r="AI13" s="75">
        <f t="shared" ca="1" si="36"/>
        <v>0</v>
      </c>
      <c r="AJ13" s="76">
        <f t="shared" ca="1" si="37"/>
        <v>99.966500000000011</v>
      </c>
      <c r="AK13" s="76">
        <f t="shared" ca="1" si="38"/>
        <v>42.229707999999988</v>
      </c>
      <c r="AL13" s="77">
        <f t="shared" ca="1" si="39"/>
        <v>0</v>
      </c>
      <c r="AM13" s="77">
        <f t="shared" ca="1" si="40"/>
        <v>0</v>
      </c>
      <c r="AN13" s="90">
        <f t="shared" ca="1" si="41"/>
        <v>8</v>
      </c>
      <c r="AO13" s="107">
        <f t="shared" ca="1" si="42"/>
        <v>0</v>
      </c>
      <c r="AP13" s="93">
        <f t="shared" ca="1" si="43"/>
        <v>1.8599999999999998E-2</v>
      </c>
      <c r="AQ13" s="222">
        <f t="shared" ca="1" si="44"/>
        <v>1.8599999999999998E-2</v>
      </c>
      <c r="AR13" s="223">
        <f t="shared" ca="1" si="45"/>
        <v>1.5958799999999999E-2</v>
      </c>
      <c r="AS13" s="223">
        <f t="shared" ca="1" si="46"/>
        <v>1.8228000000000001E-3</v>
      </c>
      <c r="AT13" s="223">
        <f t="shared" ca="1" si="47"/>
        <v>1.86E-6</v>
      </c>
      <c r="AU13" s="223">
        <f t="shared" ref="AU13:AU40" ca="1" si="60">$AQ13*ABS(L13)/100</f>
        <v>7.9979999999999986E-6</v>
      </c>
      <c r="AV13" s="222">
        <f t="shared" ca="1" si="48"/>
        <v>7.2539999999999996E-4</v>
      </c>
      <c r="AW13" s="222">
        <f t="shared" ca="1" si="49"/>
        <v>7.9979999999999986E-6</v>
      </c>
      <c r="AX13" s="222">
        <f t="shared" ref="AX13:AX40" ca="1" si="61">$AQ13*ABS(O13/100)</f>
        <v>4.0920000000000001E-5</v>
      </c>
      <c r="AY13" s="223">
        <f t="shared" ca="1" si="50"/>
        <v>5.579999999999999E-8</v>
      </c>
      <c r="AZ13" s="223">
        <f t="shared" ca="1" si="51"/>
        <v>3.7200000000000002E-8</v>
      </c>
      <c r="BB13" s="108">
        <f t="shared" ca="1" si="0"/>
        <v>-14.252238667570392</v>
      </c>
      <c r="BC13" s="91">
        <f t="shared" ca="1" si="1"/>
        <v>-3.8297185653088883</v>
      </c>
      <c r="BD13" s="91">
        <f t="shared" ca="1" si="2"/>
        <v>-4.8426414620710485</v>
      </c>
      <c r="BE13" s="91">
        <f t="shared" ca="1" si="3"/>
        <v>-1.7969997679333782</v>
      </c>
      <c r="BF13" s="91">
        <f t="shared" ca="1" si="4"/>
        <v>-2.7392609800895888</v>
      </c>
      <c r="BG13" s="91">
        <f t="shared" ca="1" si="52"/>
        <v>3.3000188322691191</v>
      </c>
      <c r="BH13" s="91">
        <f t="shared" ca="1" si="53"/>
        <v>0.70895422524261975</v>
      </c>
      <c r="BI13" s="109">
        <f t="shared" si="5"/>
        <v>-5.4563660331290427</v>
      </c>
      <c r="BJ13" s="91">
        <f t="shared" ca="1" si="54"/>
        <v>-2.6547336868958764</v>
      </c>
      <c r="BL13" s="111">
        <f t="shared" ca="1" si="6"/>
        <v>0.46178686759956938</v>
      </c>
      <c r="BM13" s="112">
        <f t="shared" ca="1" si="7"/>
        <v>0.52744886975242189</v>
      </c>
      <c r="BN13" s="112">
        <f t="shared" ca="1" si="8"/>
        <v>1.076426264800861E-2</v>
      </c>
      <c r="BO13" s="113">
        <f t="shared" ca="1" si="55"/>
        <v>0.27906523143164691</v>
      </c>
      <c r="BP13" s="114">
        <f t="shared" ca="1" si="56"/>
        <v>0.46178686759956938</v>
      </c>
      <c r="BQ13" s="115">
        <f t="shared" ca="1" si="9"/>
        <v>0.17132551848512173</v>
      </c>
      <c r="BR13" s="112">
        <f t="shared" ca="1" si="10"/>
        <v>0.38683498647430115</v>
      </c>
      <c r="BS13" s="112">
        <f t="shared" ca="1" si="11"/>
        <v>0.44183949504057707</v>
      </c>
      <c r="BT13" s="113">
        <f t="shared" ca="1" si="12"/>
        <v>0.60911541929666368</v>
      </c>
      <c r="BU13" s="114">
        <f t="shared" ca="1" si="57"/>
        <v>0.17132551848512173</v>
      </c>
      <c r="BV13" s="115">
        <f t="shared" ca="1" si="13"/>
        <v>0.43055862221240893</v>
      </c>
      <c r="BW13" s="112">
        <f t="shared" ca="1" si="14"/>
        <v>9.4722896886729968E-2</v>
      </c>
      <c r="BX13" s="112">
        <f t="shared" ca="1" si="15"/>
        <v>0.47471848090086105</v>
      </c>
      <c r="BY13" s="113">
        <f t="shared" ca="1" si="16"/>
        <v>0.79676197836166918</v>
      </c>
      <c r="BZ13" s="114">
        <f t="shared" ca="1" si="58"/>
        <v>0.43055862221240893</v>
      </c>
      <c r="CA13" s="115">
        <f t="shared" ca="1" si="17"/>
        <v>0.46428571428571436</v>
      </c>
      <c r="CB13" s="112">
        <f t="shared" ca="1" si="18"/>
        <v>2.3809523809523815E-2</v>
      </c>
      <c r="CC13" s="112">
        <f t="shared" ca="1" si="19"/>
        <v>0.51190476190476197</v>
      </c>
      <c r="CD13" s="113">
        <f t="shared" ca="1" si="20"/>
        <v>0.85917500000000013</v>
      </c>
      <c r="CE13" s="114">
        <f t="shared" ca="1" si="59"/>
        <v>0.46428571428571436</v>
      </c>
    </row>
    <row r="14" spans="1:83" ht="13">
      <c r="A14" s="193" t="s">
        <v>198</v>
      </c>
      <c r="B14" s="64"/>
      <c r="C14" s="219"/>
      <c r="D14" s="125"/>
      <c r="E14" s="226">
        <v>12</v>
      </c>
      <c r="F14" s="116">
        <v>1000000</v>
      </c>
      <c r="G14" s="29"/>
      <c r="H14" s="72"/>
      <c r="I14" s="205">
        <v>89.6</v>
      </c>
      <c r="J14" s="205">
        <v>1.4</v>
      </c>
      <c r="K14" s="209">
        <v>4.0000000000000001E-3</v>
      </c>
      <c r="L14" s="207">
        <v>8.1000000000000003E-2</v>
      </c>
      <c r="M14" s="205">
        <v>5.8</v>
      </c>
      <c r="N14" s="214">
        <v>2.95</v>
      </c>
      <c r="O14" s="214">
        <v>0.13</v>
      </c>
      <c r="P14" s="218">
        <v>1.64E-3</v>
      </c>
      <c r="Q14" s="218">
        <v>5.0000000000000001E-4</v>
      </c>
      <c r="R14" s="210">
        <v>-7.0000000000000001E-3</v>
      </c>
      <c r="S14" s="194"/>
      <c r="T14" s="89">
        <f t="shared" ca="1" si="21"/>
        <v>12</v>
      </c>
      <c r="U14" s="90">
        <f t="shared" ca="1" si="22"/>
        <v>1000000</v>
      </c>
      <c r="V14" s="89">
        <f t="shared" ca="1" si="23"/>
        <v>0</v>
      </c>
      <c r="W14" s="88">
        <f t="shared" ca="1" si="24"/>
        <v>0</v>
      </c>
      <c r="X14" s="89">
        <f t="shared" ca="1" si="25"/>
        <v>89.6</v>
      </c>
      <c r="Y14" s="89">
        <f t="shared" ca="1" si="26"/>
        <v>1.4</v>
      </c>
      <c r="Z14" s="89">
        <f t="shared" ca="1" si="27"/>
        <v>4.0000000000000001E-3</v>
      </c>
      <c r="AA14" s="89">
        <f t="shared" ca="1" si="28"/>
        <v>2.95</v>
      </c>
      <c r="AB14" s="89">
        <f t="shared" ca="1" si="29"/>
        <v>5.8</v>
      </c>
      <c r="AC14" s="89">
        <f t="shared" ca="1" si="30"/>
        <v>8.1000000000000003E-2</v>
      </c>
      <c r="AD14" s="89">
        <f t="shared" ca="1" si="31"/>
        <v>0.13</v>
      </c>
      <c r="AE14" s="89">
        <f t="shared" ca="1" si="32"/>
        <v>1.64E-3</v>
      </c>
      <c r="AF14" s="89">
        <f t="shared" ca="1" si="33"/>
        <v>5.0000000000000001E-4</v>
      </c>
      <c r="AG14" s="89">
        <f t="shared" ca="1" si="34"/>
        <v>-7.0000000000000001E-3</v>
      </c>
      <c r="AH14" s="89">
        <f t="shared" ca="1" si="35"/>
        <v>0</v>
      </c>
      <c r="AI14" s="75">
        <f t="shared" ca="1" si="36"/>
        <v>0</v>
      </c>
      <c r="AJ14" s="76">
        <f t="shared" ca="1" si="37"/>
        <v>99.974140000000006</v>
      </c>
      <c r="AK14" s="76">
        <f t="shared" ca="1" si="38"/>
        <v>42.031745599999994</v>
      </c>
      <c r="AL14" s="77">
        <f t="shared" ca="1" si="39"/>
        <v>0</v>
      </c>
      <c r="AM14" s="77">
        <f t="shared" ca="1" si="40"/>
        <v>0</v>
      </c>
      <c r="AN14" s="90">
        <f t="shared" ca="1" si="41"/>
        <v>12</v>
      </c>
      <c r="AO14" s="107">
        <f t="shared" ca="1" si="42"/>
        <v>0</v>
      </c>
      <c r="AP14" s="93">
        <f t="shared" ca="1" si="43"/>
        <v>1</v>
      </c>
      <c r="AQ14" s="222">
        <f t="shared" ca="1" si="44"/>
        <v>1</v>
      </c>
      <c r="AR14" s="223">
        <f t="shared" ca="1" si="45"/>
        <v>0.89599999999999991</v>
      </c>
      <c r="AS14" s="223">
        <f t="shared" ca="1" si="46"/>
        <v>1.3999999999999999E-2</v>
      </c>
      <c r="AT14" s="223">
        <f t="shared" ca="1" si="47"/>
        <v>4.0000000000000003E-5</v>
      </c>
      <c r="AU14" s="223">
        <f t="shared" ca="1" si="60"/>
        <v>8.1000000000000006E-4</v>
      </c>
      <c r="AV14" s="222">
        <f t="shared" ca="1" si="48"/>
        <v>5.7999999999999996E-2</v>
      </c>
      <c r="AW14" s="222">
        <f t="shared" ca="1" si="49"/>
        <v>8.1000000000000006E-4</v>
      </c>
      <c r="AX14" s="222">
        <f t="shared" ca="1" si="61"/>
        <v>1.2999999999999999E-3</v>
      </c>
      <c r="AY14" s="223">
        <f t="shared" ca="1" si="50"/>
        <v>5.0000000000000004E-6</v>
      </c>
      <c r="AZ14" s="223">
        <f t="shared" ca="1" si="51"/>
        <v>1.6399999999999999E-5</v>
      </c>
      <c r="BB14" s="108">
        <f t="shared" ca="1" si="0"/>
        <v>-8.5004035999891769</v>
      </c>
      <c r="BC14" s="91">
        <f t="shared" ca="1" si="1"/>
        <v>-2.6755592452721233</v>
      </c>
      <c r="BD14" s="91">
        <f t="shared" ca="1" si="2"/>
        <v>-1.0988619321724773</v>
      </c>
      <c r="BE14" s="91">
        <f t="shared" ca="1" si="3"/>
        <v>-4.769199033787485E-2</v>
      </c>
      <c r="BF14" s="91">
        <f t="shared" ca="1" si="4"/>
        <v>-1.853871964321762</v>
      </c>
      <c r="BG14" s="91">
        <f t="shared" ca="1" si="52"/>
        <v>3.0438229907834753</v>
      </c>
      <c r="BH14" s="91">
        <f t="shared" ca="1" si="53"/>
        <v>0.20545833342818703</v>
      </c>
      <c r="BI14" s="109">
        <f t="shared" si="5"/>
        <v>-5.2533380053261061</v>
      </c>
      <c r="BJ14" s="91">
        <f t="shared" ca="1" si="54"/>
        <v>-1.4824859936839623</v>
      </c>
      <c r="BL14" s="111">
        <f t="shared" ca="1" si="6"/>
        <v>0.85823754789272033</v>
      </c>
      <c r="BM14" s="112">
        <f t="shared" ca="1" si="7"/>
        <v>0.13409961685823757</v>
      </c>
      <c r="BN14" s="112">
        <f t="shared" ca="1" si="8"/>
        <v>7.6628352490421469E-3</v>
      </c>
      <c r="BO14" s="113">
        <f t="shared" ca="1" si="55"/>
        <v>0.50439463601532575</v>
      </c>
      <c r="BP14" s="114">
        <f t="shared" ca="1" si="56"/>
        <v>0.85823754789272033</v>
      </c>
      <c r="BQ14" s="115">
        <f t="shared" ca="1" si="9"/>
        <v>0.85063437139561704</v>
      </c>
      <c r="BR14" s="112">
        <f t="shared" ca="1" si="10"/>
        <v>0.12918108419838523</v>
      </c>
      <c r="BS14" s="112">
        <f t="shared" ca="1" si="11"/>
        <v>2.0184544405997693E-2</v>
      </c>
      <c r="BT14" s="113">
        <f t="shared" ca="1" si="12"/>
        <v>0.51446337946943488</v>
      </c>
      <c r="BU14" s="114">
        <f t="shared" ca="1" si="57"/>
        <v>0.85063437139561704</v>
      </c>
      <c r="BV14" s="115">
        <f t="shared" ca="1" si="13"/>
        <v>0.39199783725331172</v>
      </c>
      <c r="BW14" s="112">
        <f t="shared" ca="1" si="14"/>
        <v>6.0556907272235741E-2</v>
      </c>
      <c r="BX14" s="112">
        <f t="shared" ca="1" si="15"/>
        <v>0.54744525547445255</v>
      </c>
      <c r="BY14" s="113">
        <f t="shared" ca="1" si="16"/>
        <v>0.85847458772641261</v>
      </c>
      <c r="BZ14" s="114">
        <f t="shared" ca="1" si="58"/>
        <v>0.39199783725331172</v>
      </c>
      <c r="CA14" s="115">
        <f t="shared" ca="1" si="17"/>
        <v>0.37323037323037322</v>
      </c>
      <c r="CB14" s="112">
        <f t="shared" ca="1" si="18"/>
        <v>0.10553410553410553</v>
      </c>
      <c r="CC14" s="112">
        <f t="shared" ca="1" si="19"/>
        <v>0.52123552123552119</v>
      </c>
      <c r="CD14" s="113">
        <f t="shared" ca="1" si="20"/>
        <v>0.81737387387387395</v>
      </c>
      <c r="CE14" s="114">
        <f t="shared" ca="1" si="59"/>
        <v>0.37323037323037322</v>
      </c>
    </row>
    <row r="15" spans="1:83" ht="13">
      <c r="A15" s="193" t="s">
        <v>199</v>
      </c>
      <c r="B15" s="64"/>
      <c r="C15" s="219"/>
      <c r="D15" s="126"/>
      <c r="E15" s="226">
        <v>15</v>
      </c>
      <c r="F15" s="116">
        <v>280000</v>
      </c>
      <c r="G15" s="29"/>
      <c r="H15" s="64"/>
      <c r="I15" s="205">
        <v>78.5</v>
      </c>
      <c r="J15" s="205">
        <v>5.8</v>
      </c>
      <c r="K15" s="209">
        <v>2E-3</v>
      </c>
      <c r="L15" s="207">
        <v>7.0999999999999994E-2</v>
      </c>
      <c r="M15" s="205">
        <v>7.5</v>
      </c>
      <c r="N15" s="214">
        <v>0.47</v>
      </c>
      <c r="O15" s="214">
        <v>7.64</v>
      </c>
      <c r="P15" s="218">
        <v>3.3E-4</v>
      </c>
      <c r="Q15" s="218">
        <v>5.0000000000000001E-4</v>
      </c>
      <c r="R15" s="210">
        <v>-0.01</v>
      </c>
      <c r="S15" s="118"/>
      <c r="T15" s="89">
        <f t="shared" ca="1" si="21"/>
        <v>15</v>
      </c>
      <c r="U15" s="90">
        <f t="shared" ca="1" si="22"/>
        <v>280000</v>
      </c>
      <c r="V15" s="89">
        <f t="shared" ca="1" si="23"/>
        <v>0</v>
      </c>
      <c r="W15" s="89">
        <f t="shared" ca="1" si="24"/>
        <v>0</v>
      </c>
      <c r="X15" s="89">
        <f t="shared" ca="1" si="25"/>
        <v>78.5</v>
      </c>
      <c r="Y15" s="89">
        <f t="shared" ca="1" si="26"/>
        <v>5.8</v>
      </c>
      <c r="Z15" s="89">
        <f t="shared" ca="1" si="27"/>
        <v>2E-3</v>
      </c>
      <c r="AA15" s="89">
        <f t="shared" ca="1" si="28"/>
        <v>0.47</v>
      </c>
      <c r="AB15" s="89">
        <f t="shared" ca="1" si="29"/>
        <v>7.5</v>
      </c>
      <c r="AC15" s="89">
        <f t="shared" ca="1" si="30"/>
        <v>7.0999999999999994E-2</v>
      </c>
      <c r="AD15" s="89">
        <f t="shared" ca="1" si="31"/>
        <v>7.64</v>
      </c>
      <c r="AE15" s="89">
        <f t="shared" ca="1" si="32"/>
        <v>3.3E-4</v>
      </c>
      <c r="AF15" s="89">
        <f t="shared" ca="1" si="33"/>
        <v>5.0000000000000001E-4</v>
      </c>
      <c r="AG15" s="89">
        <f t="shared" ca="1" si="34"/>
        <v>-0.01</v>
      </c>
      <c r="AH15" s="89">
        <f t="shared" ca="1" si="35"/>
        <v>0</v>
      </c>
      <c r="AI15" s="75">
        <f t="shared" ca="1" si="36"/>
        <v>0</v>
      </c>
      <c r="AJ15" s="76">
        <f t="shared" ca="1" si="37"/>
        <v>99.993830000000003</v>
      </c>
      <c r="AK15" s="76">
        <f t="shared" ca="1" si="38"/>
        <v>38.8687532</v>
      </c>
      <c r="AL15" s="77">
        <f t="shared" ca="1" si="39"/>
        <v>0</v>
      </c>
      <c r="AM15" s="77">
        <f t="shared" ca="1" si="40"/>
        <v>0</v>
      </c>
      <c r="AN15" s="90">
        <f t="shared" ca="1" si="41"/>
        <v>15</v>
      </c>
      <c r="AO15" s="107">
        <f t="shared" ca="1" si="42"/>
        <v>0</v>
      </c>
      <c r="AP15" s="93">
        <f t="shared" ca="1" si="43"/>
        <v>0.28000000000000003</v>
      </c>
      <c r="AQ15" s="222">
        <f t="shared" ca="1" si="44"/>
        <v>0.28000000000000003</v>
      </c>
      <c r="AR15" s="223">
        <f t="shared" ca="1" si="45"/>
        <v>0.2198</v>
      </c>
      <c r="AS15" s="223">
        <f t="shared" ca="1" si="46"/>
        <v>1.6240000000000001E-2</v>
      </c>
      <c r="AT15" s="223">
        <f t="shared" ca="1" si="47"/>
        <v>5.6000000000000006E-6</v>
      </c>
      <c r="AU15" s="223">
        <f t="shared" ca="1" si="60"/>
        <v>1.9880000000000001E-4</v>
      </c>
      <c r="AV15" s="222">
        <f t="shared" ca="1" si="48"/>
        <v>2.1000000000000001E-2</v>
      </c>
      <c r="AW15" s="222">
        <f t="shared" ca="1" si="49"/>
        <v>1.9880000000000001E-4</v>
      </c>
      <c r="AX15" s="222">
        <f t="shared" ca="1" si="61"/>
        <v>2.1392000000000001E-2</v>
      </c>
      <c r="AY15" s="223">
        <f t="shared" ca="1" si="50"/>
        <v>1.4000000000000001E-6</v>
      </c>
      <c r="AZ15" s="223">
        <f t="shared" ca="1" si="51"/>
        <v>9.2400000000000007E-7</v>
      </c>
      <c r="BB15" s="108">
        <f t="shared" ca="1" si="0"/>
        <v>-3.6353831323021866</v>
      </c>
      <c r="BC15" s="91">
        <f t="shared" ca="1" si="1"/>
        <v>-3.6984933152024393</v>
      </c>
      <c r="BD15" s="91">
        <f t="shared" ca="1" si="2"/>
        <v>3.8165974104752456</v>
      </c>
      <c r="BE15" s="91">
        <f t="shared" ca="1" si="3"/>
        <v>-0.65797231191252825</v>
      </c>
      <c r="BF15" s="91">
        <f t="shared" ca="1" si="4"/>
        <v>-1.7894139750948435</v>
      </c>
      <c r="BG15" s="91">
        <f t="shared" ca="1" si="52"/>
        <v>3.0436113080261773</v>
      </c>
      <c r="BH15" s="91">
        <f t="shared" ca="1" si="53"/>
        <v>2.0318350098566147</v>
      </c>
      <c r="BI15" s="109">
        <f t="shared" si="5"/>
        <v>-5.195899652409234</v>
      </c>
      <c r="BJ15" s="91">
        <f t="shared" ca="1" si="54"/>
        <v>-2.2227717988095352</v>
      </c>
      <c r="BL15" s="111">
        <f t="shared" ca="1" si="6"/>
        <v>0.57341124908692476</v>
      </c>
      <c r="BM15" s="112">
        <f t="shared" ca="1" si="7"/>
        <v>0.42366691015339664</v>
      </c>
      <c r="BN15" s="112">
        <f t="shared" ca="1" si="8"/>
        <v>2.9218407596785976E-3</v>
      </c>
      <c r="BO15" s="113">
        <f t="shared" ca="1" si="55"/>
        <v>0.33446150474799125</v>
      </c>
      <c r="BP15" s="114">
        <f t="shared" ca="1" si="56"/>
        <v>0.57341124908692476</v>
      </c>
      <c r="BQ15" s="115">
        <f t="shared" ca="1" si="9"/>
        <v>0.40780911062906722</v>
      </c>
      <c r="BR15" s="112">
        <f t="shared" ca="1" si="10"/>
        <v>0.34056399132321041</v>
      </c>
      <c r="BS15" s="112">
        <f t="shared" ca="1" si="11"/>
        <v>0.25162689804772237</v>
      </c>
      <c r="BT15" s="113">
        <f t="shared" ca="1" si="12"/>
        <v>0.52602255965292843</v>
      </c>
      <c r="BU15" s="114">
        <f t="shared" ca="1" si="57"/>
        <v>0.40780911062906722</v>
      </c>
      <c r="BV15" s="115">
        <f t="shared" ca="1" si="13"/>
        <v>0.4874878128046799</v>
      </c>
      <c r="BW15" s="112">
        <f t="shared" ca="1" si="14"/>
        <v>5.1023724406889827E-2</v>
      </c>
      <c r="BX15" s="112">
        <f t="shared" ca="1" si="15"/>
        <v>0.4614884627884302</v>
      </c>
      <c r="BY15" s="113">
        <f t="shared" ca="1" si="16"/>
        <v>0.81435619109522261</v>
      </c>
      <c r="BZ15" s="114">
        <f t="shared" ca="1" si="58"/>
        <v>0.4874878128046799</v>
      </c>
      <c r="CA15" s="115">
        <f t="shared" ca="1" si="17"/>
        <v>0.50234427327528464</v>
      </c>
      <c r="CB15" s="112">
        <f t="shared" ca="1" si="18"/>
        <v>2.2103148024112527E-2</v>
      </c>
      <c r="CC15" s="112">
        <f t="shared" ca="1" si="19"/>
        <v>0.4755525787006028</v>
      </c>
      <c r="CD15" s="113">
        <f t="shared" ca="1" si="20"/>
        <v>0.8391741460147355</v>
      </c>
      <c r="CE15" s="114">
        <f t="shared" ca="1" si="59"/>
        <v>0.50234427327528464</v>
      </c>
    </row>
    <row r="16" spans="1:83" ht="13">
      <c r="A16" s="193" t="s">
        <v>200</v>
      </c>
      <c r="B16" s="64"/>
      <c r="C16" s="219"/>
      <c r="D16" s="126"/>
      <c r="E16" s="226">
        <v>16</v>
      </c>
      <c r="F16" s="116">
        <v>13000</v>
      </c>
      <c r="G16" s="29"/>
      <c r="H16" s="64"/>
      <c r="I16" s="205">
        <v>75.3</v>
      </c>
      <c r="J16" s="205">
        <v>16.5</v>
      </c>
      <c r="K16" s="209">
        <v>0.02</v>
      </c>
      <c r="L16" s="207">
        <v>9.5000000000000001E-2</v>
      </c>
      <c r="M16" s="205">
        <v>7.9</v>
      </c>
      <c r="N16" s="214">
        <v>2.5000000000000001E-2</v>
      </c>
      <c r="O16" s="214">
        <v>0.2</v>
      </c>
      <c r="P16" s="218">
        <v>1.2E-4</v>
      </c>
      <c r="Q16" s="218">
        <v>5.0000000000000001E-4</v>
      </c>
      <c r="R16" s="210">
        <v>-7.0000000000000001E-3</v>
      </c>
      <c r="S16" s="118"/>
      <c r="T16" s="89">
        <f t="shared" ca="1" si="21"/>
        <v>16</v>
      </c>
      <c r="U16" s="90">
        <f t="shared" ca="1" si="22"/>
        <v>13000</v>
      </c>
      <c r="V16" s="89">
        <f t="shared" ca="1" si="23"/>
        <v>0</v>
      </c>
      <c r="W16" s="89">
        <f t="shared" ca="1" si="24"/>
        <v>0</v>
      </c>
      <c r="X16" s="89">
        <f t="shared" ca="1" si="25"/>
        <v>75.3</v>
      </c>
      <c r="Y16" s="89">
        <f t="shared" ca="1" si="26"/>
        <v>16.5</v>
      </c>
      <c r="Z16" s="89">
        <f t="shared" ca="1" si="27"/>
        <v>0.02</v>
      </c>
      <c r="AA16" s="89">
        <f t="shared" ca="1" si="28"/>
        <v>2.5000000000000001E-2</v>
      </c>
      <c r="AB16" s="89">
        <f t="shared" ca="1" si="29"/>
        <v>7.9</v>
      </c>
      <c r="AC16" s="89">
        <f ca="1">ABS(INDIRECT("L"&amp;(CELL("row", AC16))))</f>
        <v>9.5000000000000001E-2</v>
      </c>
      <c r="AD16" s="89">
        <f t="shared" ca="1" si="31"/>
        <v>0.2</v>
      </c>
      <c r="AE16" s="89">
        <f t="shared" ca="1" si="32"/>
        <v>1.2E-4</v>
      </c>
      <c r="AF16" s="89">
        <f t="shared" ca="1" si="33"/>
        <v>5.0000000000000001E-4</v>
      </c>
      <c r="AG16" s="89">
        <f t="shared" ca="1" si="34"/>
        <v>-7.0000000000000001E-3</v>
      </c>
      <c r="AH16" s="89">
        <f t="shared" ca="1" si="35"/>
        <v>0</v>
      </c>
      <c r="AI16" s="75">
        <f t="shared" ca="1" si="36"/>
        <v>0</v>
      </c>
      <c r="AJ16" s="76">
        <f t="shared" ca="1" si="37"/>
        <v>100.04762000000001</v>
      </c>
      <c r="AK16" s="76">
        <f t="shared" ca="1" si="38"/>
        <v>41.003404799999998</v>
      </c>
      <c r="AL16" s="77">
        <f t="shared" ca="1" si="39"/>
        <v>0</v>
      </c>
      <c r="AM16" s="77">
        <f t="shared" ca="1" si="40"/>
        <v>0</v>
      </c>
      <c r="AN16" s="90">
        <f t="shared" ca="1" si="41"/>
        <v>16</v>
      </c>
      <c r="AO16" s="107">
        <f t="shared" ca="1" si="42"/>
        <v>0</v>
      </c>
      <c r="AP16" s="93">
        <f t="shared" ca="1" si="43"/>
        <v>1.2999999999999999E-2</v>
      </c>
      <c r="AQ16" s="222">
        <f t="shared" ca="1" si="44"/>
        <v>1.2999999999999999E-2</v>
      </c>
      <c r="AR16" s="223">
        <f t="shared" ca="1" si="45"/>
        <v>9.7889999999999991E-3</v>
      </c>
      <c r="AS16" s="223">
        <f t="shared" ca="1" si="46"/>
        <v>2.1449999999999998E-3</v>
      </c>
      <c r="AT16" s="223">
        <f t="shared" ca="1" si="47"/>
        <v>2.5999999999999997E-6</v>
      </c>
      <c r="AU16" s="223">
        <f t="shared" ca="1" si="60"/>
        <v>1.235E-5</v>
      </c>
      <c r="AV16" s="222">
        <f t="shared" ca="1" si="48"/>
        <v>1.0269999999999999E-3</v>
      </c>
      <c r="AW16" s="222">
        <f t="shared" ca="1" si="49"/>
        <v>1.235E-5</v>
      </c>
      <c r="AX16" s="222">
        <f t="shared" ca="1" si="61"/>
        <v>2.5999999999999998E-5</v>
      </c>
      <c r="AY16" s="223">
        <f t="shared" ca="1" si="50"/>
        <v>6.5E-8</v>
      </c>
      <c r="AZ16" s="223">
        <f t="shared" ca="1" si="51"/>
        <v>1.5599999999999997E-8</v>
      </c>
      <c r="BB16" s="108">
        <f t="shared" ca="1" si="0"/>
        <v>-15.441035237204876</v>
      </c>
      <c r="BC16" s="91">
        <f t="shared" ca="1" si="1"/>
        <v>-3.420691458408589</v>
      </c>
      <c r="BD16" s="91">
        <f t="shared" ca="1" si="2"/>
        <v>-5.573456208431903</v>
      </c>
      <c r="BE16" s="91">
        <f t="shared" ca="1" si="3"/>
        <v>-2.0092616714924625</v>
      </c>
      <c r="BF16" s="91">
        <f t="shared" ca="1" si="4"/>
        <v>-2.6685727034792568</v>
      </c>
      <c r="BG16" s="91">
        <f t="shared" ca="1" si="52"/>
        <v>2.899071370911853</v>
      </c>
      <c r="BH16" s="91">
        <f t="shared" ca="1" si="53"/>
        <v>0.32330639037513342</v>
      </c>
      <c r="BI16" s="109">
        <f t="shared" si="5"/>
        <v>-5.1778249718646814</v>
      </c>
      <c r="BJ16" s="91">
        <f t="shared" ca="1" si="54"/>
        <v>-3.4788549675286631</v>
      </c>
      <c r="BL16" s="111">
        <f t="shared" ca="1" si="6"/>
        <v>0.30822758902988129</v>
      </c>
      <c r="BM16" s="112">
        <f t="shared" ca="1" si="7"/>
        <v>0.67539909946786736</v>
      </c>
      <c r="BN16" s="112">
        <f t="shared" ca="1" si="8"/>
        <v>1.6373311502251329E-2</v>
      </c>
      <c r="BO16" s="113">
        <f t="shared" ca="1" si="55"/>
        <v>0.19687687269750306</v>
      </c>
      <c r="BP16" s="114">
        <f t="shared" ca="1" si="56"/>
        <v>0.30822758902988129</v>
      </c>
      <c r="BQ16" s="115">
        <f t="shared" ca="1" si="9"/>
        <v>2.0383204239706482E-2</v>
      </c>
      <c r="BR16" s="112">
        <f t="shared" ca="1" si="10"/>
        <v>0.30697105584997958</v>
      </c>
      <c r="BS16" s="112">
        <f t="shared" ca="1" si="11"/>
        <v>0.67264573991031384</v>
      </c>
      <c r="BT16" s="113">
        <f t="shared" ca="1" si="12"/>
        <v>0.78847329800244603</v>
      </c>
      <c r="BU16" s="114">
        <f t="shared" ca="1" si="57"/>
        <v>2.0383204239706482E-2</v>
      </c>
      <c r="BV16" s="115">
        <f t="shared" ca="1" si="13"/>
        <v>0.43518977579463453</v>
      </c>
      <c r="BW16" s="112">
        <f t="shared" ca="1" si="14"/>
        <v>4.1480746983969592E-2</v>
      </c>
      <c r="BX16" s="112">
        <f t="shared" ca="1" si="15"/>
        <v>0.52332947722139589</v>
      </c>
      <c r="BY16" s="113">
        <f t="shared" ca="1" si="16"/>
        <v>0.8555671238913678</v>
      </c>
      <c r="BZ16" s="114">
        <f t="shared" ca="1" si="58"/>
        <v>0.43518977579463453</v>
      </c>
      <c r="CA16" s="115">
        <f t="shared" ca="1" si="17"/>
        <v>0.45091324200913246</v>
      </c>
      <c r="CB16" s="112">
        <f t="shared" ca="1" si="18"/>
        <v>6.8493150684931512E-3</v>
      </c>
      <c r="CC16" s="112">
        <f t="shared" ca="1" si="19"/>
        <v>0.54223744292237441</v>
      </c>
      <c r="CD16" s="113">
        <f t="shared" ca="1" si="20"/>
        <v>0.88647888127853891</v>
      </c>
      <c r="CE16" s="114">
        <f t="shared" ca="1" si="59"/>
        <v>0.45091324200913246</v>
      </c>
    </row>
    <row r="17" spans="1:83" ht="13">
      <c r="A17" s="193" t="s">
        <v>201</v>
      </c>
      <c r="B17" s="30"/>
      <c r="C17" s="219" t="s">
        <v>192</v>
      </c>
      <c r="D17" s="127"/>
      <c r="E17" s="226">
        <v>22</v>
      </c>
      <c r="F17" s="116">
        <v>2200</v>
      </c>
      <c r="G17" s="29"/>
      <c r="H17" s="64"/>
      <c r="I17" s="205">
        <v>63</v>
      </c>
      <c r="J17" s="205">
        <v>26.8</v>
      </c>
      <c r="K17" s="209">
        <v>8.5000000000000006E-2</v>
      </c>
      <c r="L17" s="207">
        <v>0.11</v>
      </c>
      <c r="M17" s="205">
        <v>8.8000000000000007</v>
      </c>
      <c r="N17" s="214">
        <v>7.8E-2</v>
      </c>
      <c r="O17" s="214">
        <v>1.19</v>
      </c>
      <c r="P17" s="218">
        <v>6.2E-4</v>
      </c>
      <c r="Q17" s="218">
        <v>-2.0000000000000001E-4</v>
      </c>
      <c r="R17" s="210">
        <v>-8.9999999999999993E-3</v>
      </c>
      <c r="S17" s="117"/>
      <c r="T17" s="89">
        <f t="shared" ca="1" si="21"/>
        <v>22</v>
      </c>
      <c r="U17" s="90">
        <f t="shared" ca="1" si="22"/>
        <v>2200</v>
      </c>
      <c r="V17" s="89">
        <f t="shared" ca="1" si="23"/>
        <v>0</v>
      </c>
      <c r="W17" s="89">
        <f t="shared" ca="1" si="24"/>
        <v>0</v>
      </c>
      <c r="X17" s="89">
        <f t="shared" ca="1" si="25"/>
        <v>63</v>
      </c>
      <c r="Y17" s="89">
        <f t="shared" ca="1" si="26"/>
        <v>26.8</v>
      </c>
      <c r="Z17" s="89">
        <f t="shared" ca="1" si="27"/>
        <v>8.5000000000000006E-2</v>
      </c>
      <c r="AA17" s="89">
        <f t="shared" ca="1" si="28"/>
        <v>7.8E-2</v>
      </c>
      <c r="AB17" s="89">
        <f t="shared" ca="1" si="29"/>
        <v>8.8000000000000007</v>
      </c>
      <c r="AC17" s="89">
        <f t="shared" ca="1" si="30"/>
        <v>0.11</v>
      </c>
      <c r="AD17" s="89">
        <f t="shared" ca="1" si="31"/>
        <v>1.19</v>
      </c>
      <c r="AE17" s="89">
        <f t="shared" ca="1" si="32"/>
        <v>6.2E-4</v>
      </c>
      <c r="AF17" s="89">
        <f t="shared" ca="1" si="33"/>
        <v>-2.0000000000000001E-4</v>
      </c>
      <c r="AG17" s="89">
        <f t="shared" ca="1" si="34"/>
        <v>-8.9999999999999993E-3</v>
      </c>
      <c r="AH17" s="89">
        <f t="shared" ca="1" si="35"/>
        <v>0</v>
      </c>
      <c r="AI17" s="75">
        <f t="shared" ca="1" si="36"/>
        <v>0</v>
      </c>
      <c r="AJ17" s="76">
        <f t="shared" ca="1" si="37"/>
        <v>100.07281999999999</v>
      </c>
      <c r="AK17" s="76">
        <f t="shared" ca="1" si="38"/>
        <v>39.390754800000003</v>
      </c>
      <c r="AL17" s="77">
        <f t="shared" ca="1" si="39"/>
        <v>0</v>
      </c>
      <c r="AM17" s="77">
        <f t="shared" ca="1" si="40"/>
        <v>0</v>
      </c>
      <c r="AN17" s="90" t="str">
        <f t="shared" ca="1" si="41"/>
        <v/>
      </c>
      <c r="AO17" s="107">
        <f t="shared" ca="1" si="42"/>
        <v>0</v>
      </c>
      <c r="AP17" s="93">
        <f t="shared" ca="1" si="43"/>
        <v>2.2000000000000001E-3</v>
      </c>
      <c r="AQ17" s="222">
        <f t="shared" ca="1" si="44"/>
        <v>2.2000000000000001E-3</v>
      </c>
      <c r="AR17" s="223">
        <f t="shared" ca="1" si="45"/>
        <v>1.3860000000000001E-3</v>
      </c>
      <c r="AS17" s="223">
        <f t="shared" ca="1" si="46"/>
        <v>5.8960000000000002E-4</v>
      </c>
      <c r="AT17" s="223">
        <f t="shared" ca="1" si="47"/>
        <v>1.8700000000000001E-6</v>
      </c>
      <c r="AU17" s="223">
        <f t="shared" ca="1" si="60"/>
        <v>2.4200000000000001E-6</v>
      </c>
      <c r="AV17" s="222">
        <f t="shared" ca="1" si="48"/>
        <v>1.9360000000000002E-4</v>
      </c>
      <c r="AW17" s="222">
        <f t="shared" ca="1" si="49"/>
        <v>2.4200000000000001E-6</v>
      </c>
      <c r="AX17" s="222">
        <f t="shared" ca="1" si="61"/>
        <v>2.618E-5</v>
      </c>
      <c r="AY17" s="223">
        <f t="shared" ca="1" si="50"/>
        <v>4.3999999999999997E-9</v>
      </c>
      <c r="AZ17" s="223">
        <f t="shared" ca="1" si="51"/>
        <v>1.364E-8</v>
      </c>
      <c r="BB17" s="108">
        <f t="shared" ref="BB17:BB40" ca="1" si="62">LOG(AR17)+4*LOG(AX17)-LOG(AU17)</f>
        <v>-15.570173566845696</v>
      </c>
      <c r="BC17" s="91">
        <f t="shared" ref="BC17:BC40" ca="1" si="63">3*LOG(AS17)-LOG(AX17)</f>
        <v>-5.1062972176617523</v>
      </c>
      <c r="BD17" s="91">
        <f t="shared" ca="1" si="2"/>
        <v>-6.0028689334564103</v>
      </c>
      <c r="BE17" s="91">
        <f t="shared" ref="BE17:BE40" ca="1" si="64">LOG(AR17)</f>
        <v>-2.8582367697242121</v>
      </c>
      <c r="BF17" s="91">
        <f t="shared" ref="BF17:BF40" ca="1" si="65">LOG(AS17)</f>
        <v>-3.2294425251490049</v>
      </c>
      <c r="BG17" s="91">
        <f t="shared" ca="1" si="52"/>
        <v>2.7579478642953568</v>
      </c>
      <c r="BH17" s="91">
        <f t="shared" ca="1" si="53"/>
        <v>1.0341542762343057</v>
      </c>
      <c r="BI17" s="109">
        <f t="shared" si="5"/>
        <v>-5.4983105537896009</v>
      </c>
      <c r="BJ17" s="91">
        <f t="shared" ca="1" si="54"/>
        <v>-2.9072459467631013</v>
      </c>
      <c r="BL17" s="111">
        <f t="shared" ca="1" si="6"/>
        <v>0.18103448275862069</v>
      </c>
      <c r="BM17" s="112">
        <f t="shared" ca="1" si="7"/>
        <v>0.77011494252873558</v>
      </c>
      <c r="BN17" s="112">
        <f t="shared" ca="1" si="8"/>
        <v>4.8850574712643681E-2</v>
      </c>
      <c r="BO17" s="113">
        <f t="shared" ca="1" si="55"/>
        <v>0.16093706896551727</v>
      </c>
      <c r="BP17" s="114">
        <f t="shared" ca="1" si="56"/>
        <v>0.18103448275862069</v>
      </c>
      <c r="BQ17" s="115">
        <f t="shared" ca="1" si="9"/>
        <v>4.5008655510675129E-2</v>
      </c>
      <c r="BR17" s="112">
        <f t="shared" ca="1" si="10"/>
        <v>0.18176572417772646</v>
      </c>
      <c r="BS17" s="112">
        <f t="shared" ca="1" si="11"/>
        <v>0.77322562031159836</v>
      </c>
      <c r="BT17" s="113">
        <f t="shared" ref="BT17:BT40" ca="1" si="66">0.5774*BQ17+1.1547*BS17</f>
        <v>0.91883162146566644</v>
      </c>
      <c r="BU17" s="114">
        <f t="shared" ca="1" si="57"/>
        <v>4.5008655510675129E-2</v>
      </c>
      <c r="BV17" s="115">
        <f t="shared" ca="1" si="13"/>
        <v>0.43073910915320612</v>
      </c>
      <c r="BW17" s="112">
        <f t="shared" ca="1" si="14"/>
        <v>3.0837004405286344E-2</v>
      </c>
      <c r="BX17" s="112">
        <f t="shared" ca="1" si="15"/>
        <v>0.53842388644150763</v>
      </c>
      <c r="BY17" s="113">
        <f t="shared" ref="BY17:BY40" ca="1" si="67">0.5774*BV17+1.1547*BX17</f>
        <v>0.87042682329907017</v>
      </c>
      <c r="BZ17" s="114">
        <f t="shared" ca="1" si="58"/>
        <v>0.43073910915320612</v>
      </c>
      <c r="CA17" s="115">
        <f t="shared" ca="1" si="17"/>
        <v>0.4309500489715965</v>
      </c>
      <c r="CB17" s="112">
        <f t="shared" ca="1" si="18"/>
        <v>3.0362389813907931E-2</v>
      </c>
      <c r="CC17" s="112">
        <f t="shared" ca="1" si="19"/>
        <v>0.53868756121449557</v>
      </c>
      <c r="CD17" s="113">
        <f t="shared" ref="CD17:CD40" ca="1" si="68">0.5774*CA17+1.1547*CC17</f>
        <v>0.87085308521057792</v>
      </c>
      <c r="CE17" s="114">
        <f t="shared" ca="1" si="59"/>
        <v>0.4309500489715965</v>
      </c>
    </row>
    <row r="18" spans="1:83" ht="13">
      <c r="A18" s="193" t="s">
        <v>202</v>
      </c>
      <c r="B18" s="33"/>
      <c r="C18" s="219" t="s">
        <v>193</v>
      </c>
      <c r="D18" s="128"/>
      <c r="E18" s="226">
        <v>23</v>
      </c>
      <c r="F18" s="221">
        <v>12000</v>
      </c>
      <c r="G18" s="29"/>
      <c r="H18" s="195"/>
      <c r="I18" s="205">
        <v>73.599999999999994</v>
      </c>
      <c r="J18" s="205">
        <v>21.9</v>
      </c>
      <c r="K18" s="209">
        <v>4.5999999999999999E-2</v>
      </c>
      <c r="L18" s="207">
        <v>1.2E-2</v>
      </c>
      <c r="M18" s="205">
        <v>1.1000000000000001</v>
      </c>
      <c r="N18" s="214">
        <v>0.34</v>
      </c>
      <c r="O18" s="214">
        <v>2.87</v>
      </c>
      <c r="P18" s="218">
        <v>2.0200000000000001E-3</v>
      </c>
      <c r="Q18" s="218">
        <v>4.7000000000000002E-3</v>
      </c>
      <c r="R18" s="210">
        <v>-4.0000000000000001E-3</v>
      </c>
      <c r="S18" s="194"/>
      <c r="T18" s="89">
        <f t="shared" ca="1" si="21"/>
        <v>23</v>
      </c>
      <c r="U18" s="90">
        <f t="shared" ca="1" si="22"/>
        <v>12000</v>
      </c>
      <c r="V18" s="89">
        <f t="shared" ca="1" si="23"/>
        <v>0</v>
      </c>
      <c r="W18" s="89">
        <f t="shared" ca="1" si="24"/>
        <v>0</v>
      </c>
      <c r="X18" s="89">
        <f t="shared" ca="1" si="25"/>
        <v>73.599999999999994</v>
      </c>
      <c r="Y18" s="89">
        <f t="shared" ca="1" si="26"/>
        <v>21.9</v>
      </c>
      <c r="Z18" s="89">
        <f t="shared" ca="1" si="27"/>
        <v>4.5999999999999999E-2</v>
      </c>
      <c r="AA18" s="89">
        <f t="shared" ca="1" si="28"/>
        <v>0.34</v>
      </c>
      <c r="AB18" s="89">
        <f t="shared" ca="1" si="29"/>
        <v>1.1000000000000001</v>
      </c>
      <c r="AC18" s="89">
        <f t="shared" ca="1" si="30"/>
        <v>1.2E-2</v>
      </c>
      <c r="AD18" s="89">
        <f t="shared" ca="1" si="31"/>
        <v>2.87</v>
      </c>
      <c r="AE18" s="89">
        <f t="shared" ca="1" si="32"/>
        <v>2.0200000000000001E-3</v>
      </c>
      <c r="AF18" s="89">
        <f t="shared" ca="1" si="33"/>
        <v>4.7000000000000002E-3</v>
      </c>
      <c r="AG18" s="89">
        <f t="shared" ca="1" si="34"/>
        <v>-4.0000000000000001E-3</v>
      </c>
      <c r="AH18" s="89">
        <f t="shared" ca="1" si="35"/>
        <v>0</v>
      </c>
      <c r="AI18" s="75">
        <f t="shared" ca="1" si="36"/>
        <v>0</v>
      </c>
      <c r="AJ18" s="76">
        <f t="shared" ca="1" si="37"/>
        <v>99.878720000000015</v>
      </c>
      <c r="AK18" s="76">
        <f t="shared" ca="1" si="38"/>
        <v>40.262500799999998</v>
      </c>
      <c r="AL18" s="77">
        <f t="shared" ca="1" si="39"/>
        <v>0</v>
      </c>
      <c r="AM18" s="77">
        <f t="shared" ca="1" si="40"/>
        <v>0</v>
      </c>
      <c r="AN18" s="90">
        <f t="shared" ca="1" si="41"/>
        <v>23</v>
      </c>
      <c r="AO18" s="107">
        <f t="shared" ca="1" si="42"/>
        <v>0</v>
      </c>
      <c r="AP18" s="93">
        <f t="shared" ca="1" si="43"/>
        <v>1.2E-2</v>
      </c>
      <c r="AQ18" s="222">
        <f t="shared" ca="1" si="44"/>
        <v>1.2E-2</v>
      </c>
      <c r="AR18" s="223">
        <f t="shared" ca="1" si="45"/>
        <v>8.8319999999999996E-3</v>
      </c>
      <c r="AS18" s="223">
        <f t="shared" ca="1" si="46"/>
        <v>2.6279999999999997E-3</v>
      </c>
      <c r="AT18" s="223">
        <f t="shared" ca="1" si="47"/>
        <v>5.5199999999999997E-6</v>
      </c>
      <c r="AU18" s="223">
        <f t="shared" ca="1" si="60"/>
        <v>1.44E-6</v>
      </c>
      <c r="AV18" s="222">
        <f t="shared" ca="1" si="48"/>
        <v>1.3200000000000001E-4</v>
      </c>
      <c r="AW18" s="222">
        <f t="shared" ca="1" si="49"/>
        <v>1.44E-6</v>
      </c>
      <c r="AX18" s="222">
        <f t="shared" ca="1" si="61"/>
        <v>3.4440000000000002E-4</v>
      </c>
      <c r="AY18" s="223">
        <f t="shared" ca="1" si="50"/>
        <v>5.6400000000000002E-7</v>
      </c>
      <c r="AZ18" s="223">
        <f t="shared" ca="1" si="51"/>
        <v>2.424E-7</v>
      </c>
      <c r="BB18" s="108">
        <f t="shared" ca="1" si="62"/>
        <v>-10.064050860583659</v>
      </c>
      <c r="BC18" s="91">
        <f t="shared" ca="1" si="63"/>
        <v>-4.2781870601183876</v>
      </c>
      <c r="BD18" s="91">
        <f t="shared" ref="BD18:BD40" ca="1" si="69">LOG(AV18)+3*LOG(AX18)-2*LOG(AT18)</f>
        <v>-3.7521147959076959</v>
      </c>
      <c r="BE18" s="91">
        <f t="shared" ca="1" si="64"/>
        <v>-2.0539409396148764</v>
      </c>
      <c r="BF18" s="91">
        <f t="shared" ca="1" si="65"/>
        <v>-2.5803746391122568</v>
      </c>
      <c r="BG18" s="91">
        <f t="shared" ca="1" si="52"/>
        <v>3.7876965682898742</v>
      </c>
      <c r="BH18" s="91">
        <f t="shared" ca="1" si="53"/>
        <v>2.3787006506863673</v>
      </c>
      <c r="BI18" s="109">
        <f t="shared" si="5"/>
        <v>-4.1947799564017814</v>
      </c>
      <c r="BJ18" s="91">
        <f t="shared" ca="1" si="54"/>
        <v>-2.3353988972952435</v>
      </c>
      <c r="BL18" s="111">
        <f t="shared" ca="1" si="6"/>
        <v>0.24387011265738898</v>
      </c>
      <c r="BM18" s="112">
        <f t="shared" ca="1" si="7"/>
        <v>0.72564612326043731</v>
      </c>
      <c r="BN18" s="112">
        <f t="shared" ca="1" si="8"/>
        <v>3.0483764082173622E-2</v>
      </c>
      <c r="BO18" s="113">
        <f t="shared" ca="1" si="55"/>
        <v>0.17601020543406226</v>
      </c>
      <c r="BP18" s="114">
        <f t="shared" ca="1" si="56"/>
        <v>0.24387011265738898</v>
      </c>
      <c r="BQ18" s="115">
        <f t="shared" ca="1" si="9"/>
        <v>0.18857459789240155</v>
      </c>
      <c r="BR18" s="112">
        <f t="shared" ca="1" si="10"/>
        <v>0.20410427066001105</v>
      </c>
      <c r="BS18" s="112">
        <f t="shared" ca="1" si="11"/>
        <v>0.60732113144758737</v>
      </c>
      <c r="BT18" s="113">
        <f t="shared" ca="1" si="66"/>
        <v>0.81015668330560187</v>
      </c>
      <c r="BU18" s="114">
        <f t="shared" ca="1" si="57"/>
        <v>0.18857459789240155</v>
      </c>
      <c r="BV18" s="115">
        <f t="shared" ca="1" si="13"/>
        <v>0.36231884057971014</v>
      </c>
      <c r="BW18" s="112">
        <f t="shared" ca="1" si="14"/>
        <v>0.24242424242424238</v>
      </c>
      <c r="BX18" s="112">
        <f t="shared" ca="1" si="15"/>
        <v>0.39525691699604742</v>
      </c>
      <c r="BY18" s="113">
        <f t="shared" ca="1" si="67"/>
        <v>0.66560606060606065</v>
      </c>
      <c r="BZ18" s="114">
        <f t="shared" ca="1" si="58"/>
        <v>0.36231884057971014</v>
      </c>
      <c r="CA18" s="115">
        <f t="shared" ca="1" si="17"/>
        <v>0.25462962962962965</v>
      </c>
      <c r="CB18" s="112">
        <f t="shared" ca="1" si="18"/>
        <v>0.46759259259259256</v>
      </c>
      <c r="CC18" s="112">
        <f t="shared" ca="1" si="19"/>
        <v>0.27777777777777773</v>
      </c>
      <c r="CD18" s="113">
        <f t="shared" ca="1" si="68"/>
        <v>0.46777314814814813</v>
      </c>
      <c r="CE18" s="114">
        <f t="shared" ca="1" si="59"/>
        <v>0.25462962962962965</v>
      </c>
    </row>
    <row r="19" spans="1:83" ht="13">
      <c r="A19" s="193" t="s">
        <v>203</v>
      </c>
      <c r="B19" s="24"/>
      <c r="C19" s="219" t="s">
        <v>207</v>
      </c>
      <c r="D19" s="126"/>
      <c r="E19" s="226">
        <v>23</v>
      </c>
      <c r="F19" s="221">
        <v>1000000</v>
      </c>
      <c r="G19" s="29"/>
      <c r="H19" s="64"/>
      <c r="I19" s="205">
        <v>74.8</v>
      </c>
      <c r="J19" s="205">
        <v>17.399999999999999</v>
      </c>
      <c r="K19" s="209">
        <v>2E-3</v>
      </c>
      <c r="L19" s="207">
        <v>4.1000000000000002E-2</v>
      </c>
      <c r="M19" s="205">
        <v>2.6</v>
      </c>
      <c r="N19" s="214">
        <v>0.71</v>
      </c>
      <c r="O19" s="214">
        <v>4.45</v>
      </c>
      <c r="P19" s="218">
        <v>3.0999999999999999E-3</v>
      </c>
      <c r="Q19" s="218">
        <v>1.1000000000000001E-3</v>
      </c>
      <c r="R19" s="210">
        <v>1.4999999999999999E-2</v>
      </c>
      <c r="S19" s="118"/>
      <c r="T19" s="89">
        <f t="shared" ca="1" si="21"/>
        <v>23</v>
      </c>
      <c r="U19" s="89">
        <f t="shared" ca="1" si="22"/>
        <v>1000000</v>
      </c>
      <c r="V19" s="89">
        <f t="shared" ca="1" si="23"/>
        <v>0</v>
      </c>
      <c r="W19" s="89">
        <f t="shared" ca="1" si="24"/>
        <v>0</v>
      </c>
      <c r="X19" s="89">
        <f t="shared" ca="1" si="25"/>
        <v>74.8</v>
      </c>
      <c r="Y19" s="89">
        <f t="shared" ca="1" si="26"/>
        <v>17.399999999999999</v>
      </c>
      <c r="Z19" s="89">
        <f t="shared" ca="1" si="27"/>
        <v>2E-3</v>
      </c>
      <c r="AA19" s="89">
        <f t="shared" ca="1" si="28"/>
        <v>0.71</v>
      </c>
      <c r="AB19" s="89">
        <f t="shared" ca="1" si="29"/>
        <v>2.6</v>
      </c>
      <c r="AC19" s="89">
        <f t="shared" ca="1" si="30"/>
        <v>4.1000000000000002E-2</v>
      </c>
      <c r="AD19" s="89">
        <f t="shared" ca="1" si="31"/>
        <v>4.45</v>
      </c>
      <c r="AE19" s="89">
        <f t="shared" ca="1" si="32"/>
        <v>3.0999999999999999E-3</v>
      </c>
      <c r="AF19" s="89">
        <f t="shared" ca="1" si="33"/>
        <v>1.1000000000000001E-3</v>
      </c>
      <c r="AG19" s="89">
        <f t="shared" ca="1" si="34"/>
        <v>1.4999999999999999E-2</v>
      </c>
      <c r="AH19" s="89">
        <f t="shared" ca="1" si="35"/>
        <v>0</v>
      </c>
      <c r="AI19" s="75">
        <f t="shared" ca="1" si="36"/>
        <v>7.1428571428571425E-2</v>
      </c>
      <c r="AJ19" s="76">
        <f t="shared" ca="1" si="37"/>
        <v>100.02219999999997</v>
      </c>
      <c r="AK19" s="76">
        <f t="shared" ca="1" si="38"/>
        <v>39.759597142857146</v>
      </c>
      <c r="AL19" s="77">
        <f t="shared" ca="1" si="39"/>
        <v>2.1428571428571429E-2</v>
      </c>
      <c r="AM19" s="77">
        <f t="shared" ca="1" si="40"/>
        <v>1.6271777003484318E-2</v>
      </c>
      <c r="AN19" s="90">
        <f t="shared" ca="1" si="41"/>
        <v>23</v>
      </c>
      <c r="AO19" s="107">
        <f t="shared" ca="1" si="42"/>
        <v>0</v>
      </c>
      <c r="AP19" s="93">
        <f t="shared" ca="1" si="43"/>
        <v>1</v>
      </c>
      <c r="AQ19" s="222">
        <f t="shared" ca="1" si="44"/>
        <v>0.99928571428571433</v>
      </c>
      <c r="AR19" s="223">
        <f t="shared" ca="1" si="45"/>
        <v>0.74746571428571429</v>
      </c>
      <c r="AS19" s="223">
        <f t="shared" ca="1" si="46"/>
        <v>0.17387571428571427</v>
      </c>
      <c r="AT19" s="223">
        <f t="shared" ca="1" si="47"/>
        <v>1.9985714285714285E-5</v>
      </c>
      <c r="AU19" s="223">
        <f t="shared" ca="1" si="60"/>
        <v>4.0970714285714293E-4</v>
      </c>
      <c r="AV19" s="222">
        <f t="shared" ca="1" si="48"/>
        <v>2.5981428571428572E-2</v>
      </c>
      <c r="AW19" s="222">
        <f t="shared" ca="1" si="49"/>
        <v>4.0970714285714293E-4</v>
      </c>
      <c r="AX19" s="222">
        <f t="shared" ca="1" si="61"/>
        <v>4.4468214285714291E-2</v>
      </c>
      <c r="AY19" s="223">
        <f t="shared" ca="1" si="50"/>
        <v>1.0992142857142859E-5</v>
      </c>
      <c r="AZ19" s="223">
        <f t="shared" ca="1" si="51"/>
        <v>3.0974116959183676E-5</v>
      </c>
      <c r="BB19" s="108">
        <f t="shared" ca="1" si="62"/>
        <v>-2.1466834996771893</v>
      </c>
      <c r="BC19" s="91">
        <f t="shared" ca="1" si="63"/>
        <v>-0.92733290850595318</v>
      </c>
      <c r="BD19" s="91">
        <f t="shared" ca="1" si="69"/>
        <v>3.7573727472128295</v>
      </c>
      <c r="BE19" s="91">
        <f t="shared" ca="1" si="64"/>
        <v>-0.12640872332194902</v>
      </c>
      <c r="BF19" s="91">
        <f t="shared" ca="1" si="65"/>
        <v>-0.75976107290381067</v>
      </c>
      <c r="BG19" s="91">
        <f t="shared" ca="1" si="52"/>
        <v>3.2611177411447256</v>
      </c>
      <c r="BH19" s="91">
        <f t="shared" ca="1" si="53"/>
        <v>2.0355761542611961</v>
      </c>
      <c r="BI19" s="109">
        <f t="shared" si="5"/>
        <v>-4.8325089127062366</v>
      </c>
      <c r="BJ19" s="91">
        <f t="shared" ca="1" si="54"/>
        <v>-2.0226432491453861</v>
      </c>
      <c r="BL19" s="111">
        <f t="shared" ca="1" si="6"/>
        <v>0.3001605136436597</v>
      </c>
      <c r="BM19" s="112">
        <f t="shared" ca="1" si="7"/>
        <v>0.69823434991974309</v>
      </c>
      <c r="BN19" s="112">
        <f t="shared" ca="1" si="8"/>
        <v>1.6051364365971107E-3</v>
      </c>
      <c r="BO19" s="113">
        <f t="shared" ca="1" si="55"/>
        <v>0.1751661316211878</v>
      </c>
      <c r="BP19" s="114">
        <f t="shared" ca="1" si="56"/>
        <v>0.3001605136436597</v>
      </c>
      <c r="BQ19" s="115">
        <f t="shared" ca="1" si="9"/>
        <v>0.36335721596724668</v>
      </c>
      <c r="BR19" s="112">
        <f t="shared" ca="1" si="10"/>
        <v>0.19140225179119752</v>
      </c>
      <c r="BS19" s="112">
        <f t="shared" ca="1" si="11"/>
        <v>0.4452405322415558</v>
      </c>
      <c r="BT19" s="113">
        <f t="shared" ca="1" si="66"/>
        <v>0.72392169907881276</v>
      </c>
      <c r="BU19" s="114">
        <f t="shared" ca="1" si="57"/>
        <v>0.36335721596724668</v>
      </c>
      <c r="BV19" s="115">
        <f t="shared" ca="1" si="13"/>
        <v>0.3490870032223416</v>
      </c>
      <c r="BW19" s="112">
        <f t="shared" ca="1" si="14"/>
        <v>0.1004296455424275</v>
      </c>
      <c r="BX19" s="112">
        <f t="shared" ca="1" si="15"/>
        <v>0.55048335123523096</v>
      </c>
      <c r="BY19" s="113">
        <f t="shared" ca="1" si="67"/>
        <v>0.83720596133190128</v>
      </c>
      <c r="BZ19" s="114">
        <f t="shared" ca="1" si="58"/>
        <v>0.3490870032223416</v>
      </c>
      <c r="CA19" s="115">
        <f t="shared" ca="1" si="17"/>
        <v>0.26530612244897961</v>
      </c>
      <c r="CB19" s="112">
        <f t="shared" ca="1" si="18"/>
        <v>0.31632653061224486</v>
      </c>
      <c r="CC19" s="112">
        <f t="shared" ca="1" si="19"/>
        <v>0.41836734693877553</v>
      </c>
      <c r="CD19" s="113">
        <f t="shared" ca="1" si="68"/>
        <v>0.63627653061224498</v>
      </c>
      <c r="CE19" s="114">
        <f t="shared" ca="1" si="59"/>
        <v>0.26530612244897961</v>
      </c>
    </row>
    <row r="20" spans="1:83" ht="13">
      <c r="A20" s="193" t="s">
        <v>204</v>
      </c>
      <c r="B20" s="24"/>
      <c r="C20" s="219"/>
      <c r="D20" s="126"/>
      <c r="E20" s="226">
        <v>26</v>
      </c>
      <c r="F20" s="221">
        <v>54000</v>
      </c>
      <c r="G20" s="29"/>
      <c r="H20" s="64"/>
      <c r="I20" s="205">
        <v>80.599999999999994</v>
      </c>
      <c r="J20" s="205">
        <v>17.399999999999999</v>
      </c>
      <c r="K20" s="209">
        <v>8.9999999999999993E-3</v>
      </c>
      <c r="L20" s="207">
        <v>6.0000000000000001E-3</v>
      </c>
      <c r="M20" s="205">
        <v>0.3</v>
      </c>
      <c r="N20" s="214">
        <v>0.32</v>
      </c>
      <c r="O20" s="214">
        <v>1.4</v>
      </c>
      <c r="P20" s="218">
        <v>6.8999999999999997E-4</v>
      </c>
      <c r="Q20" s="218">
        <v>2.8E-3</v>
      </c>
      <c r="R20" s="210">
        <v>-2E-3</v>
      </c>
      <c r="S20" s="118"/>
      <c r="T20" s="89">
        <f t="shared" ca="1" si="21"/>
        <v>26</v>
      </c>
      <c r="U20" s="89">
        <f t="shared" ca="1" si="22"/>
        <v>54000</v>
      </c>
      <c r="V20" s="89">
        <f t="shared" ca="1" si="23"/>
        <v>0</v>
      </c>
      <c r="W20" s="89">
        <f t="shared" ca="1" si="24"/>
        <v>0</v>
      </c>
      <c r="X20" s="89">
        <f t="shared" ca="1" si="25"/>
        <v>80.599999999999994</v>
      </c>
      <c r="Y20" s="89">
        <f t="shared" ca="1" si="26"/>
        <v>17.399999999999999</v>
      </c>
      <c r="Z20" s="89">
        <f t="shared" ca="1" si="27"/>
        <v>8.9999999999999993E-3</v>
      </c>
      <c r="AA20" s="89">
        <f t="shared" ca="1" si="28"/>
        <v>0.32</v>
      </c>
      <c r="AB20" s="89">
        <f t="shared" ca="1" si="29"/>
        <v>0.3</v>
      </c>
      <c r="AC20" s="89">
        <f t="shared" ca="1" si="30"/>
        <v>6.0000000000000001E-3</v>
      </c>
      <c r="AD20" s="89">
        <f t="shared" ca="1" si="31"/>
        <v>1.4</v>
      </c>
      <c r="AE20" s="89">
        <f t="shared" ca="1" si="32"/>
        <v>6.8999999999999997E-4</v>
      </c>
      <c r="AF20" s="89">
        <f t="shared" ca="1" si="33"/>
        <v>2.8E-3</v>
      </c>
      <c r="AG20" s="89">
        <f t="shared" ca="1" si="34"/>
        <v>-2E-3</v>
      </c>
      <c r="AH20" s="89">
        <f t="shared" ca="1" si="35"/>
        <v>0</v>
      </c>
      <c r="AI20" s="75">
        <f t="shared" ca="1" si="36"/>
        <v>0</v>
      </c>
      <c r="AJ20" s="76">
        <f t="shared" ca="1" si="37"/>
        <v>100.04048999999999</v>
      </c>
      <c r="AK20" s="76">
        <f t="shared" ca="1" si="38"/>
        <v>41.547157599999998</v>
      </c>
      <c r="AL20" s="77">
        <f t="shared" ca="1" si="39"/>
        <v>0</v>
      </c>
      <c r="AM20" s="77">
        <f t="shared" ca="1" si="40"/>
        <v>0</v>
      </c>
      <c r="AN20" s="90">
        <f t="shared" ca="1" si="41"/>
        <v>26</v>
      </c>
      <c r="AO20" s="107">
        <f t="shared" ca="1" si="42"/>
        <v>0</v>
      </c>
      <c r="AP20" s="93">
        <f t="shared" ca="1" si="43"/>
        <v>5.3999999999999999E-2</v>
      </c>
      <c r="AQ20" s="222">
        <f t="shared" ca="1" si="44"/>
        <v>5.3999999999999999E-2</v>
      </c>
      <c r="AR20" s="223">
        <f t="shared" ca="1" si="45"/>
        <v>4.3523999999999993E-2</v>
      </c>
      <c r="AS20" s="223">
        <f t="shared" ca="1" si="46"/>
        <v>9.3959999999999981E-3</v>
      </c>
      <c r="AT20" s="223">
        <f t="shared" ca="1" si="47"/>
        <v>4.8599999999999992E-6</v>
      </c>
      <c r="AU20" s="223">
        <f t="shared" ca="1" si="60"/>
        <v>3.2400000000000003E-6</v>
      </c>
      <c r="AV20" s="222">
        <f t="shared" ca="1" si="48"/>
        <v>1.6199999999999998E-4</v>
      </c>
      <c r="AW20" s="222">
        <f t="shared" ca="1" si="49"/>
        <v>3.2400000000000003E-6</v>
      </c>
      <c r="AX20" s="222">
        <f t="shared" ca="1" si="61"/>
        <v>7.5599999999999994E-4</v>
      </c>
      <c r="AY20" s="223">
        <f t="shared" ca="1" si="50"/>
        <v>1.5119999999999999E-6</v>
      </c>
      <c r="AZ20" s="223">
        <f t="shared" ca="1" si="51"/>
        <v>3.7259999999999999E-7</v>
      </c>
      <c r="BB20" s="108">
        <f t="shared" ca="1" si="62"/>
        <v>-8.357729026573729</v>
      </c>
      <c r="BC20" s="91">
        <f t="shared" ca="1" si="63"/>
        <v>-2.9596927711845025</v>
      </c>
      <c r="BD20" s="91">
        <f t="shared" ca="1" si="69"/>
        <v>-2.5281921374783369</v>
      </c>
      <c r="BE20" s="91">
        <f t="shared" ca="1" si="64"/>
        <v>-1.361271198371941</v>
      </c>
      <c r="BF20" s="91">
        <f t="shared" ca="1" si="65"/>
        <v>-2.0270569918944319</v>
      </c>
      <c r="BG20" s="91">
        <f t="shared" ca="1" si="52"/>
        <v>4.1281837914214465</v>
      </c>
      <c r="BH20" s="91">
        <f t="shared" ca="1" si="53"/>
        <v>2.3679767852945943</v>
      </c>
      <c r="BI20" s="109">
        <f t="shared" si="5"/>
        <v>-4.459177010462871</v>
      </c>
      <c r="BJ20" s="91">
        <f t="shared" ca="1" si="54"/>
        <v>-2.4011850634851846</v>
      </c>
      <c r="BL20" s="111">
        <f t="shared" ca="1" si="6"/>
        <v>0.31435257410296413</v>
      </c>
      <c r="BM20" s="112">
        <f t="shared" ca="1" si="7"/>
        <v>0.67862714508580346</v>
      </c>
      <c r="BN20" s="112">
        <f t="shared" ca="1" si="8"/>
        <v>7.0202808112324495E-3</v>
      </c>
      <c r="BO20" s="113">
        <f t="shared" ca="1" si="55"/>
        <v>0.1896134945397816</v>
      </c>
      <c r="BP20" s="114">
        <f t="shared" ca="1" si="56"/>
        <v>0.31435257410296413</v>
      </c>
      <c r="BQ20" s="115">
        <f t="shared" ca="1" si="9"/>
        <v>0.20087884494664154</v>
      </c>
      <c r="BR20" s="112">
        <f t="shared" ca="1" si="10"/>
        <v>0.25298179535467669</v>
      </c>
      <c r="BS20" s="112">
        <f t="shared" ca="1" si="11"/>
        <v>0.54613935969868166</v>
      </c>
      <c r="BT20" s="113">
        <f t="shared" ca="1" si="66"/>
        <v>0.74661456371625856</v>
      </c>
      <c r="BU20" s="114">
        <f t="shared" ca="1" si="57"/>
        <v>0.20087884494664154</v>
      </c>
      <c r="BV20" s="115">
        <f t="shared" ca="1" si="13"/>
        <v>0.17584994138335289</v>
      </c>
      <c r="BW20" s="112">
        <f t="shared" ca="1" si="14"/>
        <v>0.47245017584994137</v>
      </c>
      <c r="BX20" s="112">
        <f t="shared" ca="1" si="15"/>
        <v>0.35169988276670577</v>
      </c>
      <c r="BY20" s="113">
        <f t="shared" ca="1" si="67"/>
        <v>0.50764361078546316</v>
      </c>
      <c r="BZ20" s="114">
        <f t="shared" ca="1" si="58"/>
        <v>0.17584994138335289</v>
      </c>
      <c r="CA20" s="115">
        <f t="shared" ca="1" si="17"/>
        <v>0.18867924528301888</v>
      </c>
      <c r="CB20" s="112">
        <f t="shared" ca="1" si="18"/>
        <v>0.43396226415094341</v>
      </c>
      <c r="CC20" s="112">
        <f t="shared" ca="1" si="19"/>
        <v>0.37735849056603776</v>
      </c>
      <c r="CD20" s="113">
        <f t="shared" ca="1" si="68"/>
        <v>0.54467924528301892</v>
      </c>
      <c r="CE20" s="114">
        <f t="shared" ca="1" si="59"/>
        <v>0.18867924528301888</v>
      </c>
    </row>
    <row r="21" spans="1:83" ht="13">
      <c r="A21" s="193" t="s">
        <v>205</v>
      </c>
      <c r="B21" s="30"/>
      <c r="C21" s="219" t="s">
        <v>208</v>
      </c>
      <c r="D21" s="128"/>
      <c r="E21" s="226" t="s">
        <v>218</v>
      </c>
      <c r="F21" s="221">
        <v>710000</v>
      </c>
      <c r="G21" s="26"/>
      <c r="H21" s="132"/>
      <c r="I21" s="205">
        <v>89</v>
      </c>
      <c r="J21" s="205">
        <v>0.1</v>
      </c>
      <c r="K21" s="209">
        <v>1E-3</v>
      </c>
      <c r="L21" s="207">
        <v>0.14000000000000001</v>
      </c>
      <c r="M21" s="205">
        <v>8.9</v>
      </c>
      <c r="N21" s="214">
        <v>1.39</v>
      </c>
      <c r="O21" s="214">
        <v>0.01</v>
      </c>
      <c r="P21" s="218">
        <v>3.2000000000000002E-3</v>
      </c>
      <c r="Q21" s="218">
        <v>-1E-4</v>
      </c>
      <c r="R21" s="210">
        <v>-3.0000000000000001E-3</v>
      </c>
      <c r="S21" s="194"/>
      <c r="T21" s="89" t="str">
        <f t="shared" ca="1" si="21"/>
        <v>LR</v>
      </c>
      <c r="U21" s="89">
        <f t="shared" ca="1" si="22"/>
        <v>710000</v>
      </c>
      <c r="V21" s="89">
        <f t="shared" ca="1" si="23"/>
        <v>0</v>
      </c>
      <c r="W21" s="89">
        <f t="shared" ca="1" si="24"/>
        <v>0</v>
      </c>
      <c r="X21" s="89">
        <f t="shared" ca="1" si="25"/>
        <v>89</v>
      </c>
      <c r="Y21" s="89">
        <f t="shared" ca="1" si="26"/>
        <v>0.1</v>
      </c>
      <c r="Z21" s="89">
        <f t="shared" ca="1" si="27"/>
        <v>1E-3</v>
      </c>
      <c r="AA21" s="89">
        <f t="shared" ca="1" si="28"/>
        <v>1.39</v>
      </c>
      <c r="AB21" s="89">
        <f t="shared" ca="1" si="29"/>
        <v>8.9</v>
      </c>
      <c r="AC21" s="89">
        <f t="shared" ca="1" si="30"/>
        <v>0.14000000000000001</v>
      </c>
      <c r="AD21" s="89">
        <f t="shared" ca="1" si="31"/>
        <v>0.01</v>
      </c>
      <c r="AE21" s="89">
        <f t="shared" ca="1" si="32"/>
        <v>3.2000000000000002E-3</v>
      </c>
      <c r="AF21" s="89">
        <f t="shared" ca="1" si="33"/>
        <v>-1E-4</v>
      </c>
      <c r="AG21" s="89">
        <f t="shared" ca="1" si="34"/>
        <v>-3.0000000000000001E-3</v>
      </c>
      <c r="AH21" s="89">
        <f t="shared" ca="1" si="35"/>
        <v>0</v>
      </c>
      <c r="AI21" s="75">
        <f t="shared" ca="1" si="36"/>
        <v>0</v>
      </c>
      <c r="AJ21" s="76">
        <f t="shared" ca="1" si="37"/>
        <v>99.547300000000021</v>
      </c>
      <c r="AK21" s="76">
        <f t="shared" ca="1" si="38"/>
        <v>41.964898000000012</v>
      </c>
      <c r="AL21" s="77">
        <f t="shared" ca="1" si="39"/>
        <v>0</v>
      </c>
      <c r="AM21" s="77">
        <f t="shared" ca="1" si="40"/>
        <v>0</v>
      </c>
      <c r="AN21" s="90" t="str">
        <f t="shared" ca="1" si="41"/>
        <v/>
      </c>
      <c r="AO21" s="107">
        <f t="shared" ca="1" si="42"/>
        <v>0</v>
      </c>
      <c r="AP21" s="93">
        <f t="shared" ca="1" si="43"/>
        <v>0.71</v>
      </c>
      <c r="AQ21" s="222">
        <f t="shared" ca="1" si="44"/>
        <v>0.71</v>
      </c>
      <c r="AR21" s="223">
        <f t="shared" ca="1" si="45"/>
        <v>0.63190000000000002</v>
      </c>
      <c r="AS21" s="223">
        <f t="shared" ca="1" si="46"/>
        <v>7.0999999999999991E-4</v>
      </c>
      <c r="AT21" s="223">
        <f t="shared" ca="1" si="47"/>
        <v>7.0999999999999998E-6</v>
      </c>
      <c r="AU21" s="223">
        <f t="shared" ca="1" si="60"/>
        <v>9.9400000000000009E-4</v>
      </c>
      <c r="AV21" s="222">
        <f t="shared" ca="1" si="48"/>
        <v>6.3189999999999996E-2</v>
      </c>
      <c r="AW21" s="222">
        <f t="shared" ca="1" si="49"/>
        <v>9.9400000000000009E-4</v>
      </c>
      <c r="AX21" s="222">
        <f t="shared" ca="1" si="61"/>
        <v>7.1000000000000005E-5</v>
      </c>
      <c r="AY21" s="223">
        <f t="shared" ca="1" si="50"/>
        <v>7.0999999999999998E-7</v>
      </c>
      <c r="AZ21" s="223">
        <f t="shared" ca="1" si="51"/>
        <v>2.2720000000000003E-5</v>
      </c>
      <c r="BB21" s="108">
        <f t="shared" ca="1" si="62"/>
        <v>-13.791704634157021</v>
      </c>
      <c r="BC21" s="91">
        <f t="shared" ca="1" si="63"/>
        <v>-5.29748330256185</v>
      </c>
      <c r="BD21" s="91">
        <f t="shared" ca="1" si="69"/>
        <v>-3.3480932959169358</v>
      </c>
      <c r="BE21" s="91">
        <f t="shared" ca="1" si="64"/>
        <v>-0.1993516446360119</v>
      </c>
      <c r="BF21" s="91">
        <f t="shared" ca="1" si="65"/>
        <v>-3.148741651280925</v>
      </c>
      <c r="BG21" s="91">
        <f t="shared" ca="1" si="52"/>
        <v>2.8032619709666746</v>
      </c>
      <c r="BH21" s="91">
        <f t="shared" ca="1" si="53"/>
        <v>-1.146128035678238</v>
      </c>
      <c r="BI21" s="109">
        <f t="shared" si="5"/>
        <v>-5.9493900066449132</v>
      </c>
      <c r="BJ21" s="91">
        <f t="shared" ca="1" si="54"/>
        <v>-1.8063752063908178</v>
      </c>
      <c r="BL21" s="111">
        <f t="shared" ca="1" si="6"/>
        <v>0.98669623059866962</v>
      </c>
      <c r="BM21" s="112">
        <f t="shared" ca="1" si="7"/>
        <v>1.1086474501108647E-2</v>
      </c>
      <c r="BN21" s="112">
        <f t="shared" ca="1" si="8"/>
        <v>2.2172949002217295E-3</v>
      </c>
      <c r="BO21" s="113">
        <f t="shared" ca="1" si="55"/>
        <v>0.57227871396895791</v>
      </c>
      <c r="BP21" s="114">
        <f t="shared" ca="1" si="56"/>
        <v>0.98669623059866962</v>
      </c>
      <c r="BQ21" s="115">
        <f t="shared" ca="1" si="9"/>
        <v>0.75543478260869568</v>
      </c>
      <c r="BR21" s="112">
        <f t="shared" ca="1" si="10"/>
        <v>0.24184782608695651</v>
      </c>
      <c r="BS21" s="112">
        <f t="shared" ca="1" si="11"/>
        <v>2.717391304347826E-3</v>
      </c>
      <c r="BT21" s="113">
        <f t="shared" ca="1" si="66"/>
        <v>0.43932581521739134</v>
      </c>
      <c r="BU21" s="114">
        <f t="shared" ca="1" si="57"/>
        <v>0.75543478260869568</v>
      </c>
      <c r="BV21" s="115">
        <f t="shared" ca="1" si="13"/>
        <v>0.37410676754939048</v>
      </c>
      <c r="BW21" s="112">
        <f t="shared" ca="1" si="14"/>
        <v>3.7410676754939053E-2</v>
      </c>
      <c r="BX21" s="112">
        <f t="shared" ca="1" si="15"/>
        <v>0.58848255569567054</v>
      </c>
      <c r="BY21" s="113">
        <f t="shared" ca="1" si="67"/>
        <v>0.89553005464480895</v>
      </c>
      <c r="BZ21" s="114">
        <f t="shared" ca="1" si="58"/>
        <v>0.37410676754939048</v>
      </c>
      <c r="CA21" s="115">
        <f t="shared" ca="1" si="17"/>
        <v>0.34099616858237547</v>
      </c>
      <c r="CB21" s="112">
        <f t="shared" ca="1" si="18"/>
        <v>0.12260536398467432</v>
      </c>
      <c r="CC21" s="112">
        <f t="shared" ca="1" si="19"/>
        <v>0.53639846743295028</v>
      </c>
      <c r="CD21" s="113">
        <f t="shared" ca="1" si="68"/>
        <v>0.81627049808429131</v>
      </c>
      <c r="CE21" s="114">
        <f t="shared" ca="1" si="59"/>
        <v>0.34099616858237547</v>
      </c>
    </row>
    <row r="22" spans="1:83" ht="13">
      <c r="A22" s="193" t="s">
        <v>206</v>
      </c>
      <c r="B22" s="33"/>
      <c r="C22" s="219" t="s">
        <v>193</v>
      </c>
      <c r="D22" s="128"/>
      <c r="E22" s="226" t="s">
        <v>219</v>
      </c>
      <c r="F22" s="27">
        <v>1000000</v>
      </c>
      <c r="G22" s="29"/>
      <c r="H22" s="132"/>
      <c r="I22" s="205">
        <v>12.7</v>
      </c>
      <c r="J22" s="205">
        <v>-0.1</v>
      </c>
      <c r="K22" s="209">
        <v>0</v>
      </c>
      <c r="L22" s="207">
        <v>1.9</v>
      </c>
      <c r="M22" s="205">
        <v>80.400000000000006</v>
      </c>
      <c r="N22" s="214">
        <v>4.7</v>
      </c>
      <c r="O22" s="214">
        <v>5.9999999999999995E-4</v>
      </c>
      <c r="P22" s="218">
        <v>1.24E-2</v>
      </c>
      <c r="Q22" s="218">
        <v>-1E-3</v>
      </c>
      <c r="R22" s="210">
        <v>0.3</v>
      </c>
      <c r="S22" s="194"/>
      <c r="T22" s="89" t="str">
        <f t="shared" ca="1" si="21"/>
        <v>HP</v>
      </c>
      <c r="U22" s="89">
        <f t="shared" ca="1" si="22"/>
        <v>1000000</v>
      </c>
      <c r="V22" s="89">
        <f t="shared" ca="1" si="23"/>
        <v>0</v>
      </c>
      <c r="W22" s="89">
        <f t="shared" ca="1" si="24"/>
        <v>0</v>
      </c>
      <c r="X22" s="89">
        <f t="shared" ca="1" si="25"/>
        <v>12.7</v>
      </c>
      <c r="Y22" s="89">
        <f t="shared" ca="1" si="26"/>
        <v>-0.1</v>
      </c>
      <c r="Z22" s="89">
        <f t="shared" ca="1" si="27"/>
        <v>0</v>
      </c>
      <c r="AA22" s="89">
        <f t="shared" ca="1" si="28"/>
        <v>4.7</v>
      </c>
      <c r="AB22" s="89">
        <f t="shared" ca="1" si="29"/>
        <v>80.400000000000006</v>
      </c>
      <c r="AC22" s="89">
        <f t="shared" ca="1" si="30"/>
        <v>1.9</v>
      </c>
      <c r="AD22" s="89">
        <f t="shared" ca="1" si="31"/>
        <v>5.9999999999999995E-4</v>
      </c>
      <c r="AE22" s="89">
        <f t="shared" ca="1" si="32"/>
        <v>1.24E-2</v>
      </c>
      <c r="AF22" s="89">
        <f t="shared" ca="1" si="33"/>
        <v>-1E-3</v>
      </c>
      <c r="AG22" s="89">
        <f t="shared" ca="1" si="34"/>
        <v>0.3</v>
      </c>
      <c r="AH22" s="89">
        <f t="shared" ca="1" si="35"/>
        <v>0</v>
      </c>
      <c r="AI22" s="75">
        <f t="shared" ca="1" si="36"/>
        <v>1.4285714285714286</v>
      </c>
      <c r="AJ22" s="76">
        <f t="shared" ca="1" si="37"/>
        <v>100.11400000000002</v>
      </c>
      <c r="AK22" s="76">
        <f t="shared" ca="1" si="38"/>
        <v>29.329170857142859</v>
      </c>
      <c r="AL22" s="77">
        <f t="shared" ca="1" si="39"/>
        <v>1.3859275053304903E-2</v>
      </c>
      <c r="AM22" s="77">
        <f t="shared" ca="1" si="40"/>
        <v>7.0225563909774441E-3</v>
      </c>
      <c r="AN22" s="90" t="str">
        <f t="shared" ca="1" si="41"/>
        <v/>
      </c>
      <c r="AO22" s="107">
        <f t="shared" ca="1" si="42"/>
        <v>0</v>
      </c>
      <c r="AP22" s="93">
        <f t="shared" ca="1" si="43"/>
        <v>1</v>
      </c>
      <c r="AQ22" s="222">
        <f t="shared" ca="1" si="44"/>
        <v>0.98571428571428577</v>
      </c>
      <c r="AR22" s="223">
        <f t="shared" ca="1" si="45"/>
        <v>0.12518571428571429</v>
      </c>
      <c r="AS22" s="223">
        <f t="shared" ca="1" si="46"/>
        <v>9.8571428571428595E-4</v>
      </c>
      <c r="AT22" s="223">
        <f t="shared" ca="1" si="47"/>
        <v>0</v>
      </c>
      <c r="AU22" s="223">
        <f t="shared" ca="1" si="60"/>
        <v>1.8728571428571428E-2</v>
      </c>
      <c r="AV22" s="222">
        <f t="shared" ca="1" si="48"/>
        <v>0.79251428571428573</v>
      </c>
      <c r="AW22" s="222">
        <f t="shared" ca="1" si="49"/>
        <v>1.8728571428571428E-2</v>
      </c>
      <c r="AX22" s="222">
        <f t="shared" ca="1" si="61"/>
        <v>5.9142857142857143E-6</v>
      </c>
      <c r="AY22" s="223">
        <f t="shared" ca="1" si="50"/>
        <v>9.8571428571428588E-6</v>
      </c>
      <c r="AZ22" s="223">
        <f t="shared" ca="1" si="51"/>
        <v>1.221547836734694E-4</v>
      </c>
      <c r="BB22" s="108">
        <f t="shared" ca="1" si="62"/>
        <v>-20.087340675570307</v>
      </c>
      <c r="BC22" s="91">
        <f t="shared" ca="1" si="63"/>
        <v>-3.7906491489376455</v>
      </c>
      <c r="BD22" s="91" t="e">
        <f t="shared" ca="1" si="69"/>
        <v>#NUM!</v>
      </c>
      <c r="BE22" s="91">
        <f t="shared" ca="1" si="64"/>
        <v>-0.90244522832104468</v>
      </c>
      <c r="BF22" s="91">
        <f t="shared" ca="1" si="65"/>
        <v>-3.0062489492770013</v>
      </c>
      <c r="BG22" s="91">
        <f t="shared" ca="1" si="52"/>
        <v>0.82505012000312794</v>
      </c>
      <c r="BH22" s="91">
        <f t="shared" ca="1" si="53"/>
        <v>-3.5006023505691855</v>
      </c>
      <c r="BI22" s="109">
        <f t="shared" si="5"/>
        <v>-4.1038037209559572</v>
      </c>
      <c r="BJ22" s="91">
        <f t="shared" ca="1" si="54"/>
        <v>-0.43170586302023939</v>
      </c>
      <c r="BL22" s="111">
        <f t="shared" ca="1" si="6"/>
        <v>0.92700729927007297</v>
      </c>
      <c r="BM22" s="112">
        <f t="shared" ca="1" si="7"/>
        <v>7.2992700729927015E-2</v>
      </c>
      <c r="BN22" s="112">
        <f t="shared" ca="1" si="8"/>
        <v>0</v>
      </c>
      <c r="BO22" s="113">
        <f t="shared" ca="1" si="55"/>
        <v>0.53525401459854016</v>
      </c>
      <c r="BP22" s="114">
        <f t="shared" ca="1" si="56"/>
        <v>0.92700729927007297</v>
      </c>
      <c r="BQ22" s="115">
        <f t="shared" ca="1" si="9"/>
        <v>0.98563489566949769</v>
      </c>
      <c r="BR22" s="112">
        <f t="shared" ca="1" si="10"/>
        <v>1.3316556569151724E-2</v>
      </c>
      <c r="BS22" s="112">
        <f t="shared" ca="1" si="11"/>
        <v>1.0485477613505294E-3</v>
      </c>
      <c r="BT22" s="113">
        <f t="shared" ca="1" si="66"/>
        <v>0.57031634685959942</v>
      </c>
      <c r="BU22" s="114">
        <f t="shared" ca="1" si="57"/>
        <v>0.98563489566949769</v>
      </c>
      <c r="BV22" s="115">
        <f t="shared" ca="1" si="13"/>
        <v>0.29719769191245238</v>
      </c>
      <c r="BW22" s="112">
        <f t="shared" ca="1" si="14"/>
        <v>4.694540655831026E-4</v>
      </c>
      <c r="BX22" s="112">
        <f t="shared" ca="1" si="15"/>
        <v>0.70233285402196455</v>
      </c>
      <c r="BY22" s="113">
        <f t="shared" ca="1" si="67"/>
        <v>0.98258569384941252</v>
      </c>
      <c r="BZ22" s="114">
        <f t="shared" ca="1" si="58"/>
        <v>0.29719769191245238</v>
      </c>
      <c r="CA22" s="115">
        <f t="shared" ca="1" si="17"/>
        <v>0.28429985855728429</v>
      </c>
      <c r="CB22" s="112">
        <f t="shared" ca="1" si="18"/>
        <v>4.3847241867043849E-2</v>
      </c>
      <c r="CC22" s="112">
        <f t="shared" ca="1" si="19"/>
        <v>0.67185289957567185</v>
      </c>
      <c r="CD22" s="113">
        <f t="shared" ca="1" si="68"/>
        <v>0.93994328147100425</v>
      </c>
      <c r="CE22" s="114">
        <f t="shared" ca="1" si="59"/>
        <v>0.28429985855728429</v>
      </c>
    </row>
    <row r="23" spans="1:83" ht="13">
      <c r="A23" s="193" t="s">
        <v>209</v>
      </c>
      <c r="B23" s="33"/>
      <c r="C23" s="219"/>
      <c r="D23" s="128"/>
      <c r="E23" s="226">
        <v>28</v>
      </c>
      <c r="F23" s="27">
        <v>22000</v>
      </c>
      <c r="G23" s="29"/>
      <c r="H23" s="195"/>
      <c r="I23" s="205">
        <v>70.400000000000006</v>
      </c>
      <c r="J23" s="205">
        <v>18.2</v>
      </c>
      <c r="K23" s="209">
        <v>7.5999999999999998E-2</v>
      </c>
      <c r="L23" s="207">
        <v>0.1</v>
      </c>
      <c r="M23" s="205">
        <v>10.199999999999999</v>
      </c>
      <c r="N23" s="214">
        <v>0.15</v>
      </c>
      <c r="O23" s="214">
        <v>0.9</v>
      </c>
      <c r="P23" s="218">
        <v>4.2999999999999999E-4</v>
      </c>
      <c r="Q23" s="218">
        <v>-2.0000000000000001E-4</v>
      </c>
      <c r="R23" s="210">
        <v>-7.0000000000000001E-3</v>
      </c>
      <c r="S23" s="194"/>
      <c r="T23" s="89">
        <f t="shared" ca="1" si="21"/>
        <v>28</v>
      </c>
      <c r="U23" s="89">
        <f t="shared" ca="1" si="22"/>
        <v>22000</v>
      </c>
      <c r="V23" s="89">
        <f t="shared" ca="1" si="23"/>
        <v>0</v>
      </c>
      <c r="W23" s="89">
        <f t="shared" ca="1" si="24"/>
        <v>0</v>
      </c>
      <c r="X23" s="89">
        <f t="shared" ca="1" si="25"/>
        <v>70.400000000000006</v>
      </c>
      <c r="Y23" s="89">
        <f t="shared" ca="1" si="26"/>
        <v>18.2</v>
      </c>
      <c r="Z23" s="89">
        <f t="shared" ca="1" si="27"/>
        <v>7.5999999999999998E-2</v>
      </c>
      <c r="AA23" s="89">
        <f t="shared" ca="1" si="28"/>
        <v>0.15</v>
      </c>
      <c r="AB23" s="89">
        <f t="shared" ca="1" si="29"/>
        <v>10.199999999999999</v>
      </c>
      <c r="AC23" s="89">
        <f t="shared" ca="1" si="30"/>
        <v>0.1</v>
      </c>
      <c r="AD23" s="89">
        <f t="shared" ca="1" si="31"/>
        <v>0.9</v>
      </c>
      <c r="AE23" s="89">
        <f t="shared" ca="1" si="32"/>
        <v>4.2999999999999999E-4</v>
      </c>
      <c r="AF23" s="89">
        <f t="shared" ca="1" si="33"/>
        <v>-2.0000000000000001E-4</v>
      </c>
      <c r="AG23" s="89">
        <f t="shared" ca="1" si="34"/>
        <v>-7.0000000000000001E-3</v>
      </c>
      <c r="AH23" s="89">
        <f t="shared" ca="1" si="35"/>
        <v>0</v>
      </c>
      <c r="AI23" s="75">
        <f t="shared" ca="1" si="36"/>
        <v>0</v>
      </c>
      <c r="AJ23" s="76">
        <f t="shared" ca="1" si="37"/>
        <v>100.03363000000002</v>
      </c>
      <c r="AK23" s="76">
        <f t="shared" ca="1" si="38"/>
        <v>40.114937200000007</v>
      </c>
      <c r="AL23" s="77">
        <f t="shared" ca="1" si="39"/>
        <v>0</v>
      </c>
      <c r="AM23" s="77">
        <f t="shared" ca="1" si="40"/>
        <v>0</v>
      </c>
      <c r="AN23" s="90" t="str">
        <f t="shared" ca="1" si="41"/>
        <v/>
      </c>
      <c r="AO23" s="107">
        <f t="shared" ca="1" si="42"/>
        <v>0</v>
      </c>
      <c r="AP23" s="93">
        <f t="shared" ca="1" si="43"/>
        <v>2.1999999999999999E-2</v>
      </c>
      <c r="AQ23" s="222">
        <f t="shared" ca="1" si="44"/>
        <v>2.1999999999999999E-2</v>
      </c>
      <c r="AR23" s="223">
        <f t="shared" ca="1" si="45"/>
        <v>1.5488E-2</v>
      </c>
      <c r="AS23" s="223">
        <f t="shared" ca="1" si="46"/>
        <v>4.0039999999999997E-3</v>
      </c>
      <c r="AT23" s="223">
        <f t="shared" ca="1" si="47"/>
        <v>1.6719999999999999E-5</v>
      </c>
      <c r="AU23" s="223">
        <f t="shared" ca="1" si="60"/>
        <v>2.2000000000000003E-5</v>
      </c>
      <c r="AV23" s="222">
        <f t="shared" ca="1" si="48"/>
        <v>2.2439999999999995E-3</v>
      </c>
      <c r="AW23" s="222">
        <f t="shared" ca="1" si="49"/>
        <v>2.2000000000000003E-5</v>
      </c>
      <c r="AX23" s="222">
        <f t="shared" ca="1" si="61"/>
        <v>1.9800000000000002E-4</v>
      </c>
      <c r="AY23" s="223">
        <f t="shared" ca="1" si="50"/>
        <v>4.3999999999999997E-8</v>
      </c>
      <c r="AZ23" s="223">
        <f t="shared" ca="1" si="51"/>
        <v>9.4599999999999987E-8</v>
      </c>
      <c r="BB23" s="108">
        <f t="shared" ca="1" si="62"/>
        <v>-11.965766579811763</v>
      </c>
      <c r="BC23" s="91">
        <f t="shared" ca="1" si="63"/>
        <v>-3.4891829838396884</v>
      </c>
      <c r="BD23" s="91">
        <f t="shared" ca="1" si="69"/>
        <v>-4.2054541228372813</v>
      </c>
      <c r="BE23" s="91">
        <f t="shared" ca="1" si="64"/>
        <v>-1.8100046600356816</v>
      </c>
      <c r="BF23" s="91">
        <f t="shared" ca="1" si="65"/>
        <v>-2.3975059311927192</v>
      </c>
      <c r="BG23" s="91">
        <f t="shared" ca="1" si="52"/>
        <v>2.847572659142112</v>
      </c>
      <c r="BH23" s="91">
        <f t="shared" ca="1" si="53"/>
        <v>0.95424250943932487</v>
      </c>
      <c r="BI23" s="109">
        <f t="shared" si="5"/>
        <v>-5.5465426634781307</v>
      </c>
      <c r="BJ23" s="91">
        <f t="shared" ca="1" si="54"/>
        <v>-2.6714814000864311</v>
      </c>
      <c r="BL23" s="111">
        <f t="shared" ca="1" si="6"/>
        <v>0.26307922272047835</v>
      </c>
      <c r="BM23" s="112">
        <f t="shared" ca="1" si="7"/>
        <v>0.68011958146487284</v>
      </c>
      <c r="BN23" s="112">
        <f t="shared" ca="1" si="8"/>
        <v>5.6801195814648722E-2</v>
      </c>
      <c r="BO23" s="113">
        <f t="shared" ca="1" si="55"/>
        <v>0.21749028400597908</v>
      </c>
      <c r="BP23" s="114">
        <f t="shared" ca="1" si="56"/>
        <v>0.26307922272047835</v>
      </c>
      <c r="BQ23" s="115">
        <f t="shared" ca="1" si="9"/>
        <v>0.10623229461756374</v>
      </c>
      <c r="BR23" s="112">
        <f t="shared" ca="1" si="10"/>
        <v>0.24929178470254962</v>
      </c>
      <c r="BS23" s="112">
        <f t="shared" ca="1" si="11"/>
        <v>0.64447592067988668</v>
      </c>
      <c r="BT23" s="113">
        <f t="shared" ca="1" si="66"/>
        <v>0.80551487252124654</v>
      </c>
      <c r="BU23" s="114">
        <f t="shared" ca="1" si="57"/>
        <v>0.10623229461756374</v>
      </c>
      <c r="BV23" s="115">
        <f t="shared" ca="1" si="13"/>
        <v>0.48794489092996557</v>
      </c>
      <c r="BW23" s="112">
        <f t="shared" ca="1" si="14"/>
        <v>3.3677765021048613E-2</v>
      </c>
      <c r="BX23" s="112">
        <f t="shared" ca="1" si="15"/>
        <v>0.47837734404898591</v>
      </c>
      <c r="BY23" s="113">
        <f t="shared" ca="1" si="67"/>
        <v>0.83412169919632628</v>
      </c>
      <c r="BZ23" s="114">
        <f t="shared" ca="1" si="58"/>
        <v>0.48794489092996557</v>
      </c>
      <c r="CA23" s="115">
        <f t="shared" ca="1" si="17"/>
        <v>0.49442559379544354</v>
      </c>
      <c r="CB23" s="112">
        <f t="shared" ca="1" si="18"/>
        <v>2.0843431895298109E-2</v>
      </c>
      <c r="CC23" s="112">
        <f t="shared" ca="1" si="19"/>
        <v>0.48473097430925838</v>
      </c>
      <c r="CD23" s="113">
        <f t="shared" ca="1" si="68"/>
        <v>0.84520019389238987</v>
      </c>
      <c r="CE23" s="114">
        <f t="shared" ca="1" si="59"/>
        <v>0.49442559379544354</v>
      </c>
    </row>
    <row r="24" spans="1:83">
      <c r="A24" s="193" t="s">
        <v>210</v>
      </c>
      <c r="B24" s="33"/>
      <c r="C24" s="27"/>
      <c r="D24" s="128"/>
      <c r="E24" s="27">
        <v>30</v>
      </c>
      <c r="F24" s="27">
        <v>900</v>
      </c>
      <c r="G24" s="26"/>
      <c r="H24" s="195"/>
      <c r="I24" s="205">
        <v>60.7</v>
      </c>
      <c r="J24" s="205">
        <v>20.100000000000001</v>
      </c>
      <c r="K24" s="209">
        <v>4.2000000000000003E-2</v>
      </c>
      <c r="L24" s="207">
        <v>0.27</v>
      </c>
      <c r="M24" s="205">
        <v>18.399999999999999</v>
      </c>
      <c r="N24" s="214">
        <v>0.11</v>
      </c>
      <c r="O24" s="214">
        <v>0.28999999999999998</v>
      </c>
      <c r="P24" s="218">
        <v>6.4999999999999997E-4</v>
      </c>
      <c r="Q24" s="218">
        <v>-4.0000000000000002E-4</v>
      </c>
      <c r="R24" s="210">
        <v>-0.02</v>
      </c>
      <c r="S24" s="194"/>
      <c r="T24" s="89">
        <f t="shared" ca="1" si="21"/>
        <v>30</v>
      </c>
      <c r="U24" s="89">
        <f t="shared" ca="1" si="22"/>
        <v>900</v>
      </c>
      <c r="V24" s="89">
        <f t="shared" ca="1" si="23"/>
        <v>0</v>
      </c>
      <c r="W24" s="89">
        <f t="shared" ca="1" si="24"/>
        <v>0</v>
      </c>
      <c r="X24" s="89">
        <f t="shared" ca="1" si="25"/>
        <v>60.7</v>
      </c>
      <c r="Y24" s="89">
        <f t="shared" ca="1" si="26"/>
        <v>20.100000000000001</v>
      </c>
      <c r="Z24" s="89">
        <f t="shared" ca="1" si="27"/>
        <v>4.2000000000000003E-2</v>
      </c>
      <c r="AA24" s="89">
        <f t="shared" ca="1" si="28"/>
        <v>0.11</v>
      </c>
      <c r="AB24" s="89">
        <f t="shared" ca="1" si="29"/>
        <v>18.399999999999999</v>
      </c>
      <c r="AC24" s="89">
        <f t="shared" ca="1" si="30"/>
        <v>0.27</v>
      </c>
      <c r="AD24" s="89">
        <f t="shared" ca="1" si="31"/>
        <v>0.28999999999999998</v>
      </c>
      <c r="AE24" s="89">
        <f t="shared" ca="1" si="32"/>
        <v>6.4999999999999997E-4</v>
      </c>
      <c r="AF24" s="89">
        <f t="shared" ca="1" si="33"/>
        <v>-4.0000000000000002E-4</v>
      </c>
      <c r="AG24" s="89">
        <f t="shared" ca="1" si="34"/>
        <v>-0.02</v>
      </c>
      <c r="AH24" s="89">
        <f t="shared" ca="1" si="35"/>
        <v>0</v>
      </c>
      <c r="AI24" s="75">
        <f t="shared" ca="1" si="36"/>
        <v>0</v>
      </c>
      <c r="AJ24" s="76">
        <f t="shared" ca="1" si="37"/>
        <v>99.933049999999994</v>
      </c>
      <c r="AK24" s="76">
        <f t="shared" ca="1" si="38"/>
        <v>38.832566</v>
      </c>
      <c r="AL24" s="77">
        <f t="shared" ca="1" si="39"/>
        <v>0</v>
      </c>
      <c r="AM24" s="77">
        <f t="shared" ca="1" si="40"/>
        <v>0</v>
      </c>
      <c r="AN24" s="90" t="str">
        <f t="shared" ca="1" si="41"/>
        <v/>
      </c>
      <c r="AO24" s="107">
        <f t="shared" ca="1" si="42"/>
        <v>0</v>
      </c>
      <c r="AP24" s="93">
        <f t="shared" ca="1" si="43"/>
        <v>8.9999999999999998E-4</v>
      </c>
      <c r="AQ24" s="222">
        <f t="shared" ca="1" si="44"/>
        <v>8.9999999999999998E-4</v>
      </c>
      <c r="AR24" s="223">
        <f t="shared" ca="1" si="45"/>
        <v>5.463E-4</v>
      </c>
      <c r="AS24" s="223">
        <f t="shared" ca="1" si="46"/>
        <v>1.8090000000000001E-4</v>
      </c>
      <c r="AT24" s="223">
        <f t="shared" ca="1" si="47"/>
        <v>3.7800000000000002E-7</v>
      </c>
      <c r="AU24" s="223">
        <f t="shared" ca="1" si="60"/>
        <v>2.43E-6</v>
      </c>
      <c r="AV24" s="222">
        <f t="shared" ca="1" si="48"/>
        <v>1.6559999999999999E-4</v>
      </c>
      <c r="AW24" s="222">
        <f t="shared" ca="1" si="49"/>
        <v>2.43E-6</v>
      </c>
      <c r="AX24" s="222">
        <f t="shared" ca="1" si="61"/>
        <v>2.6099999999999996E-6</v>
      </c>
      <c r="AY24" s="223">
        <f t="shared" ca="1" si="50"/>
        <v>3.5999999999999996E-9</v>
      </c>
      <c r="AZ24" s="223">
        <f t="shared" ca="1" si="51"/>
        <v>5.8499999999999994E-9</v>
      </c>
      <c r="BB24" s="108">
        <f t="shared" ca="1" si="62"/>
        <v>-19.981613043730608</v>
      </c>
      <c r="BC24" s="91">
        <f t="shared" ca="1" si="63"/>
        <v>-5.6443248067588403</v>
      </c>
      <c r="BD24" s="91">
        <f t="shared" ca="1" si="69"/>
        <v>-7.6860017452107439</v>
      </c>
      <c r="BE24" s="91">
        <f t="shared" ca="1" si="64"/>
        <v>-3.2625687994854173</v>
      </c>
      <c r="BF24" s="91">
        <f t="shared" ca="1" si="65"/>
        <v>-3.7425614331401862</v>
      </c>
      <c r="BG24" s="91">
        <f t="shared" ca="1" si="52"/>
        <v>2.3518249269162701</v>
      </c>
      <c r="BH24" s="91">
        <f t="shared" ca="1" si="53"/>
        <v>3.103423373996873E-2</v>
      </c>
      <c r="BI24" s="109">
        <f t="shared" ref="BI24:BI40" si="70">IF(Q24=0,0,LOG(ABS(Q24/I24)))</f>
        <v>-5.181128699747295</v>
      </c>
      <c r="BJ24" s="91">
        <f t="shared" ca="1" si="54"/>
        <v>-2.7417960059170325</v>
      </c>
      <c r="BL24" s="111">
        <f t="shared" ca="1" si="6"/>
        <v>0.22473158089596448</v>
      </c>
      <c r="BM24" s="112">
        <f t="shared" ca="1" si="7"/>
        <v>0.74416882636060733</v>
      </c>
      <c r="BN24" s="112">
        <f t="shared" ca="1" si="8"/>
        <v>3.1099592743428366E-2</v>
      </c>
      <c r="BO24" s="113">
        <f t="shared" ca="1" si="55"/>
        <v>0.16567071455016663</v>
      </c>
      <c r="BP24" s="114">
        <f t="shared" ca="1" si="56"/>
        <v>0.22473158089596448</v>
      </c>
      <c r="BQ24" s="115">
        <f t="shared" ca="1" si="9"/>
        <v>7.7546704265068739E-2</v>
      </c>
      <c r="BR24" s="112">
        <f t="shared" ca="1" si="10"/>
        <v>0.21395840676771238</v>
      </c>
      <c r="BS24" s="112">
        <f t="shared" ca="1" si="11"/>
        <v>0.70849488896721891</v>
      </c>
      <c r="BT24" s="113">
        <f t="shared" ca="1" si="66"/>
        <v>0.86287451533309834</v>
      </c>
      <c r="BU24" s="114">
        <f t="shared" ca="1" si="57"/>
        <v>7.7546704265068739E-2</v>
      </c>
      <c r="BV24" s="115">
        <f t="shared" ca="1" si="13"/>
        <v>0.39993913969613315</v>
      </c>
      <c r="BW24" s="112">
        <f t="shared" ca="1" si="14"/>
        <v>1.3193644445410482E-2</v>
      </c>
      <c r="BX24" s="112">
        <f t="shared" ca="1" si="15"/>
        <v>0.58686721585845636</v>
      </c>
      <c r="BY24" s="113">
        <f t="shared" ca="1" si="67"/>
        <v>0.90858043341230688</v>
      </c>
      <c r="BZ24" s="114">
        <f t="shared" ca="1" si="58"/>
        <v>0.39993913969613315</v>
      </c>
      <c r="CA24" s="115">
        <f t="shared" ca="1" si="17"/>
        <v>0.39956568946796961</v>
      </c>
      <c r="CB24" s="112">
        <f t="shared" ca="1" si="18"/>
        <v>1.4115092290988058E-2</v>
      </c>
      <c r="CC24" s="112">
        <f t="shared" ca="1" si="19"/>
        <v>0.58631921824104238</v>
      </c>
      <c r="CD24" s="113">
        <f t="shared" ca="1" si="68"/>
        <v>0.90773203040173733</v>
      </c>
      <c r="CE24" s="114">
        <f t="shared" ca="1" si="59"/>
        <v>0.39956568946796961</v>
      </c>
    </row>
    <row r="25" spans="1:83">
      <c r="A25" s="193" t="s">
        <v>211</v>
      </c>
      <c r="B25" s="33"/>
      <c r="C25" s="27"/>
      <c r="D25" s="128"/>
      <c r="E25" s="27">
        <v>36</v>
      </c>
      <c r="F25" s="27">
        <v>209000</v>
      </c>
      <c r="G25" s="26"/>
      <c r="H25" s="26"/>
      <c r="I25" s="205">
        <v>71.900000000000006</v>
      </c>
      <c r="J25" s="205">
        <v>8.6</v>
      </c>
      <c r="K25" s="209">
        <v>-1E-3</v>
      </c>
      <c r="L25" s="207">
        <v>0.19</v>
      </c>
      <c r="M25" s="205">
        <v>14</v>
      </c>
      <c r="N25" s="214">
        <v>0.72</v>
      </c>
      <c r="O25" s="214">
        <v>4.68</v>
      </c>
      <c r="P25" s="218">
        <v>2.8999999999999998E-3</v>
      </c>
      <c r="Q25" s="218">
        <v>-8.9999999999999998E-4</v>
      </c>
      <c r="R25" s="210">
        <v>-0.05</v>
      </c>
      <c r="S25" s="194"/>
      <c r="T25" s="89">
        <f t="shared" ca="1" si="21"/>
        <v>36</v>
      </c>
      <c r="U25" s="89">
        <f t="shared" ca="1" si="22"/>
        <v>209000</v>
      </c>
      <c r="V25" s="89">
        <f t="shared" ca="1" si="23"/>
        <v>0</v>
      </c>
      <c r="W25" s="89">
        <f t="shared" ca="1" si="24"/>
        <v>0</v>
      </c>
      <c r="X25" s="89">
        <f t="shared" ca="1" si="25"/>
        <v>71.900000000000006</v>
      </c>
      <c r="Y25" s="89">
        <f t="shared" ca="1" si="26"/>
        <v>8.6</v>
      </c>
      <c r="Z25" s="89">
        <f t="shared" ca="1" si="27"/>
        <v>-1E-3</v>
      </c>
      <c r="AA25" s="89">
        <f t="shared" ca="1" si="28"/>
        <v>0.72</v>
      </c>
      <c r="AB25" s="89">
        <f t="shared" ca="1" si="29"/>
        <v>14</v>
      </c>
      <c r="AC25" s="89">
        <f t="shared" ca="1" si="30"/>
        <v>0.19</v>
      </c>
      <c r="AD25" s="89">
        <f t="shared" ca="1" si="31"/>
        <v>4.68</v>
      </c>
      <c r="AE25" s="89">
        <f t="shared" ca="1" si="32"/>
        <v>2.8999999999999998E-3</v>
      </c>
      <c r="AF25" s="89">
        <f t="shared" ca="1" si="33"/>
        <v>-8.9999999999999998E-4</v>
      </c>
      <c r="AG25" s="89">
        <f t="shared" ca="1" si="34"/>
        <v>-0.05</v>
      </c>
      <c r="AH25" s="89">
        <f t="shared" ca="1" si="35"/>
        <v>0</v>
      </c>
      <c r="AI25" s="75">
        <f t="shared" ca="1" si="36"/>
        <v>0</v>
      </c>
      <c r="AJ25" s="76">
        <f t="shared" ca="1" si="37"/>
        <v>100.1448</v>
      </c>
      <c r="AK25" s="76">
        <f t="shared" ca="1" si="38"/>
        <v>38.765086000000004</v>
      </c>
      <c r="AL25" s="77">
        <f t="shared" ca="1" si="39"/>
        <v>0</v>
      </c>
      <c r="AM25" s="77">
        <f t="shared" ca="1" si="40"/>
        <v>0</v>
      </c>
      <c r="AN25" s="90" t="str">
        <f t="shared" ca="1" si="41"/>
        <v/>
      </c>
      <c r="AO25" s="107">
        <f t="shared" ca="1" si="42"/>
        <v>0</v>
      </c>
      <c r="AP25" s="93">
        <f t="shared" ca="1" si="43"/>
        <v>0.20899999999999999</v>
      </c>
      <c r="AQ25" s="222">
        <f t="shared" ca="1" si="44"/>
        <v>0.20899999999999999</v>
      </c>
      <c r="AR25" s="223">
        <f t="shared" ca="1" si="45"/>
        <v>0.15027100000000002</v>
      </c>
      <c r="AS25" s="223">
        <f t="shared" ca="1" si="46"/>
        <v>1.7974E-2</v>
      </c>
      <c r="AT25" s="223">
        <f t="shared" ca="1" si="47"/>
        <v>2.0899999999999999E-6</v>
      </c>
      <c r="AU25" s="223">
        <f t="shared" ca="1" si="60"/>
        <v>3.971E-4</v>
      </c>
      <c r="AV25" s="222">
        <f t="shared" ca="1" si="48"/>
        <v>2.9259999999999998E-2</v>
      </c>
      <c r="AW25" s="222">
        <f t="shared" ca="1" si="49"/>
        <v>3.971E-4</v>
      </c>
      <c r="AX25" s="222">
        <f t="shared" ca="1" si="61"/>
        <v>9.7811999999999986E-3</v>
      </c>
      <c r="AY25" s="223">
        <f t="shared" ca="1" si="50"/>
        <v>1.8810000000000001E-6</v>
      </c>
      <c r="AZ25" s="223">
        <f t="shared" ca="1" si="51"/>
        <v>6.0609999999999992E-6</v>
      </c>
      <c r="BB25" s="108">
        <f t="shared" ca="1" si="62"/>
        <v>-5.4604561538292344</v>
      </c>
      <c r="BC25" s="91">
        <f t="shared" ca="1" si="63"/>
        <v>-3.226457927121313</v>
      </c>
      <c r="BD25" s="91">
        <f t="shared" ca="1" si="69"/>
        <v>3.797158167122717</v>
      </c>
      <c r="BE25" s="91">
        <f t="shared" ca="1" si="64"/>
        <v>-0.82312482350606331</v>
      </c>
      <c r="BF25" s="91">
        <f t="shared" ca="1" si="65"/>
        <v>-1.7453552626453783</v>
      </c>
      <c r="BG25" s="91">
        <f t="shared" ca="1" si="52"/>
        <v>2.5779752894300536</v>
      </c>
      <c r="BH25" s="91">
        <f t="shared" ca="1" si="53"/>
        <v>1.3914922521212949</v>
      </c>
      <c r="BI25" s="109">
        <f t="shared" si="70"/>
        <v>-4.9024863809435582</v>
      </c>
      <c r="BJ25" s="91">
        <f t="shared" ca="1" si="54"/>
        <v>-1.9993963939516142</v>
      </c>
      <c r="BL25" s="111">
        <f t="shared" ca="1" si="6"/>
        <v>0.45477545857052504</v>
      </c>
      <c r="BM25" s="112">
        <f t="shared" ca="1" si="7"/>
        <v>0.54395951929158759</v>
      </c>
      <c r="BN25" s="112">
        <f t="shared" ca="1" si="8"/>
        <v>1.2650221378874131E-3</v>
      </c>
      <c r="BO25" s="113">
        <f t="shared" ca="1" si="55"/>
        <v>0.26404807084123977</v>
      </c>
      <c r="BP25" s="114">
        <f t="shared" ca="1" si="56"/>
        <v>0.45477545857052504</v>
      </c>
      <c r="BQ25" s="115">
        <f t="shared" ca="1" si="9"/>
        <v>0.47697913216296789</v>
      </c>
      <c r="BR25" s="112">
        <f t="shared" ca="1" si="10"/>
        <v>0.23815833057303748</v>
      </c>
      <c r="BS25" s="112">
        <f t="shared" ca="1" si="11"/>
        <v>0.28486253726399474</v>
      </c>
      <c r="BT25" s="113">
        <f t="shared" ca="1" si="66"/>
        <v>0.60433852268963251</v>
      </c>
      <c r="BU25" s="114">
        <f t="shared" ca="1" si="57"/>
        <v>0.47697913216296789</v>
      </c>
      <c r="BV25" s="115">
        <f t="shared" ca="1" si="13"/>
        <v>0.41519618019514221</v>
      </c>
      <c r="BW25" s="112">
        <f t="shared" ca="1" si="14"/>
        <v>2.1323289540021946E-2</v>
      </c>
      <c r="BX25" s="112">
        <f t="shared" ca="1" si="15"/>
        <v>0.5634805302648358</v>
      </c>
      <c r="BY25" s="113">
        <f t="shared" ca="1" si="67"/>
        <v>0.89038524274148101</v>
      </c>
      <c r="BZ25" s="114">
        <f t="shared" ca="1" si="58"/>
        <v>0.41519618019514221</v>
      </c>
      <c r="CA25" s="115">
        <f t="shared" ca="1" si="17"/>
        <v>0.38997214484679665</v>
      </c>
      <c r="CB25" s="112">
        <f t="shared" ca="1" si="18"/>
        <v>8.0779944289693595E-2</v>
      </c>
      <c r="CC25" s="112">
        <f t="shared" ca="1" si="19"/>
        <v>0.52924791086350975</v>
      </c>
      <c r="CD25" s="113">
        <f t="shared" ca="1" si="68"/>
        <v>0.83629247910863513</v>
      </c>
      <c r="CE25" s="114">
        <f t="shared" ca="1" si="59"/>
        <v>0.38997214484679665</v>
      </c>
    </row>
    <row r="26" spans="1:83">
      <c r="A26" s="193" t="s">
        <v>212</v>
      </c>
      <c r="B26" s="33"/>
      <c r="C26" s="33"/>
      <c r="D26" s="128"/>
      <c r="E26" s="27">
        <v>38</v>
      </c>
      <c r="F26" s="27">
        <v>1000000</v>
      </c>
      <c r="G26" s="26"/>
      <c r="H26" s="26"/>
      <c r="I26" s="205">
        <v>86.1</v>
      </c>
      <c r="J26" s="205">
        <v>1.5</v>
      </c>
      <c r="K26" s="209">
        <v>1E-3</v>
      </c>
      <c r="L26" s="207">
        <v>0.12</v>
      </c>
      <c r="M26" s="205">
        <v>8.1</v>
      </c>
      <c r="N26" s="214">
        <v>2.4500000000000002</v>
      </c>
      <c r="O26" s="214">
        <v>1.78</v>
      </c>
      <c r="P26" s="218">
        <v>2.4299999999999999E-3</v>
      </c>
      <c r="Q26" s="218">
        <v>-2.0000000000000001E-4</v>
      </c>
      <c r="R26" s="210">
        <v>-6.0000000000000001E-3</v>
      </c>
      <c r="S26" s="36"/>
      <c r="T26" s="89">
        <f t="shared" ca="1" si="21"/>
        <v>38</v>
      </c>
      <c r="U26" s="89">
        <f t="shared" ca="1" si="22"/>
        <v>1000000</v>
      </c>
      <c r="V26" s="89">
        <f t="shared" ca="1" si="23"/>
        <v>0</v>
      </c>
      <c r="W26" s="89">
        <f t="shared" ca="1" si="24"/>
        <v>0</v>
      </c>
      <c r="X26" s="89">
        <f t="shared" ca="1" si="25"/>
        <v>86.1</v>
      </c>
      <c r="Y26" s="89">
        <f t="shared" ca="1" si="26"/>
        <v>1.5</v>
      </c>
      <c r="Z26" s="89">
        <f t="shared" ca="1" si="27"/>
        <v>1E-3</v>
      </c>
      <c r="AA26" s="89">
        <f t="shared" ca="1" si="28"/>
        <v>2.4500000000000002</v>
      </c>
      <c r="AB26" s="89">
        <f t="shared" ca="1" si="29"/>
        <v>8.1</v>
      </c>
      <c r="AC26" s="89">
        <f t="shared" ca="1" si="30"/>
        <v>0.12</v>
      </c>
      <c r="AD26" s="89">
        <f t="shared" ca="1" si="31"/>
        <v>1.78</v>
      </c>
      <c r="AE26" s="89">
        <f t="shared" ca="1" si="32"/>
        <v>2.4299999999999999E-3</v>
      </c>
      <c r="AF26" s="89">
        <f t="shared" ca="1" si="33"/>
        <v>-2.0000000000000001E-4</v>
      </c>
      <c r="AG26" s="89">
        <f t="shared" ca="1" si="34"/>
        <v>-6.0000000000000001E-3</v>
      </c>
      <c r="AH26" s="89">
        <f t="shared" ca="1" si="35"/>
        <v>0</v>
      </c>
      <c r="AI26" s="75">
        <f t="shared" ca="1" si="36"/>
        <v>0</v>
      </c>
      <c r="AJ26" s="76">
        <f t="shared" ca="1" si="37"/>
        <v>100.05963000000001</v>
      </c>
      <c r="AK26" s="76">
        <f t="shared" ca="1" si="38"/>
        <v>41.137867200000002</v>
      </c>
      <c r="AL26" s="77">
        <f t="shared" ca="1" si="39"/>
        <v>0</v>
      </c>
      <c r="AM26" s="77">
        <f t="shared" ca="1" si="40"/>
        <v>0</v>
      </c>
      <c r="AN26" s="90" t="str">
        <f t="shared" ca="1" si="41"/>
        <v/>
      </c>
      <c r="AO26" s="107">
        <f t="shared" ca="1" si="42"/>
        <v>0</v>
      </c>
      <c r="AP26" s="93">
        <f t="shared" ca="1" si="43"/>
        <v>1</v>
      </c>
      <c r="AQ26" s="222">
        <f t="shared" ca="1" si="44"/>
        <v>1</v>
      </c>
      <c r="AR26" s="223">
        <f t="shared" ca="1" si="45"/>
        <v>0.86099999999999999</v>
      </c>
      <c r="AS26" s="223">
        <f t="shared" ca="1" si="46"/>
        <v>1.4999999999999999E-2</v>
      </c>
      <c r="AT26" s="223">
        <f t="shared" ca="1" si="47"/>
        <v>1.0000000000000001E-5</v>
      </c>
      <c r="AU26" s="223">
        <f t="shared" ca="1" si="60"/>
        <v>1.1999999999999999E-3</v>
      </c>
      <c r="AV26" s="222">
        <f t="shared" ca="1" si="48"/>
        <v>8.1000000000000003E-2</v>
      </c>
      <c r="AW26" s="222">
        <f t="shared" ca="1" si="49"/>
        <v>1.1999999999999999E-3</v>
      </c>
      <c r="AX26" s="222">
        <f t="shared" ca="1" si="61"/>
        <v>1.78E-2</v>
      </c>
      <c r="AY26" s="223">
        <f t="shared" ca="1" si="50"/>
        <v>1.9999999999999999E-6</v>
      </c>
      <c r="AZ26" s="223">
        <f t="shared" ca="1" si="51"/>
        <v>2.4299999999999998E-5</v>
      </c>
      <c r="BB26" s="108">
        <f t="shared" ca="1" si="62"/>
        <v>-4.1424980853583939</v>
      </c>
      <c r="BC26" s="91">
        <f t="shared" ca="1" si="63"/>
        <v>-3.7221462251418509</v>
      </c>
      <c r="BD26" s="91">
        <f t="shared" ca="1" si="69"/>
        <v>3.6597450258053312</v>
      </c>
      <c r="BE26" s="91">
        <f t="shared" ca="1" si="64"/>
        <v>-6.4996848546345243E-2</v>
      </c>
      <c r="BF26" s="91">
        <f t="shared" ca="1" si="65"/>
        <v>-1.8239087409443189</v>
      </c>
      <c r="BG26" s="91">
        <f t="shared" ca="1" si="52"/>
        <v>2.8558219054060299</v>
      </c>
      <c r="BH26" s="91">
        <f t="shared" ca="1" si="53"/>
        <v>1.1712387562612692</v>
      </c>
      <c r="BI26" s="109">
        <f t="shared" si="70"/>
        <v>-5.6339731557896737</v>
      </c>
      <c r="BJ26" s="91">
        <f t="shared" ca="1" si="54"/>
        <v>-1.5458370670891222</v>
      </c>
      <c r="BL26" s="111">
        <f t="shared" ca="1" si="6"/>
        <v>0.84995064165844025</v>
      </c>
      <c r="BM26" s="112">
        <f t="shared" ca="1" si="7"/>
        <v>0.14807502467917077</v>
      </c>
      <c r="BN26" s="112">
        <f t="shared" ca="1" si="8"/>
        <v>1.974333662388944E-3</v>
      </c>
      <c r="BO26" s="113">
        <f t="shared" ca="1" si="55"/>
        <v>0.49304126357354394</v>
      </c>
      <c r="BP26" s="114">
        <f t="shared" ca="1" si="56"/>
        <v>0.84995064165844025</v>
      </c>
      <c r="BQ26" s="115">
        <f t="shared" ca="1" si="9"/>
        <v>0.82896295043139911</v>
      </c>
      <c r="BR26" s="112">
        <f t="shared" ca="1" si="10"/>
        <v>0.14566063271866012</v>
      </c>
      <c r="BS26" s="112">
        <f t="shared" ca="1" si="11"/>
        <v>2.5376416849940787E-2</v>
      </c>
      <c r="BT26" s="113">
        <f t="shared" ca="1" si="66"/>
        <v>0.50794535611571645</v>
      </c>
      <c r="BU26" s="114">
        <f t="shared" ca="1" si="57"/>
        <v>0.82896295043139911</v>
      </c>
      <c r="BV26" s="115">
        <f t="shared" ca="1" si="13"/>
        <v>0.38643194504079004</v>
      </c>
      <c r="BW26" s="112">
        <f t="shared" ca="1" si="14"/>
        <v>4.1076284528409904E-2</v>
      </c>
      <c r="BX26" s="112">
        <f t="shared" ca="1" si="15"/>
        <v>0.57249177043080013</v>
      </c>
      <c r="BY26" s="113">
        <f t="shared" ca="1" si="67"/>
        <v>0.88418205238299707</v>
      </c>
      <c r="BZ26" s="114">
        <f t="shared" ca="1" si="58"/>
        <v>0.38643194504079004</v>
      </c>
      <c r="CA26" s="115">
        <f t="shared" ca="1" si="17"/>
        <v>0.35952063914780291</v>
      </c>
      <c r="CB26" s="112">
        <f t="shared" ca="1" si="18"/>
        <v>0.10785619174434086</v>
      </c>
      <c r="CC26" s="112">
        <f t="shared" ca="1" si="19"/>
        <v>0.53262316910785612</v>
      </c>
      <c r="CD26" s="113">
        <f t="shared" ca="1" si="68"/>
        <v>0.82260719041278296</v>
      </c>
      <c r="CE26" s="114">
        <f t="shared" ca="1" si="59"/>
        <v>0.35952063914780291</v>
      </c>
    </row>
    <row r="27" spans="1:83">
      <c r="A27" s="193" t="s">
        <v>213</v>
      </c>
      <c r="B27" s="33"/>
      <c r="C27" s="27"/>
      <c r="D27" s="128"/>
      <c r="E27" s="27">
        <v>40</v>
      </c>
      <c r="F27" s="27">
        <v>210000</v>
      </c>
      <c r="G27" s="26"/>
      <c r="H27" s="26"/>
      <c r="I27" s="205">
        <v>90.6</v>
      </c>
      <c r="J27" s="205">
        <v>4.2</v>
      </c>
      <c r="K27" s="209">
        <v>1E-3</v>
      </c>
      <c r="L27" s="207">
        <v>0.1</v>
      </c>
      <c r="M27" s="205">
        <v>4.4000000000000004</v>
      </c>
      <c r="N27" s="214">
        <v>0.27</v>
      </c>
      <c r="O27" s="214">
        <v>0.55000000000000004</v>
      </c>
      <c r="P27" s="218">
        <v>9.3999999999999997E-4</v>
      </c>
      <c r="Q27" s="218">
        <v>-2.0000000000000001E-4</v>
      </c>
      <c r="R27" s="210">
        <v>-1E-3</v>
      </c>
      <c r="S27" s="36"/>
      <c r="T27" s="89">
        <f t="shared" ca="1" si="21"/>
        <v>40</v>
      </c>
      <c r="U27" s="89">
        <f t="shared" ca="1" si="22"/>
        <v>210000</v>
      </c>
      <c r="V27" s="89">
        <f t="shared" ca="1" si="23"/>
        <v>0</v>
      </c>
      <c r="W27" s="89">
        <f t="shared" ca="1" si="24"/>
        <v>0</v>
      </c>
      <c r="X27" s="89">
        <f t="shared" ca="1" si="25"/>
        <v>90.6</v>
      </c>
      <c r="Y27" s="89">
        <f t="shared" ca="1" si="26"/>
        <v>4.2</v>
      </c>
      <c r="Z27" s="89">
        <f t="shared" ca="1" si="27"/>
        <v>1E-3</v>
      </c>
      <c r="AA27" s="89">
        <f t="shared" ca="1" si="28"/>
        <v>0.27</v>
      </c>
      <c r="AB27" s="89">
        <f t="shared" ca="1" si="29"/>
        <v>4.4000000000000004</v>
      </c>
      <c r="AC27" s="89">
        <f t="shared" ca="1" si="30"/>
        <v>0.1</v>
      </c>
      <c r="AD27" s="89">
        <f t="shared" ca="1" si="31"/>
        <v>0.55000000000000004</v>
      </c>
      <c r="AE27" s="89">
        <f t="shared" ca="1" si="32"/>
        <v>9.3999999999999997E-4</v>
      </c>
      <c r="AF27" s="89">
        <f t="shared" ca="1" si="33"/>
        <v>-2.0000000000000001E-4</v>
      </c>
      <c r="AG27" s="89">
        <f t="shared" ca="1" si="34"/>
        <v>-1E-3</v>
      </c>
      <c r="AH27" s="89">
        <f t="shared" ca="1" si="35"/>
        <v>0</v>
      </c>
      <c r="AI27" s="75">
        <f t="shared" ca="1" si="36"/>
        <v>0</v>
      </c>
      <c r="AJ27" s="76">
        <f t="shared" ca="1" si="37"/>
        <v>100.12314000000001</v>
      </c>
      <c r="AK27" s="76">
        <f t="shared" ca="1" si="38"/>
        <v>42.618407599999991</v>
      </c>
      <c r="AL27" s="77">
        <f t="shared" ca="1" si="39"/>
        <v>0</v>
      </c>
      <c r="AM27" s="77">
        <f t="shared" ca="1" si="40"/>
        <v>0</v>
      </c>
      <c r="AN27" s="90" t="str">
        <f t="shared" ca="1" si="41"/>
        <v/>
      </c>
      <c r="AO27" s="107">
        <f t="shared" ca="1" si="42"/>
        <v>0</v>
      </c>
      <c r="AP27" s="93">
        <f t="shared" ca="1" si="43"/>
        <v>0.21</v>
      </c>
      <c r="AQ27" s="222">
        <f t="shared" ca="1" si="44"/>
        <v>0.21</v>
      </c>
      <c r="AR27" s="223">
        <f t="shared" ca="1" si="45"/>
        <v>0.19025999999999998</v>
      </c>
      <c r="AS27" s="223">
        <f t="shared" ca="1" si="46"/>
        <v>8.8199999999999997E-3</v>
      </c>
      <c r="AT27" s="223">
        <f t="shared" ca="1" si="47"/>
        <v>2.1000000000000002E-6</v>
      </c>
      <c r="AU27" s="223">
        <f t="shared" ca="1" si="60"/>
        <v>2.1000000000000001E-4</v>
      </c>
      <c r="AV27" s="222">
        <f t="shared" ca="1" si="48"/>
        <v>9.2399999999999999E-3</v>
      </c>
      <c r="AW27" s="222">
        <f t="shared" ca="1" si="49"/>
        <v>2.1000000000000001E-4</v>
      </c>
      <c r="AX27" s="222">
        <f t="shared" ca="1" si="61"/>
        <v>1.155E-3</v>
      </c>
      <c r="AY27" s="223">
        <f t="shared" ca="1" si="50"/>
        <v>4.1999999999999995E-7</v>
      </c>
      <c r="AZ27" s="223">
        <f t="shared" ca="1" si="51"/>
        <v>1.9739999999999997E-6</v>
      </c>
      <c r="BB27" s="108">
        <f t="shared" ca="1" si="62"/>
        <v>-8.7925438654105346</v>
      </c>
      <c r="BC27" s="91">
        <f t="shared" ca="1" si="63"/>
        <v>-3.2261762288327041</v>
      </c>
      <c r="BD27" s="91">
        <f t="shared" ca="1" si="69"/>
        <v>0.50897933443675569</v>
      </c>
      <c r="BE27" s="91">
        <f t="shared" ca="1" si="64"/>
        <v>-0.72065250758926769</v>
      </c>
      <c r="BF27" s="91">
        <f t="shared" ca="1" si="65"/>
        <v>-2.0545314148681801</v>
      </c>
      <c r="BG27" s="91">
        <f t="shared" ca="1" si="52"/>
        <v>2.9571281976768131</v>
      </c>
      <c r="BH27" s="91">
        <f t="shared" ca="1" si="53"/>
        <v>0.74036268949424389</v>
      </c>
      <c r="BI27" s="109">
        <f t="shared" si="70"/>
        <v>-5.6560982020128314</v>
      </c>
      <c r="BJ27" s="91">
        <f t="shared" ca="1" si="54"/>
        <v>-2.5257644335178258</v>
      </c>
      <c r="BL27" s="111">
        <f t="shared" ca="1" si="6"/>
        <v>0.68222891566265065</v>
      </c>
      <c r="BM27" s="112">
        <f t="shared" ca="1" si="7"/>
        <v>0.3162650602409639</v>
      </c>
      <c r="BN27" s="112">
        <f t="shared" ca="1" si="8"/>
        <v>1.5060240963855425E-3</v>
      </c>
      <c r="BO27" s="113">
        <f t="shared" ca="1" si="55"/>
        <v>0.3956579819277109</v>
      </c>
      <c r="BP27" s="114">
        <f t="shared" ca="1" si="56"/>
        <v>0.68222891566265065</v>
      </c>
      <c r="BQ27" s="115">
        <f t="shared" ca="1" si="9"/>
        <v>0.28938906752411575</v>
      </c>
      <c r="BR27" s="112">
        <f t="shared" ca="1" si="10"/>
        <v>0.48553054662379419</v>
      </c>
      <c r="BS27" s="112">
        <f t="shared" ca="1" si="11"/>
        <v>0.22508038585209003</v>
      </c>
      <c r="BT27" s="113">
        <f t="shared" ca="1" si="66"/>
        <v>0.42699356913183284</v>
      </c>
      <c r="BU27" s="114">
        <f t="shared" ca="1" si="57"/>
        <v>0.28938906752411575</v>
      </c>
      <c r="BV27" s="115">
        <f t="shared" ca="1" si="13"/>
        <v>0.28746896641839809</v>
      </c>
      <c r="BW27" s="112">
        <f t="shared" ca="1" si="14"/>
        <v>5.9192473539788321E-2</v>
      </c>
      <c r="BX27" s="112">
        <f t="shared" ca="1" si="15"/>
        <v>0.65333856004181368</v>
      </c>
      <c r="BY27" s="113">
        <f t="shared" ca="1" si="67"/>
        <v>0.92039461649026533</v>
      </c>
      <c r="BZ27" s="114">
        <f t="shared" ca="1" si="58"/>
        <v>0.28746896641839809</v>
      </c>
      <c r="CA27" s="115">
        <f t="shared" ca="1" si="17"/>
        <v>0.28683181225554111</v>
      </c>
      <c r="CB27" s="112">
        <f t="shared" ca="1" si="18"/>
        <v>6.1277705345501955E-2</v>
      </c>
      <c r="CC27" s="112">
        <f t="shared" ca="1" si="19"/>
        <v>0.65189048239895697</v>
      </c>
      <c r="CD27" s="113">
        <f t="shared" ca="1" si="68"/>
        <v>0.9183546284224251</v>
      </c>
      <c r="CE27" s="114">
        <f t="shared" ca="1" si="59"/>
        <v>0.28683181225554111</v>
      </c>
    </row>
    <row r="28" spans="1:83">
      <c r="A28" s="193" t="s">
        <v>214</v>
      </c>
      <c r="B28" s="33"/>
      <c r="C28" s="27"/>
      <c r="D28" s="122"/>
      <c r="E28" s="27">
        <v>41</v>
      </c>
      <c r="F28" s="27">
        <v>550000</v>
      </c>
      <c r="G28" s="29"/>
      <c r="H28" s="29"/>
      <c r="I28" s="205">
        <v>83.1</v>
      </c>
      <c r="J28" s="205">
        <v>4.4000000000000004</v>
      </c>
      <c r="K28" s="209">
        <v>3.0000000000000001E-3</v>
      </c>
      <c r="L28" s="207">
        <v>0.18</v>
      </c>
      <c r="M28" s="205">
        <v>10.4</v>
      </c>
      <c r="N28" s="214">
        <v>1.25</v>
      </c>
      <c r="O28" s="214">
        <v>0.65</v>
      </c>
      <c r="P28" s="218">
        <v>2.7799999999999999E-3</v>
      </c>
      <c r="Q28" s="218">
        <v>4.0000000000000002E-4</v>
      </c>
      <c r="R28" s="210">
        <v>-0.01</v>
      </c>
      <c r="S28" s="36"/>
      <c r="T28" s="89">
        <f t="shared" ca="1" si="21"/>
        <v>41</v>
      </c>
      <c r="U28" s="89">
        <f t="shared" ca="1" si="22"/>
        <v>550000</v>
      </c>
      <c r="V28" s="89">
        <f t="shared" ca="1" si="23"/>
        <v>0</v>
      </c>
      <c r="W28" s="89">
        <f t="shared" ca="1" si="24"/>
        <v>0</v>
      </c>
      <c r="X28" s="89">
        <f t="shared" ca="1" si="25"/>
        <v>83.1</v>
      </c>
      <c r="Y28" s="89">
        <f t="shared" ca="1" si="26"/>
        <v>4.4000000000000004</v>
      </c>
      <c r="Z28" s="89">
        <f t="shared" ca="1" si="27"/>
        <v>3.0000000000000001E-3</v>
      </c>
      <c r="AA28" s="89">
        <f t="shared" ca="1" si="28"/>
        <v>1.25</v>
      </c>
      <c r="AB28" s="89">
        <f t="shared" ca="1" si="29"/>
        <v>10.4</v>
      </c>
      <c r="AC28" s="89">
        <f t="shared" ca="1" si="30"/>
        <v>0.18</v>
      </c>
      <c r="AD28" s="89">
        <f t="shared" ca="1" si="31"/>
        <v>0.65</v>
      </c>
      <c r="AE28" s="89">
        <f t="shared" ca="1" si="32"/>
        <v>2.7799999999999999E-3</v>
      </c>
      <c r="AF28" s="89">
        <f t="shared" ca="1" si="33"/>
        <v>4.0000000000000002E-4</v>
      </c>
      <c r="AG28" s="89">
        <f t="shared" ca="1" si="34"/>
        <v>-0.01</v>
      </c>
      <c r="AH28" s="89">
        <f t="shared" ca="1" si="35"/>
        <v>0</v>
      </c>
      <c r="AI28" s="75">
        <f t="shared" ca="1" si="36"/>
        <v>0</v>
      </c>
      <c r="AJ28" s="76">
        <f t="shared" ca="1" si="37"/>
        <v>99.996180000000024</v>
      </c>
      <c r="AK28" s="76">
        <f t="shared" ca="1" si="38"/>
        <v>41.257621199999996</v>
      </c>
      <c r="AL28" s="77">
        <f t="shared" ca="1" si="39"/>
        <v>0</v>
      </c>
      <c r="AM28" s="77">
        <f t="shared" ca="1" si="40"/>
        <v>0</v>
      </c>
      <c r="AN28" s="90">
        <f t="shared" ca="1" si="41"/>
        <v>41</v>
      </c>
      <c r="AO28" s="107">
        <f t="shared" ca="1" si="42"/>
        <v>0</v>
      </c>
      <c r="AP28" s="93">
        <f t="shared" ca="1" si="43"/>
        <v>0.55000000000000004</v>
      </c>
      <c r="AQ28" s="222">
        <f t="shared" ca="1" si="44"/>
        <v>0.55000000000000004</v>
      </c>
      <c r="AR28" s="223">
        <f t="shared" ca="1" si="45"/>
        <v>0.45704999999999996</v>
      </c>
      <c r="AS28" s="223">
        <f t="shared" ca="1" si="46"/>
        <v>2.4200000000000003E-2</v>
      </c>
      <c r="AT28" s="223">
        <f t="shared" ca="1" si="47"/>
        <v>1.6500000000000001E-5</v>
      </c>
      <c r="AU28" s="223">
        <f t="shared" ca="1" si="60"/>
        <v>9.8999999999999999E-4</v>
      </c>
      <c r="AV28" s="222">
        <f t="shared" ca="1" si="48"/>
        <v>5.7200000000000008E-2</v>
      </c>
      <c r="AW28" s="222">
        <f t="shared" ca="1" si="49"/>
        <v>9.8999999999999999E-4</v>
      </c>
      <c r="AX28" s="222">
        <f t="shared" ca="1" si="61"/>
        <v>3.5750000000000005E-3</v>
      </c>
      <c r="AY28" s="223">
        <f t="shared" ca="1" si="50"/>
        <v>2.2000000000000001E-6</v>
      </c>
      <c r="AZ28" s="223">
        <f t="shared" ca="1" si="51"/>
        <v>1.5290000000000001E-5</v>
      </c>
      <c r="BB28" s="108">
        <f t="shared" ca="1" si="62"/>
        <v>-7.1225672967707983</v>
      </c>
      <c r="BC28" s="91">
        <f t="shared" ca="1" si="63"/>
        <v>-2.4018299481958052</v>
      </c>
      <c r="BD28" s="91">
        <f t="shared" ca="1" si="69"/>
        <v>0.98225627877650901</v>
      </c>
      <c r="BE28" s="91">
        <f t="shared" ca="1" si="64"/>
        <v>-0.34003628672164521</v>
      </c>
      <c r="BF28" s="91">
        <f t="shared" ca="1" si="65"/>
        <v>-1.6161846340195687</v>
      </c>
      <c r="BG28" s="91">
        <f t="shared" ca="1" si="52"/>
        <v>2.6643285186808048</v>
      </c>
      <c r="BH28" s="91">
        <f t="shared" ca="1" si="53"/>
        <v>0.55764085153954956</v>
      </c>
      <c r="BI28" s="109">
        <f t="shared" si="70"/>
        <v>-5.3175410324561483</v>
      </c>
      <c r="BJ28" s="91">
        <f t="shared" ca="1" si="54"/>
        <v>-1.8226910107760546</v>
      </c>
      <c r="BL28" s="111">
        <f t="shared" ca="1" si="6"/>
        <v>0.65074393108848871</v>
      </c>
      <c r="BM28" s="112">
        <f t="shared" ca="1" si="7"/>
        <v>0.34455755677368838</v>
      </c>
      <c r="BN28" s="112">
        <f t="shared" ca="1" si="8"/>
        <v>4.6985121378230231E-3</v>
      </c>
      <c r="BO28" s="113">
        <f t="shared" ca="1" si="55"/>
        <v>0.38116491777603767</v>
      </c>
      <c r="BP28" s="114">
        <f t="shared" ca="1" si="56"/>
        <v>0.65074393108848871</v>
      </c>
      <c r="BQ28" s="115">
        <f t="shared" ca="1" si="9"/>
        <v>0.66295412357464856</v>
      </c>
      <c r="BR28" s="112">
        <f t="shared" ca="1" si="10"/>
        <v>0.22036595067621317</v>
      </c>
      <c r="BS28" s="112">
        <f t="shared" ca="1" si="11"/>
        <v>0.11667992574913816</v>
      </c>
      <c r="BT28" s="113">
        <f t="shared" ca="1" si="66"/>
        <v>0.51752002121453189</v>
      </c>
      <c r="BU28" s="114">
        <f t="shared" ca="1" si="57"/>
        <v>0.66295412357464856</v>
      </c>
      <c r="BV28" s="115">
        <f t="shared" ca="1" si="13"/>
        <v>0.35578666484211968</v>
      </c>
      <c r="BW28" s="112">
        <f t="shared" ca="1" si="14"/>
        <v>2.8428722931134753E-2</v>
      </c>
      <c r="BX28" s="112">
        <f t="shared" ca="1" si="15"/>
        <v>0.61578461222674563</v>
      </c>
      <c r="BY28" s="113">
        <f t="shared" ca="1" si="67"/>
        <v>0.91647771201806316</v>
      </c>
      <c r="BZ28" s="114">
        <f t="shared" ca="1" si="58"/>
        <v>0.35578666484211968</v>
      </c>
      <c r="CA28" s="115">
        <f t="shared" ca="1" si="17"/>
        <v>0.33354714560615784</v>
      </c>
      <c r="CB28" s="112">
        <f t="shared" ca="1" si="18"/>
        <v>8.9159717767799865E-2</v>
      </c>
      <c r="CC28" s="112">
        <f t="shared" ca="1" si="19"/>
        <v>0.57729313662604231</v>
      </c>
      <c r="CD28" s="113">
        <f t="shared" ca="1" si="68"/>
        <v>0.85919050673508657</v>
      </c>
      <c r="CE28" s="114">
        <f t="shared" ca="1" si="59"/>
        <v>0.33354714560615784</v>
      </c>
    </row>
    <row r="29" spans="1:83">
      <c r="A29" s="193" t="s">
        <v>215</v>
      </c>
      <c r="B29" s="33"/>
      <c r="C29" s="27"/>
      <c r="D29" s="122"/>
      <c r="E29" s="27">
        <v>42</v>
      </c>
      <c r="F29" s="27">
        <v>8700</v>
      </c>
      <c r="G29" s="29"/>
      <c r="H29" s="29"/>
      <c r="I29" s="205">
        <v>85.1</v>
      </c>
      <c r="J29" s="205">
        <v>4.2</v>
      </c>
      <c r="K29" s="209">
        <v>0.02</v>
      </c>
      <c r="L29" s="207">
        <v>0.14000000000000001</v>
      </c>
      <c r="M29" s="205">
        <v>9.1</v>
      </c>
      <c r="N29" s="214">
        <v>1.2</v>
      </c>
      <c r="O29" s="214">
        <v>0.22</v>
      </c>
      <c r="P29" s="218">
        <v>2.1199999999999999E-3</v>
      </c>
      <c r="Q29" s="218">
        <v>0</v>
      </c>
      <c r="R29" s="210">
        <v>-1E-3</v>
      </c>
      <c r="S29" s="36"/>
      <c r="T29" s="89">
        <f t="shared" ca="1" si="21"/>
        <v>42</v>
      </c>
      <c r="U29" s="89">
        <f t="shared" ca="1" si="22"/>
        <v>8700</v>
      </c>
      <c r="V29" s="89">
        <f t="shared" ca="1" si="23"/>
        <v>0</v>
      </c>
      <c r="W29" s="89">
        <f t="shared" ca="1" si="24"/>
        <v>0</v>
      </c>
      <c r="X29" s="89">
        <f t="shared" ca="1" si="25"/>
        <v>85.1</v>
      </c>
      <c r="Y29" s="89">
        <f t="shared" ca="1" si="26"/>
        <v>4.2</v>
      </c>
      <c r="Z29" s="89">
        <f t="shared" ca="1" si="27"/>
        <v>0.02</v>
      </c>
      <c r="AA29" s="89">
        <f t="shared" ca="1" si="28"/>
        <v>1.2</v>
      </c>
      <c r="AB29" s="89">
        <f t="shared" ca="1" si="29"/>
        <v>9.1</v>
      </c>
      <c r="AC29" s="89">
        <f t="shared" ca="1" si="30"/>
        <v>0.14000000000000001</v>
      </c>
      <c r="AD29" s="89">
        <f t="shared" ca="1" si="31"/>
        <v>0.22</v>
      </c>
      <c r="AE29" s="89">
        <f t="shared" ca="1" si="32"/>
        <v>2.1199999999999999E-3</v>
      </c>
      <c r="AF29" s="89">
        <f t="shared" ca="1" si="33"/>
        <v>0</v>
      </c>
      <c r="AG29" s="89">
        <f t="shared" ca="1" si="34"/>
        <v>-1E-3</v>
      </c>
      <c r="AH29" s="89">
        <f t="shared" ca="1" si="35"/>
        <v>0</v>
      </c>
      <c r="AI29" s="75">
        <f t="shared" ca="1" si="36"/>
        <v>0</v>
      </c>
      <c r="AJ29" s="76">
        <f t="shared" ca="1" si="37"/>
        <v>99.98312</v>
      </c>
      <c r="AK29" s="76">
        <f t="shared" ca="1" si="38"/>
        <v>41.675884800000006</v>
      </c>
      <c r="AL29" s="77">
        <f t="shared" ca="1" si="39"/>
        <v>0</v>
      </c>
      <c r="AM29" s="77">
        <f t="shared" ca="1" si="40"/>
        <v>0</v>
      </c>
      <c r="AN29" s="90" t="str">
        <f t="shared" ca="1" si="41"/>
        <v/>
      </c>
      <c r="AO29" s="107">
        <f t="shared" ca="1" si="42"/>
        <v>0</v>
      </c>
      <c r="AP29" s="93">
        <f t="shared" ca="1" si="43"/>
        <v>8.6999999999999994E-3</v>
      </c>
      <c r="AQ29" s="222">
        <f t="shared" ca="1" si="44"/>
        <v>8.6999999999999994E-3</v>
      </c>
      <c r="AR29" s="223">
        <f t="shared" ca="1" si="45"/>
        <v>7.4036999999999983E-3</v>
      </c>
      <c r="AS29" s="223">
        <f t="shared" ca="1" si="46"/>
        <v>3.6539999999999994E-4</v>
      </c>
      <c r="AT29" s="223">
        <f t="shared" ca="1" si="47"/>
        <v>1.7400000000000001E-6</v>
      </c>
      <c r="AU29" s="223">
        <f t="shared" ca="1" si="60"/>
        <v>1.2180000000000002E-5</v>
      </c>
      <c r="AV29" s="222">
        <f t="shared" ca="1" si="48"/>
        <v>7.9169999999999989E-4</v>
      </c>
      <c r="AW29" s="222">
        <f t="shared" ca="1" si="49"/>
        <v>1.2180000000000002E-5</v>
      </c>
      <c r="AX29" s="222">
        <f t="shared" ca="1" si="61"/>
        <v>1.914E-5</v>
      </c>
      <c r="AY29" s="223">
        <f t="shared" ca="1" si="50"/>
        <v>0</v>
      </c>
      <c r="AZ29" s="223">
        <f t="shared" ca="1" si="51"/>
        <v>1.8443999999999998E-7</v>
      </c>
      <c r="BB29" s="108">
        <f t="shared" ca="1" si="62"/>
        <v>-16.088430741830351</v>
      </c>
      <c r="BC29" s="91">
        <f t="shared" ca="1" si="63"/>
        <v>-5.5936363043912678</v>
      </c>
      <c r="BD29" s="91">
        <f t="shared" ca="1" si="69"/>
        <v>-5.7367120513030123</v>
      </c>
      <c r="BE29" s="91">
        <f t="shared" ca="1" si="64"/>
        <v>-2.1305511872967937</v>
      </c>
      <c r="BF29" s="91">
        <f t="shared" ca="1" si="65"/>
        <v>-3.437231456983481</v>
      </c>
      <c r="BG29" s="91">
        <f t="shared" ca="1" si="52"/>
        <v>2.7838015244063499</v>
      </c>
      <c r="BH29" s="91">
        <f t="shared" ca="1" si="53"/>
        <v>0.19629464514396819</v>
      </c>
      <c r="BI29" s="109">
        <f t="shared" si="70"/>
        <v>0</v>
      </c>
      <c r="BJ29" s="91">
        <f t="shared" ca="1" si="54"/>
        <v>-1.8507483140369629</v>
      </c>
      <c r="BL29" s="111">
        <f t="shared" ca="1" si="6"/>
        <v>0.64912280701754388</v>
      </c>
      <c r="BM29" s="112">
        <f t="shared" ca="1" si="7"/>
        <v>0.32036613272311215</v>
      </c>
      <c r="BN29" s="112">
        <f t="shared" ca="1" si="8"/>
        <v>3.0511060259344015E-2</v>
      </c>
      <c r="BO29" s="113">
        <f t="shared" ca="1" si="55"/>
        <v>0.41003463005339441</v>
      </c>
      <c r="BP29" s="114">
        <f t="shared" ca="1" si="56"/>
        <v>0.64912280701754388</v>
      </c>
      <c r="BQ29" s="115">
        <f t="shared" ca="1" si="9"/>
        <v>0.65377281394715336</v>
      </c>
      <c r="BR29" s="112">
        <f t="shared" ca="1" si="10"/>
        <v>0.23181694361209476</v>
      </c>
      <c r="BS29" s="112">
        <f t="shared" ca="1" si="11"/>
        <v>0.11441024244075183</v>
      </c>
      <c r="BT29" s="113">
        <f t="shared" ca="1" si="66"/>
        <v>0.50959792971942253</v>
      </c>
      <c r="BU29" s="114">
        <f t="shared" ca="1" si="57"/>
        <v>0.65377281394715336</v>
      </c>
      <c r="BV29" s="115">
        <f t="shared" ca="1" si="13"/>
        <v>0.37994238236399308</v>
      </c>
      <c r="BW29" s="112">
        <f t="shared" ca="1" si="14"/>
        <v>3.5530875537555837E-2</v>
      </c>
      <c r="BX29" s="112">
        <f t="shared" ca="1" si="15"/>
        <v>0.58452674209845101</v>
      </c>
      <c r="BY29" s="113">
        <f t="shared" ca="1" si="67"/>
        <v>0.89433176067805109</v>
      </c>
      <c r="BZ29" s="114">
        <f t="shared" ca="1" si="58"/>
        <v>0.37994238236399308</v>
      </c>
      <c r="CA29" s="115">
        <f t="shared" ca="1" si="17"/>
        <v>0.36082474226804123</v>
      </c>
      <c r="CB29" s="112">
        <f t="shared" ca="1" si="18"/>
        <v>8.4060269627279943E-2</v>
      </c>
      <c r="CC29" s="112">
        <f t="shared" ca="1" si="19"/>
        <v>0.55511498810467896</v>
      </c>
      <c r="CD29" s="113">
        <f t="shared" ca="1" si="68"/>
        <v>0.84933148295003991</v>
      </c>
      <c r="CE29" s="114">
        <f t="shared" ca="1" si="59"/>
        <v>0.36082474226804123</v>
      </c>
    </row>
    <row r="30" spans="1:83">
      <c r="A30" s="193" t="s">
        <v>216</v>
      </c>
      <c r="B30" s="33"/>
      <c r="C30" s="27"/>
      <c r="D30" s="122"/>
      <c r="E30" s="27">
        <v>43</v>
      </c>
      <c r="F30" s="27">
        <v>2500</v>
      </c>
      <c r="G30" s="29"/>
      <c r="H30" s="29"/>
      <c r="I30" s="205">
        <v>89.2</v>
      </c>
      <c r="J30" s="205">
        <v>5.6</v>
      </c>
      <c r="K30" s="209">
        <v>0.13</v>
      </c>
      <c r="L30" s="207">
        <v>0.06</v>
      </c>
      <c r="M30" s="205">
        <v>3.8</v>
      </c>
      <c r="N30" s="214">
        <v>0.85</v>
      </c>
      <c r="O30" s="214">
        <v>0.32</v>
      </c>
      <c r="P30" s="218">
        <v>7.6000000000000004E-4</v>
      </c>
      <c r="Q30" s="218">
        <v>1.1000000000000001E-3</v>
      </c>
      <c r="R30" s="210">
        <v>-0.01</v>
      </c>
      <c r="S30" s="36"/>
      <c r="T30" s="89">
        <f t="shared" ca="1" si="21"/>
        <v>43</v>
      </c>
      <c r="U30" s="89">
        <f t="shared" ca="1" si="22"/>
        <v>2500</v>
      </c>
      <c r="V30" s="89">
        <f t="shared" ca="1" si="23"/>
        <v>0</v>
      </c>
      <c r="W30" s="89">
        <f t="shared" ca="1" si="24"/>
        <v>0</v>
      </c>
      <c r="X30" s="89">
        <f t="shared" ca="1" si="25"/>
        <v>89.2</v>
      </c>
      <c r="Y30" s="89">
        <f t="shared" ca="1" si="26"/>
        <v>5.6</v>
      </c>
      <c r="Z30" s="89">
        <f t="shared" ca="1" si="27"/>
        <v>0.13</v>
      </c>
      <c r="AA30" s="89">
        <f t="shared" ca="1" si="28"/>
        <v>0.85</v>
      </c>
      <c r="AB30" s="89">
        <f t="shared" ca="1" si="29"/>
        <v>3.8</v>
      </c>
      <c r="AC30" s="89">
        <f t="shared" ca="1" si="30"/>
        <v>0.06</v>
      </c>
      <c r="AD30" s="89">
        <f t="shared" ca="1" si="31"/>
        <v>0.32</v>
      </c>
      <c r="AE30" s="89">
        <f t="shared" ca="1" si="32"/>
        <v>7.6000000000000004E-4</v>
      </c>
      <c r="AF30" s="89">
        <f t="shared" ca="1" si="33"/>
        <v>1.1000000000000001E-3</v>
      </c>
      <c r="AG30" s="89">
        <f t="shared" ca="1" si="34"/>
        <v>-0.01</v>
      </c>
      <c r="AH30" s="89">
        <f t="shared" ca="1" si="35"/>
        <v>0</v>
      </c>
      <c r="AI30" s="75">
        <f t="shared" ca="1" si="36"/>
        <v>0</v>
      </c>
      <c r="AJ30" s="76">
        <f t="shared" ca="1" si="37"/>
        <v>99.971859999999978</v>
      </c>
      <c r="AK30" s="76">
        <f t="shared" ca="1" si="38"/>
        <v>42.404530399999992</v>
      </c>
      <c r="AL30" s="77">
        <f t="shared" ca="1" si="39"/>
        <v>0</v>
      </c>
      <c r="AM30" s="77">
        <f t="shared" ca="1" si="40"/>
        <v>0</v>
      </c>
      <c r="AN30" s="90">
        <f t="shared" ca="1" si="41"/>
        <v>43</v>
      </c>
      <c r="AO30" s="107">
        <f t="shared" ca="1" si="42"/>
        <v>0</v>
      </c>
      <c r="AP30" s="93">
        <f t="shared" ca="1" si="43"/>
        <v>2.5000000000000001E-3</v>
      </c>
      <c r="AQ30" s="222">
        <f t="shared" ca="1" si="44"/>
        <v>2.5000000000000001E-3</v>
      </c>
      <c r="AR30" s="223">
        <f t="shared" ca="1" si="45"/>
        <v>2.2300000000000002E-3</v>
      </c>
      <c r="AS30" s="223">
        <f t="shared" ca="1" si="46"/>
        <v>1.3999999999999999E-4</v>
      </c>
      <c r="AT30" s="223">
        <f t="shared" ca="1" si="47"/>
        <v>3.2500000000000002E-6</v>
      </c>
      <c r="AU30" s="223">
        <f t="shared" ca="1" si="60"/>
        <v>1.4999999999999998E-6</v>
      </c>
      <c r="AV30" s="222">
        <f t="shared" ca="1" si="48"/>
        <v>9.4999999999999992E-5</v>
      </c>
      <c r="AW30" s="222">
        <f t="shared" ca="1" si="49"/>
        <v>1.4999999999999998E-6</v>
      </c>
      <c r="AX30" s="222">
        <f t="shared" ca="1" si="61"/>
        <v>8.0000000000000013E-6</v>
      </c>
      <c r="AY30" s="223">
        <f t="shared" ca="1" si="50"/>
        <v>2.7500000000000005E-8</v>
      </c>
      <c r="AZ30" s="223">
        <f t="shared" ca="1" si="51"/>
        <v>1.9000000000000001E-8</v>
      </c>
      <c r="BB30" s="108">
        <f t="shared" ca="1" si="62"/>
        <v>-17.215426448039747</v>
      </c>
      <c r="BC30" s="91">
        <f t="shared" ca="1" si="63"/>
        <v>-6.4647058799572292</v>
      </c>
      <c r="BD30" s="91">
        <f t="shared" ca="1" si="69"/>
        <v>-8.33677315569307</v>
      </c>
      <c r="BE30" s="91">
        <f t="shared" ca="1" si="64"/>
        <v>-2.6516951369518393</v>
      </c>
      <c r="BF30" s="91">
        <f t="shared" ca="1" si="65"/>
        <v>-3.8538719643217618</v>
      </c>
      <c r="BG30" s="91">
        <f t="shared" ca="1" si="52"/>
        <v>3.1722136039924793</v>
      </c>
      <c r="BH30" s="91">
        <f t="shared" ca="1" si="53"/>
        <v>0.72699872793626241</v>
      </c>
      <c r="BI30" s="109">
        <f t="shared" si="70"/>
        <v>-4.9089721692178978</v>
      </c>
      <c r="BJ30" s="91">
        <f t="shared" ca="1" si="54"/>
        <v>-2.0209459286618303</v>
      </c>
      <c r="BL30" s="111">
        <f t="shared" ca="1" si="6"/>
        <v>0.5210280373831776</v>
      </c>
      <c r="BM30" s="112">
        <f t="shared" ca="1" si="7"/>
        <v>0.32710280373831779</v>
      </c>
      <c r="BN30" s="112">
        <f t="shared" ca="1" si="8"/>
        <v>0.15186915887850469</v>
      </c>
      <c r="BO30" s="113">
        <f t="shared" ca="1" si="55"/>
        <v>0.47620490654205611</v>
      </c>
      <c r="BP30" s="114">
        <f t="shared" ca="1" si="56"/>
        <v>0.5210280373831776</v>
      </c>
      <c r="BQ30" s="115">
        <f t="shared" ca="1" si="9"/>
        <v>0.53934010152284262</v>
      </c>
      <c r="BR30" s="112">
        <f t="shared" ca="1" si="10"/>
        <v>0.28299492385786806</v>
      </c>
      <c r="BS30" s="112">
        <f t="shared" ca="1" si="11"/>
        <v>0.17766497461928935</v>
      </c>
      <c r="BT30" s="113">
        <f t="shared" ca="1" si="66"/>
        <v>0.51656472081218274</v>
      </c>
      <c r="BU30" s="114">
        <f t="shared" ca="1" si="57"/>
        <v>0.53934010152284262</v>
      </c>
      <c r="BV30" s="115">
        <f t="shared" ca="1" si="13"/>
        <v>0.35540591096146651</v>
      </c>
      <c r="BW30" s="112">
        <f t="shared" ca="1" si="14"/>
        <v>8.3426861204638977E-2</v>
      </c>
      <c r="BX30" s="112">
        <f t="shared" ca="1" si="15"/>
        <v>0.5611672278338945</v>
      </c>
      <c r="BY30" s="113">
        <f t="shared" ca="1" si="67"/>
        <v>0.85319117096894881</v>
      </c>
      <c r="BZ30" s="114">
        <f t="shared" ca="1" si="58"/>
        <v>0.35540591096146651</v>
      </c>
      <c r="CA30" s="115">
        <f t="shared" ca="1" si="17"/>
        <v>0.35984848484848486</v>
      </c>
      <c r="CB30" s="112">
        <f t="shared" ca="1" si="18"/>
        <v>7.1969696969696975E-2</v>
      </c>
      <c r="CC30" s="112">
        <f t="shared" ca="1" si="19"/>
        <v>0.56818181818181823</v>
      </c>
      <c r="CD30" s="113">
        <f t="shared" ca="1" si="68"/>
        <v>0.86385606060606068</v>
      </c>
      <c r="CE30" s="114">
        <f t="shared" ca="1" si="59"/>
        <v>0.35984848484848486</v>
      </c>
    </row>
    <row r="31" spans="1:83">
      <c r="A31" s="193" t="s">
        <v>217</v>
      </c>
      <c r="B31" s="33"/>
      <c r="C31" s="27" t="s">
        <v>192</v>
      </c>
      <c r="D31" s="122"/>
      <c r="E31" s="27">
        <v>44</v>
      </c>
      <c r="F31" s="27">
        <v>5600</v>
      </c>
      <c r="G31" s="26"/>
      <c r="H31" s="26"/>
      <c r="I31" s="205">
        <v>81.2</v>
      </c>
      <c r="J31" s="205">
        <v>15.6</v>
      </c>
      <c r="K31" s="209">
        <v>8.5999999999999993E-2</v>
      </c>
      <c r="L31" s="207">
        <v>0</v>
      </c>
      <c r="M31" s="205">
        <v>0.6</v>
      </c>
      <c r="N31" s="214">
        <v>0.26</v>
      </c>
      <c r="O31" s="214">
        <v>2.17</v>
      </c>
      <c r="P31" s="218">
        <v>0</v>
      </c>
      <c r="Q31" s="218">
        <v>0</v>
      </c>
      <c r="R31" s="210">
        <v>0</v>
      </c>
      <c r="S31" s="37"/>
      <c r="T31" s="89">
        <f t="shared" ca="1" si="21"/>
        <v>44</v>
      </c>
      <c r="U31" s="89">
        <f t="shared" ca="1" si="22"/>
        <v>5600</v>
      </c>
      <c r="V31" s="89">
        <f t="shared" ca="1" si="23"/>
        <v>0</v>
      </c>
      <c r="W31" s="89">
        <f t="shared" ca="1" si="24"/>
        <v>0</v>
      </c>
      <c r="X31" s="89">
        <f t="shared" ca="1" si="25"/>
        <v>81.2</v>
      </c>
      <c r="Y31" s="89">
        <f t="shared" ca="1" si="26"/>
        <v>15.6</v>
      </c>
      <c r="Z31" s="89">
        <f t="shared" ca="1" si="27"/>
        <v>8.5999999999999993E-2</v>
      </c>
      <c r="AA31" s="89">
        <f t="shared" ca="1" si="28"/>
        <v>0.26</v>
      </c>
      <c r="AB31" s="89">
        <f t="shared" ca="1" si="29"/>
        <v>0.6</v>
      </c>
      <c r="AC31" s="89">
        <f t="shared" ca="1" si="30"/>
        <v>0</v>
      </c>
      <c r="AD31" s="89">
        <f t="shared" ca="1" si="31"/>
        <v>2.17</v>
      </c>
      <c r="AE31" s="89">
        <f t="shared" ca="1" si="32"/>
        <v>0</v>
      </c>
      <c r="AF31" s="89">
        <f t="shared" ca="1" si="33"/>
        <v>0</v>
      </c>
      <c r="AG31" s="89">
        <f t="shared" ca="1" si="34"/>
        <v>0</v>
      </c>
      <c r="AH31" s="89">
        <f t="shared" ca="1" si="35"/>
        <v>0</v>
      </c>
      <c r="AI31" s="75">
        <f t="shared" ca="1" si="36"/>
        <v>0</v>
      </c>
      <c r="AJ31" s="76">
        <f t="shared" ca="1" si="37"/>
        <v>99.915999999999997</v>
      </c>
      <c r="AK31" s="76">
        <f t="shared" ca="1" si="38"/>
        <v>41.299620000000004</v>
      </c>
      <c r="AL31" s="77">
        <f t="shared" ca="1" si="39"/>
        <v>0</v>
      </c>
      <c r="AM31" s="77">
        <f t="shared" ca="1" si="40"/>
        <v>0</v>
      </c>
      <c r="AN31" s="90" t="str">
        <f t="shared" ca="1" si="41"/>
        <v/>
      </c>
      <c r="AO31" s="107">
        <f t="shared" ca="1" si="42"/>
        <v>0</v>
      </c>
      <c r="AP31" s="93">
        <f t="shared" ca="1" si="43"/>
        <v>5.5999999999999999E-3</v>
      </c>
      <c r="AQ31" s="222">
        <f t="shared" ca="1" si="44"/>
        <v>5.5999999999999999E-3</v>
      </c>
      <c r="AR31" s="223">
        <f t="shared" ca="1" si="45"/>
        <v>4.5472000000000004E-3</v>
      </c>
      <c r="AS31" s="223">
        <f t="shared" ca="1" si="46"/>
        <v>8.7359999999999998E-4</v>
      </c>
      <c r="AT31" s="223">
        <f t="shared" ca="1" si="47"/>
        <v>4.8159999999999993E-6</v>
      </c>
      <c r="AU31" s="223">
        <f t="shared" ca="1" si="60"/>
        <v>0</v>
      </c>
      <c r="AV31" s="222">
        <f t="shared" ca="1" si="48"/>
        <v>3.3599999999999997E-5</v>
      </c>
      <c r="AW31" s="222">
        <f t="shared" ca="1" si="49"/>
        <v>0</v>
      </c>
      <c r="AX31" s="222">
        <f t="shared" ca="1" si="61"/>
        <v>1.2152E-4</v>
      </c>
      <c r="AY31" s="223">
        <f t="shared" ca="1" si="50"/>
        <v>0</v>
      </c>
      <c r="AZ31" s="223">
        <f t="shared" ca="1" si="51"/>
        <v>0</v>
      </c>
      <c r="BB31" s="108" t="e">
        <f t="shared" ca="1" si="62"/>
        <v>#NUM!</v>
      </c>
      <c r="BC31" s="91">
        <f t="shared" ca="1" si="63"/>
        <v>-5.2607098847727451</v>
      </c>
      <c r="BD31" s="91">
        <f t="shared" ca="1" si="69"/>
        <v>-5.5850903965455014</v>
      </c>
      <c r="BE31" s="91">
        <f t="shared" ca="1" si="64"/>
        <v>-2.3422559437526242</v>
      </c>
      <c r="BF31" s="91">
        <f t="shared" ca="1" si="65"/>
        <v>-3.0586873746393382</v>
      </c>
      <c r="BG31" s="91" t="e">
        <f t="shared" ca="1" si="52"/>
        <v>#DIV/0!</v>
      </c>
      <c r="BH31" s="91">
        <f t="shared" ca="1" si="53"/>
        <v>-99</v>
      </c>
      <c r="BI31" s="109">
        <f t="shared" si="70"/>
        <v>0</v>
      </c>
      <c r="BJ31" s="91">
        <f t="shared" ca="1" si="54"/>
        <v>-2.4945826812703573</v>
      </c>
      <c r="BL31" s="111">
        <f t="shared" ca="1" si="6"/>
        <v>0.31918238993710696</v>
      </c>
      <c r="BM31" s="112">
        <f t="shared" ca="1" si="7"/>
        <v>0.61320754716981141</v>
      </c>
      <c r="BN31" s="112">
        <f t="shared" ca="1" si="8"/>
        <v>6.761006289308176E-2</v>
      </c>
      <c r="BO31" s="113">
        <f t="shared" ca="1" si="55"/>
        <v>0.26236525157232704</v>
      </c>
      <c r="BP31" s="114">
        <f t="shared" ca="1" si="56"/>
        <v>0.31918238993710696</v>
      </c>
      <c r="BQ31" s="115">
        <f t="shared" ca="1" si="9"/>
        <v>0.17980636237897649</v>
      </c>
      <c r="BR31" s="112">
        <f t="shared" ca="1" si="10"/>
        <v>0.28077455048409405</v>
      </c>
      <c r="BS31" s="112">
        <f t="shared" ca="1" si="11"/>
        <v>0.53941908713692943</v>
      </c>
      <c r="BT31" s="113">
        <f t="shared" ca="1" si="66"/>
        <v>0.72668741355463351</v>
      </c>
      <c r="BU31" s="114">
        <f t="shared" ca="1" si="57"/>
        <v>0.17980636237897649</v>
      </c>
      <c r="BV31" s="115">
        <f t="shared" ca="1" si="13"/>
        <v>0.42492917847025496</v>
      </c>
      <c r="BW31" s="112">
        <f t="shared" ca="1" si="14"/>
        <v>0.57507082152974509</v>
      </c>
      <c r="BX31" s="112">
        <f t="shared" ca="1" si="15"/>
        <v>0</v>
      </c>
      <c r="BY31" s="113">
        <f t="shared" ca="1" si="67"/>
        <v>0.24535410764872523</v>
      </c>
      <c r="BZ31" s="114">
        <f t="shared" ca="1" si="58"/>
        <v>0.42492917847025496</v>
      </c>
      <c r="CA31" s="115">
        <f t="shared" ca="1" si="17"/>
        <v>1</v>
      </c>
      <c r="CB31" s="112">
        <f t="shared" ca="1" si="18"/>
        <v>0</v>
      </c>
      <c r="CC31" s="112">
        <f t="shared" ca="1" si="19"/>
        <v>0</v>
      </c>
      <c r="CD31" s="113">
        <f t="shared" ca="1" si="68"/>
        <v>0.57740000000000002</v>
      </c>
      <c r="CE31" s="114">
        <f t="shared" ca="1" si="59"/>
        <v>1</v>
      </c>
    </row>
    <row r="32" spans="1:83">
      <c r="A32" s="38"/>
      <c r="B32" s="33"/>
      <c r="C32" s="27"/>
      <c r="D32" s="122"/>
      <c r="E32" s="27"/>
      <c r="F32" s="27"/>
      <c r="G32" s="26"/>
      <c r="H32" s="26"/>
      <c r="I32" s="205"/>
      <c r="J32" s="205"/>
      <c r="K32" s="209"/>
      <c r="L32" s="207"/>
      <c r="M32" s="205"/>
      <c r="N32" s="214"/>
      <c r="O32" s="214"/>
      <c r="P32" s="218"/>
      <c r="Q32" s="218"/>
      <c r="R32" s="210"/>
      <c r="S32" s="37"/>
      <c r="T32" s="89" t="str">
        <f t="shared" ca="1" si="21"/>
        <v/>
      </c>
      <c r="U32" s="89">
        <f t="shared" ca="1" si="22"/>
        <v>0</v>
      </c>
      <c r="V32" s="89">
        <f t="shared" ca="1" si="23"/>
        <v>0</v>
      </c>
      <c r="W32" s="89">
        <f t="shared" ca="1" si="24"/>
        <v>0</v>
      </c>
      <c r="X32" s="89">
        <f t="shared" ca="1" si="25"/>
        <v>0</v>
      </c>
      <c r="Y32" s="89">
        <f t="shared" ca="1" si="26"/>
        <v>0</v>
      </c>
      <c r="Z32" s="89">
        <f t="shared" ca="1" si="27"/>
        <v>0</v>
      </c>
      <c r="AA32" s="89">
        <f t="shared" ca="1" si="28"/>
        <v>0</v>
      </c>
      <c r="AB32" s="89">
        <f t="shared" ca="1" si="29"/>
        <v>0</v>
      </c>
      <c r="AC32" s="89">
        <f t="shared" ca="1" si="30"/>
        <v>0</v>
      </c>
      <c r="AD32" s="89">
        <f t="shared" ca="1" si="31"/>
        <v>0</v>
      </c>
      <c r="AE32" s="89">
        <f t="shared" ca="1" si="32"/>
        <v>0</v>
      </c>
      <c r="AF32" s="89">
        <f t="shared" ca="1" si="33"/>
        <v>0</v>
      </c>
      <c r="AG32" s="89">
        <f t="shared" ca="1" si="34"/>
        <v>0</v>
      </c>
      <c r="AH32" s="89">
        <f t="shared" ca="1" si="35"/>
        <v>0</v>
      </c>
      <c r="AI32" s="75">
        <f t="shared" ca="1" si="36"/>
        <v>0</v>
      </c>
      <c r="AJ32" s="76">
        <f t="shared" ca="1" si="37"/>
        <v>0</v>
      </c>
      <c r="AK32" s="76">
        <f t="shared" ca="1" si="38"/>
        <v>0</v>
      </c>
      <c r="AL32" s="77">
        <f t="shared" ca="1" si="39"/>
        <v>0</v>
      </c>
      <c r="AM32" s="77">
        <f t="shared" ca="1" si="40"/>
        <v>0</v>
      </c>
      <c r="AN32" s="90" t="str">
        <f t="shared" ca="1" si="41"/>
        <v/>
      </c>
      <c r="AO32" s="107" t="e">
        <f t="shared" ca="1" si="42"/>
        <v>#DIV/0!</v>
      </c>
      <c r="AP32" s="93" t="e">
        <f t="shared" ca="1" si="43"/>
        <v>#DIV/0!</v>
      </c>
      <c r="AQ32" s="222" t="e">
        <f t="shared" ca="1" si="44"/>
        <v>#DIV/0!</v>
      </c>
      <c r="AR32" s="223" t="e">
        <f t="shared" ca="1" si="45"/>
        <v>#DIV/0!</v>
      </c>
      <c r="AS32" s="223" t="e">
        <f t="shared" ca="1" si="46"/>
        <v>#DIV/0!</v>
      </c>
      <c r="AT32" s="223" t="e">
        <f t="shared" ca="1" si="47"/>
        <v>#DIV/0!</v>
      </c>
      <c r="AU32" s="223" t="e">
        <f t="shared" ca="1" si="60"/>
        <v>#DIV/0!</v>
      </c>
      <c r="AV32" s="222" t="e">
        <f t="shared" ca="1" si="48"/>
        <v>#DIV/0!</v>
      </c>
      <c r="AW32" s="222" t="e">
        <f t="shared" ca="1" si="49"/>
        <v>#DIV/0!</v>
      </c>
      <c r="AX32" s="222" t="e">
        <f t="shared" ca="1" si="61"/>
        <v>#DIV/0!</v>
      </c>
      <c r="AY32" s="223" t="e">
        <f t="shared" ca="1" si="50"/>
        <v>#DIV/0!</v>
      </c>
      <c r="AZ32" s="223" t="e">
        <f t="shared" ca="1" si="51"/>
        <v>#DIV/0!</v>
      </c>
      <c r="BB32" s="108" t="e">
        <f t="shared" ca="1" si="62"/>
        <v>#DIV/0!</v>
      </c>
      <c r="BC32" s="91" t="e">
        <f t="shared" ca="1" si="63"/>
        <v>#DIV/0!</v>
      </c>
      <c r="BD32" s="91" t="e">
        <f t="shared" ca="1" si="69"/>
        <v>#DIV/0!</v>
      </c>
      <c r="BE32" s="91" t="e">
        <f t="shared" ca="1" si="64"/>
        <v>#DIV/0!</v>
      </c>
      <c r="BF32" s="91" t="e">
        <f t="shared" ca="1" si="65"/>
        <v>#DIV/0!</v>
      </c>
      <c r="BG32" s="91" t="e">
        <f t="shared" ca="1" si="52"/>
        <v>#DIV/0!</v>
      </c>
      <c r="BH32" s="91">
        <f t="shared" ca="1" si="53"/>
        <v>-99</v>
      </c>
      <c r="BI32" s="109">
        <f t="shared" si="70"/>
        <v>0</v>
      </c>
      <c r="BJ32" s="91" t="e">
        <f t="shared" ca="1" si="54"/>
        <v>#DIV/0!</v>
      </c>
      <c r="BL32" s="111" t="e">
        <f t="shared" ca="1" si="6"/>
        <v>#DIV/0!</v>
      </c>
      <c r="BM32" s="112" t="e">
        <f t="shared" ca="1" si="7"/>
        <v>#DIV/0!</v>
      </c>
      <c r="BN32" s="112" t="e">
        <f t="shared" ca="1" si="8"/>
        <v>#DIV/0!</v>
      </c>
      <c r="BO32" s="113" t="e">
        <f t="shared" ca="1" si="55"/>
        <v>#DIV/0!</v>
      </c>
      <c r="BP32" s="114">
        <f t="shared" ca="1" si="56"/>
        <v>-99</v>
      </c>
      <c r="BQ32" s="115" t="e">
        <f t="shared" ca="1" si="9"/>
        <v>#DIV/0!</v>
      </c>
      <c r="BR32" s="112" t="e">
        <f t="shared" ca="1" si="10"/>
        <v>#DIV/0!</v>
      </c>
      <c r="BS32" s="112" t="e">
        <f t="shared" ca="1" si="11"/>
        <v>#DIV/0!</v>
      </c>
      <c r="BT32" s="113" t="e">
        <f t="shared" ca="1" si="66"/>
        <v>#DIV/0!</v>
      </c>
      <c r="BU32" s="114">
        <f t="shared" ca="1" si="57"/>
        <v>-99</v>
      </c>
      <c r="BV32" s="115" t="e">
        <f t="shared" ca="1" si="13"/>
        <v>#DIV/0!</v>
      </c>
      <c r="BW32" s="112" t="e">
        <f t="shared" ca="1" si="14"/>
        <v>#DIV/0!</v>
      </c>
      <c r="BX32" s="112" t="e">
        <f t="shared" ca="1" si="15"/>
        <v>#DIV/0!</v>
      </c>
      <c r="BY32" s="113" t="e">
        <f t="shared" ca="1" si="67"/>
        <v>#DIV/0!</v>
      </c>
      <c r="BZ32" s="114">
        <f t="shared" ca="1" si="58"/>
        <v>-99</v>
      </c>
      <c r="CA32" s="115" t="e">
        <f t="shared" ca="1" si="17"/>
        <v>#DIV/0!</v>
      </c>
      <c r="CB32" s="112" t="e">
        <f t="shared" ca="1" si="18"/>
        <v>#DIV/0!</v>
      </c>
      <c r="CC32" s="112" t="e">
        <f t="shared" ca="1" si="19"/>
        <v>#DIV/0!</v>
      </c>
      <c r="CD32" s="113" t="e">
        <f t="shared" ca="1" si="68"/>
        <v>#DIV/0!</v>
      </c>
      <c r="CE32" s="114">
        <f t="shared" ca="1" si="59"/>
        <v>-99</v>
      </c>
    </row>
    <row r="33" spans="1:83">
      <c r="A33" s="32"/>
      <c r="B33" s="33"/>
      <c r="C33" s="27"/>
      <c r="D33" s="122"/>
      <c r="E33" s="28"/>
      <c r="F33" s="27"/>
      <c r="G33" s="26"/>
      <c r="H33" s="26"/>
      <c r="I33" s="205"/>
      <c r="J33" s="205"/>
      <c r="K33" s="209"/>
      <c r="L33" s="207"/>
      <c r="M33" s="205"/>
      <c r="N33" s="214"/>
      <c r="O33" s="214"/>
      <c r="P33" s="218"/>
      <c r="Q33" s="218"/>
      <c r="R33" s="210"/>
      <c r="S33" s="37"/>
      <c r="T33" s="89" t="str">
        <f t="shared" ca="1" si="21"/>
        <v/>
      </c>
      <c r="U33" s="89">
        <f t="shared" ca="1" si="22"/>
        <v>0</v>
      </c>
      <c r="V33" s="89">
        <f t="shared" ca="1" si="23"/>
        <v>0</v>
      </c>
      <c r="W33" s="89">
        <f t="shared" ca="1" si="24"/>
        <v>0</v>
      </c>
      <c r="X33" s="89">
        <f t="shared" ca="1" si="25"/>
        <v>0</v>
      </c>
      <c r="Y33" s="89">
        <f t="shared" ca="1" si="26"/>
        <v>0</v>
      </c>
      <c r="Z33" s="89">
        <f t="shared" ca="1" si="27"/>
        <v>0</v>
      </c>
      <c r="AA33" s="89">
        <f t="shared" ca="1" si="28"/>
        <v>0</v>
      </c>
      <c r="AB33" s="89">
        <f t="shared" ca="1" si="29"/>
        <v>0</v>
      </c>
      <c r="AC33" s="89">
        <f t="shared" ca="1" si="30"/>
        <v>0</v>
      </c>
      <c r="AD33" s="89">
        <f t="shared" ca="1" si="31"/>
        <v>0</v>
      </c>
      <c r="AE33" s="89">
        <f t="shared" ca="1" si="32"/>
        <v>0</v>
      </c>
      <c r="AF33" s="89">
        <f t="shared" ca="1" si="33"/>
        <v>0</v>
      </c>
      <c r="AG33" s="89">
        <f t="shared" ca="1" si="34"/>
        <v>0</v>
      </c>
      <c r="AH33" s="89">
        <f t="shared" ca="1" si="35"/>
        <v>0</v>
      </c>
      <c r="AI33" s="75">
        <f t="shared" ca="1" si="36"/>
        <v>0</v>
      </c>
      <c r="AJ33" s="76">
        <f t="shared" ca="1" si="37"/>
        <v>0</v>
      </c>
      <c r="AK33" s="76">
        <f t="shared" ca="1" si="38"/>
        <v>0</v>
      </c>
      <c r="AL33" s="77">
        <f t="shared" ca="1" si="39"/>
        <v>0</v>
      </c>
      <c r="AM33" s="77">
        <f t="shared" ca="1" si="40"/>
        <v>0</v>
      </c>
      <c r="AN33" s="90" t="str">
        <f t="shared" ca="1" si="41"/>
        <v/>
      </c>
      <c r="AO33" s="107" t="e">
        <f t="shared" ca="1" si="42"/>
        <v>#DIV/0!</v>
      </c>
      <c r="AP33" s="93" t="e">
        <f t="shared" ca="1" si="43"/>
        <v>#DIV/0!</v>
      </c>
      <c r="AQ33" s="222" t="e">
        <f t="shared" ca="1" si="44"/>
        <v>#DIV/0!</v>
      </c>
      <c r="AR33" s="223" t="e">
        <f t="shared" ca="1" si="45"/>
        <v>#DIV/0!</v>
      </c>
      <c r="AS33" s="223" t="e">
        <f t="shared" ca="1" si="46"/>
        <v>#DIV/0!</v>
      </c>
      <c r="AT33" s="223" t="e">
        <f t="shared" ca="1" si="47"/>
        <v>#DIV/0!</v>
      </c>
      <c r="AU33" s="223" t="e">
        <f t="shared" ca="1" si="60"/>
        <v>#DIV/0!</v>
      </c>
      <c r="AV33" s="222" t="e">
        <f t="shared" ca="1" si="48"/>
        <v>#DIV/0!</v>
      </c>
      <c r="AW33" s="222" t="e">
        <f t="shared" ca="1" si="49"/>
        <v>#DIV/0!</v>
      </c>
      <c r="AX33" s="222" t="e">
        <f t="shared" ca="1" si="61"/>
        <v>#DIV/0!</v>
      </c>
      <c r="AY33" s="223" t="e">
        <f t="shared" ca="1" si="50"/>
        <v>#DIV/0!</v>
      </c>
      <c r="AZ33" s="223" t="e">
        <f t="shared" ca="1" si="51"/>
        <v>#DIV/0!</v>
      </c>
      <c r="BB33" s="108" t="e">
        <f t="shared" ca="1" si="62"/>
        <v>#DIV/0!</v>
      </c>
      <c r="BC33" s="91" t="e">
        <f t="shared" ca="1" si="63"/>
        <v>#DIV/0!</v>
      </c>
      <c r="BD33" s="91" t="e">
        <f t="shared" ca="1" si="69"/>
        <v>#DIV/0!</v>
      </c>
      <c r="BE33" s="91" t="e">
        <f t="shared" ca="1" si="64"/>
        <v>#DIV/0!</v>
      </c>
      <c r="BF33" s="91" t="e">
        <f t="shared" ca="1" si="65"/>
        <v>#DIV/0!</v>
      </c>
      <c r="BG33" s="91" t="e">
        <f t="shared" ca="1" si="52"/>
        <v>#DIV/0!</v>
      </c>
      <c r="BH33" s="91">
        <f t="shared" ca="1" si="53"/>
        <v>-99</v>
      </c>
      <c r="BI33" s="109">
        <f t="shared" si="70"/>
        <v>0</v>
      </c>
      <c r="BJ33" s="91" t="e">
        <f t="shared" ca="1" si="54"/>
        <v>#DIV/0!</v>
      </c>
      <c r="BL33" s="111" t="e">
        <f t="shared" ca="1" si="6"/>
        <v>#DIV/0!</v>
      </c>
      <c r="BM33" s="112" t="e">
        <f t="shared" ca="1" si="7"/>
        <v>#DIV/0!</v>
      </c>
      <c r="BN33" s="112" t="e">
        <f t="shared" ca="1" si="8"/>
        <v>#DIV/0!</v>
      </c>
      <c r="BO33" s="113" t="e">
        <f t="shared" ca="1" si="55"/>
        <v>#DIV/0!</v>
      </c>
      <c r="BP33" s="114">
        <f t="shared" ca="1" si="56"/>
        <v>-99</v>
      </c>
      <c r="BQ33" s="115" t="e">
        <f t="shared" ca="1" si="9"/>
        <v>#DIV/0!</v>
      </c>
      <c r="BR33" s="112" t="e">
        <f t="shared" ca="1" si="10"/>
        <v>#DIV/0!</v>
      </c>
      <c r="BS33" s="112" t="e">
        <f t="shared" ca="1" si="11"/>
        <v>#DIV/0!</v>
      </c>
      <c r="BT33" s="113" t="e">
        <f t="shared" ca="1" si="66"/>
        <v>#DIV/0!</v>
      </c>
      <c r="BU33" s="114">
        <f t="shared" ca="1" si="57"/>
        <v>-99</v>
      </c>
      <c r="BV33" s="115" t="e">
        <f t="shared" ca="1" si="13"/>
        <v>#DIV/0!</v>
      </c>
      <c r="BW33" s="112" t="e">
        <f t="shared" ca="1" si="14"/>
        <v>#DIV/0!</v>
      </c>
      <c r="BX33" s="112" t="e">
        <f t="shared" ca="1" si="15"/>
        <v>#DIV/0!</v>
      </c>
      <c r="BY33" s="113" t="e">
        <f t="shared" ca="1" si="67"/>
        <v>#DIV/0!</v>
      </c>
      <c r="BZ33" s="114">
        <f t="shared" ca="1" si="58"/>
        <v>-99</v>
      </c>
      <c r="CA33" s="115" t="e">
        <f t="shared" ca="1" si="17"/>
        <v>#DIV/0!</v>
      </c>
      <c r="CB33" s="112" t="e">
        <f t="shared" ca="1" si="18"/>
        <v>#DIV/0!</v>
      </c>
      <c r="CC33" s="112" t="e">
        <f t="shared" ca="1" si="19"/>
        <v>#DIV/0!</v>
      </c>
      <c r="CD33" s="113" t="e">
        <f t="shared" ca="1" si="68"/>
        <v>#DIV/0!</v>
      </c>
      <c r="CE33" s="114">
        <f t="shared" ca="1" si="59"/>
        <v>-99</v>
      </c>
    </row>
    <row r="34" spans="1:83">
      <c r="A34" s="32"/>
      <c r="B34" s="33"/>
      <c r="C34" s="27"/>
      <c r="D34" s="122"/>
      <c r="E34" s="28"/>
      <c r="F34" s="27"/>
      <c r="G34" s="26"/>
      <c r="H34" s="26"/>
      <c r="I34" s="205"/>
      <c r="J34" s="205"/>
      <c r="K34" s="209"/>
      <c r="L34" s="207"/>
      <c r="M34" s="205"/>
      <c r="N34" s="214"/>
      <c r="O34" s="214"/>
      <c r="P34" s="218"/>
      <c r="Q34" s="218"/>
      <c r="R34" s="210"/>
      <c r="S34" s="37"/>
      <c r="T34" s="89" t="str">
        <f t="shared" ca="1" si="21"/>
        <v/>
      </c>
      <c r="U34" s="89">
        <f t="shared" ca="1" si="22"/>
        <v>0</v>
      </c>
      <c r="V34" s="89">
        <f t="shared" ca="1" si="23"/>
        <v>0</v>
      </c>
      <c r="W34" s="89">
        <f t="shared" ca="1" si="24"/>
        <v>0</v>
      </c>
      <c r="X34" s="89">
        <f t="shared" ca="1" si="25"/>
        <v>0</v>
      </c>
      <c r="Y34" s="89">
        <f t="shared" ca="1" si="26"/>
        <v>0</v>
      </c>
      <c r="Z34" s="89">
        <f t="shared" ca="1" si="27"/>
        <v>0</v>
      </c>
      <c r="AA34" s="89">
        <f t="shared" ca="1" si="28"/>
        <v>0</v>
      </c>
      <c r="AB34" s="89">
        <f t="shared" ca="1" si="29"/>
        <v>0</v>
      </c>
      <c r="AC34" s="89">
        <f t="shared" ca="1" si="30"/>
        <v>0</v>
      </c>
      <c r="AD34" s="89">
        <f t="shared" ca="1" si="31"/>
        <v>0</v>
      </c>
      <c r="AE34" s="89">
        <f t="shared" ca="1" si="32"/>
        <v>0</v>
      </c>
      <c r="AF34" s="89">
        <f t="shared" ca="1" si="33"/>
        <v>0</v>
      </c>
      <c r="AG34" s="89">
        <f t="shared" ca="1" si="34"/>
        <v>0</v>
      </c>
      <c r="AH34" s="89">
        <f t="shared" ca="1" si="35"/>
        <v>0</v>
      </c>
      <c r="AI34" s="75">
        <f t="shared" ca="1" si="36"/>
        <v>0</v>
      </c>
      <c r="AJ34" s="76">
        <f t="shared" ca="1" si="37"/>
        <v>0</v>
      </c>
      <c r="AK34" s="76">
        <f t="shared" ca="1" si="38"/>
        <v>0</v>
      </c>
      <c r="AL34" s="77">
        <f t="shared" ca="1" si="39"/>
        <v>0</v>
      </c>
      <c r="AM34" s="77">
        <f t="shared" ca="1" si="40"/>
        <v>0</v>
      </c>
      <c r="AN34" s="90" t="str">
        <f t="shared" ca="1" si="41"/>
        <v/>
      </c>
      <c r="AO34" s="107" t="e">
        <f t="shared" ca="1" si="42"/>
        <v>#DIV/0!</v>
      </c>
      <c r="AP34" s="93" t="e">
        <f t="shared" ca="1" si="43"/>
        <v>#DIV/0!</v>
      </c>
      <c r="AQ34" s="222" t="e">
        <f t="shared" ca="1" si="44"/>
        <v>#DIV/0!</v>
      </c>
      <c r="AR34" s="223" t="e">
        <f t="shared" ca="1" si="45"/>
        <v>#DIV/0!</v>
      </c>
      <c r="AS34" s="223" t="e">
        <f t="shared" ca="1" si="46"/>
        <v>#DIV/0!</v>
      </c>
      <c r="AT34" s="223" t="e">
        <f t="shared" ca="1" si="47"/>
        <v>#DIV/0!</v>
      </c>
      <c r="AU34" s="223" t="e">
        <f t="shared" ca="1" si="60"/>
        <v>#DIV/0!</v>
      </c>
      <c r="AV34" s="222" t="e">
        <f t="shared" ca="1" si="48"/>
        <v>#DIV/0!</v>
      </c>
      <c r="AW34" s="222" t="e">
        <f t="shared" ca="1" si="49"/>
        <v>#DIV/0!</v>
      </c>
      <c r="AX34" s="222" t="e">
        <f t="shared" ca="1" si="61"/>
        <v>#DIV/0!</v>
      </c>
      <c r="AY34" s="223" t="e">
        <f t="shared" ca="1" si="50"/>
        <v>#DIV/0!</v>
      </c>
      <c r="AZ34" s="223" t="e">
        <f t="shared" ca="1" si="51"/>
        <v>#DIV/0!</v>
      </c>
      <c r="BB34" s="108" t="e">
        <f t="shared" ca="1" si="62"/>
        <v>#DIV/0!</v>
      </c>
      <c r="BC34" s="91" t="e">
        <f t="shared" ca="1" si="63"/>
        <v>#DIV/0!</v>
      </c>
      <c r="BD34" s="91" t="e">
        <f t="shared" ca="1" si="69"/>
        <v>#DIV/0!</v>
      </c>
      <c r="BE34" s="91" t="e">
        <f t="shared" ca="1" si="64"/>
        <v>#DIV/0!</v>
      </c>
      <c r="BF34" s="91" t="e">
        <f t="shared" ca="1" si="65"/>
        <v>#DIV/0!</v>
      </c>
      <c r="BG34" s="91" t="e">
        <f t="shared" ca="1" si="52"/>
        <v>#DIV/0!</v>
      </c>
      <c r="BH34" s="91">
        <f t="shared" ca="1" si="53"/>
        <v>-99</v>
      </c>
      <c r="BI34" s="109">
        <f t="shared" si="70"/>
        <v>0</v>
      </c>
      <c r="BJ34" s="91" t="e">
        <f t="shared" ca="1" si="54"/>
        <v>#DIV/0!</v>
      </c>
      <c r="BL34" s="111" t="e">
        <f t="shared" ca="1" si="6"/>
        <v>#DIV/0!</v>
      </c>
      <c r="BM34" s="112" t="e">
        <f t="shared" ca="1" si="7"/>
        <v>#DIV/0!</v>
      </c>
      <c r="BN34" s="112" t="e">
        <f t="shared" ca="1" si="8"/>
        <v>#DIV/0!</v>
      </c>
      <c r="BO34" s="113" t="e">
        <f t="shared" ca="1" si="55"/>
        <v>#DIV/0!</v>
      </c>
      <c r="BP34" s="114">
        <f t="shared" ca="1" si="56"/>
        <v>-99</v>
      </c>
      <c r="BQ34" s="115" t="e">
        <f t="shared" ca="1" si="9"/>
        <v>#DIV/0!</v>
      </c>
      <c r="BR34" s="112" t="e">
        <f t="shared" ca="1" si="10"/>
        <v>#DIV/0!</v>
      </c>
      <c r="BS34" s="112" t="e">
        <f t="shared" ca="1" si="11"/>
        <v>#DIV/0!</v>
      </c>
      <c r="BT34" s="113" t="e">
        <f t="shared" ca="1" si="66"/>
        <v>#DIV/0!</v>
      </c>
      <c r="BU34" s="114">
        <f t="shared" ca="1" si="57"/>
        <v>-99</v>
      </c>
      <c r="BV34" s="115" t="e">
        <f t="shared" ca="1" si="13"/>
        <v>#DIV/0!</v>
      </c>
      <c r="BW34" s="112" t="e">
        <f t="shared" ca="1" si="14"/>
        <v>#DIV/0!</v>
      </c>
      <c r="BX34" s="112" t="e">
        <f t="shared" ca="1" si="15"/>
        <v>#DIV/0!</v>
      </c>
      <c r="BY34" s="113" t="e">
        <f t="shared" ca="1" si="67"/>
        <v>#DIV/0!</v>
      </c>
      <c r="BZ34" s="114">
        <f t="shared" ca="1" si="58"/>
        <v>-99</v>
      </c>
      <c r="CA34" s="115" t="e">
        <f t="shared" ca="1" si="17"/>
        <v>#DIV/0!</v>
      </c>
      <c r="CB34" s="112" t="e">
        <f t="shared" ca="1" si="18"/>
        <v>#DIV/0!</v>
      </c>
      <c r="CC34" s="112" t="e">
        <f t="shared" ca="1" si="19"/>
        <v>#DIV/0!</v>
      </c>
      <c r="CD34" s="113" t="e">
        <f t="shared" ca="1" si="68"/>
        <v>#DIV/0!</v>
      </c>
      <c r="CE34" s="114">
        <f t="shared" ca="1" si="59"/>
        <v>-99</v>
      </c>
    </row>
    <row r="35" spans="1:83">
      <c r="A35" s="23"/>
      <c r="B35" s="24"/>
      <c r="C35" s="24"/>
      <c r="D35" s="122"/>
      <c r="E35" s="227"/>
      <c r="F35" s="27"/>
      <c r="G35" s="26"/>
      <c r="H35" s="26"/>
      <c r="I35" s="205"/>
      <c r="J35" s="205"/>
      <c r="K35" s="209"/>
      <c r="L35" s="207"/>
      <c r="M35" s="205"/>
      <c r="N35" s="214"/>
      <c r="O35" s="214"/>
      <c r="P35" s="218"/>
      <c r="Q35" s="218"/>
      <c r="R35" s="210"/>
      <c r="S35" s="37"/>
      <c r="T35" s="89" t="str">
        <f t="shared" ca="1" si="21"/>
        <v/>
      </c>
      <c r="U35" s="89">
        <f t="shared" ca="1" si="22"/>
        <v>0</v>
      </c>
      <c r="V35" s="89">
        <f t="shared" ca="1" si="23"/>
        <v>0</v>
      </c>
      <c r="W35" s="89">
        <f t="shared" ca="1" si="24"/>
        <v>0</v>
      </c>
      <c r="X35" s="89">
        <f t="shared" ca="1" si="25"/>
        <v>0</v>
      </c>
      <c r="Y35" s="89">
        <f t="shared" ca="1" si="26"/>
        <v>0</v>
      </c>
      <c r="Z35" s="89">
        <f t="shared" ca="1" si="27"/>
        <v>0</v>
      </c>
      <c r="AA35" s="89">
        <f t="shared" ca="1" si="28"/>
        <v>0</v>
      </c>
      <c r="AB35" s="89">
        <f t="shared" ca="1" si="29"/>
        <v>0</v>
      </c>
      <c r="AC35" s="89">
        <f t="shared" ca="1" si="30"/>
        <v>0</v>
      </c>
      <c r="AD35" s="89">
        <f t="shared" ca="1" si="31"/>
        <v>0</v>
      </c>
      <c r="AE35" s="89">
        <f t="shared" ca="1" si="32"/>
        <v>0</v>
      </c>
      <c r="AF35" s="89">
        <f t="shared" ca="1" si="33"/>
        <v>0</v>
      </c>
      <c r="AG35" s="89">
        <f t="shared" ca="1" si="34"/>
        <v>0</v>
      </c>
      <c r="AH35" s="89">
        <f t="shared" ca="1" si="35"/>
        <v>0</v>
      </c>
      <c r="AI35" s="75">
        <f t="shared" ca="1" si="36"/>
        <v>0</v>
      </c>
      <c r="AJ35" s="76">
        <f t="shared" ca="1" si="37"/>
        <v>0</v>
      </c>
      <c r="AK35" s="76">
        <f t="shared" ca="1" si="38"/>
        <v>0</v>
      </c>
      <c r="AL35" s="77">
        <f t="shared" ca="1" si="39"/>
        <v>0</v>
      </c>
      <c r="AM35" s="77">
        <f t="shared" ca="1" si="40"/>
        <v>0</v>
      </c>
      <c r="AN35" s="90" t="str">
        <f t="shared" ca="1" si="41"/>
        <v/>
      </c>
      <c r="AO35" s="107" t="e">
        <f t="shared" ca="1" si="42"/>
        <v>#DIV/0!</v>
      </c>
      <c r="AP35" s="93" t="e">
        <f t="shared" ca="1" si="43"/>
        <v>#DIV/0!</v>
      </c>
      <c r="AQ35" s="222" t="e">
        <f t="shared" ca="1" si="44"/>
        <v>#DIV/0!</v>
      </c>
      <c r="AR35" s="223" t="e">
        <f t="shared" ca="1" si="45"/>
        <v>#DIV/0!</v>
      </c>
      <c r="AS35" s="223" t="e">
        <f t="shared" ca="1" si="46"/>
        <v>#DIV/0!</v>
      </c>
      <c r="AT35" s="223" t="e">
        <f t="shared" ca="1" si="47"/>
        <v>#DIV/0!</v>
      </c>
      <c r="AU35" s="223" t="e">
        <f t="shared" ca="1" si="60"/>
        <v>#DIV/0!</v>
      </c>
      <c r="AV35" s="222" t="e">
        <f t="shared" ca="1" si="48"/>
        <v>#DIV/0!</v>
      </c>
      <c r="AW35" s="222" t="e">
        <f t="shared" ca="1" si="49"/>
        <v>#DIV/0!</v>
      </c>
      <c r="AX35" s="222" t="e">
        <f t="shared" ca="1" si="61"/>
        <v>#DIV/0!</v>
      </c>
      <c r="AY35" s="223" t="e">
        <f t="shared" ca="1" si="50"/>
        <v>#DIV/0!</v>
      </c>
      <c r="AZ35" s="223" t="e">
        <f t="shared" ca="1" si="51"/>
        <v>#DIV/0!</v>
      </c>
      <c r="BB35" s="108" t="e">
        <f t="shared" ca="1" si="62"/>
        <v>#DIV/0!</v>
      </c>
      <c r="BC35" s="91" t="e">
        <f t="shared" ca="1" si="63"/>
        <v>#DIV/0!</v>
      </c>
      <c r="BD35" s="91" t="e">
        <f t="shared" ca="1" si="69"/>
        <v>#DIV/0!</v>
      </c>
      <c r="BE35" s="91" t="e">
        <f t="shared" ca="1" si="64"/>
        <v>#DIV/0!</v>
      </c>
      <c r="BF35" s="91" t="e">
        <f t="shared" ca="1" si="65"/>
        <v>#DIV/0!</v>
      </c>
      <c r="BG35" s="91" t="e">
        <f t="shared" ca="1" si="52"/>
        <v>#DIV/0!</v>
      </c>
      <c r="BH35" s="91">
        <f t="shared" ca="1" si="53"/>
        <v>-99</v>
      </c>
      <c r="BI35" s="109">
        <f t="shared" si="70"/>
        <v>0</v>
      </c>
      <c r="BJ35" s="91" t="e">
        <f t="shared" ca="1" si="54"/>
        <v>#DIV/0!</v>
      </c>
      <c r="BL35" s="111" t="e">
        <f t="shared" ca="1" si="6"/>
        <v>#DIV/0!</v>
      </c>
      <c r="BM35" s="112" t="e">
        <f t="shared" ca="1" si="7"/>
        <v>#DIV/0!</v>
      </c>
      <c r="BN35" s="112" t="e">
        <f t="shared" ca="1" si="8"/>
        <v>#DIV/0!</v>
      </c>
      <c r="BO35" s="113" t="e">
        <f t="shared" ca="1" si="55"/>
        <v>#DIV/0!</v>
      </c>
      <c r="BP35" s="114">
        <f t="shared" ca="1" si="56"/>
        <v>-99</v>
      </c>
      <c r="BQ35" s="115" t="e">
        <f t="shared" ca="1" si="9"/>
        <v>#DIV/0!</v>
      </c>
      <c r="BR35" s="112" t="e">
        <f t="shared" ca="1" si="10"/>
        <v>#DIV/0!</v>
      </c>
      <c r="BS35" s="112" t="e">
        <f t="shared" ca="1" si="11"/>
        <v>#DIV/0!</v>
      </c>
      <c r="BT35" s="113" t="e">
        <f t="shared" ca="1" si="66"/>
        <v>#DIV/0!</v>
      </c>
      <c r="BU35" s="114">
        <f t="shared" ca="1" si="57"/>
        <v>-99</v>
      </c>
      <c r="BV35" s="115" t="e">
        <f t="shared" ca="1" si="13"/>
        <v>#DIV/0!</v>
      </c>
      <c r="BW35" s="112" t="e">
        <f t="shared" ca="1" si="14"/>
        <v>#DIV/0!</v>
      </c>
      <c r="BX35" s="112" t="e">
        <f t="shared" ca="1" si="15"/>
        <v>#DIV/0!</v>
      </c>
      <c r="BY35" s="113" t="e">
        <f t="shared" ca="1" si="67"/>
        <v>#DIV/0!</v>
      </c>
      <c r="BZ35" s="114">
        <f t="shared" ca="1" si="58"/>
        <v>-99</v>
      </c>
      <c r="CA35" s="115" t="e">
        <f t="shared" ca="1" si="17"/>
        <v>#DIV/0!</v>
      </c>
      <c r="CB35" s="112" t="e">
        <f t="shared" ca="1" si="18"/>
        <v>#DIV/0!</v>
      </c>
      <c r="CC35" s="112" t="e">
        <f t="shared" ca="1" si="19"/>
        <v>#DIV/0!</v>
      </c>
      <c r="CD35" s="113" t="e">
        <f t="shared" ca="1" si="68"/>
        <v>#DIV/0!</v>
      </c>
      <c r="CE35" s="114">
        <f t="shared" ca="1" si="59"/>
        <v>-99</v>
      </c>
    </row>
    <row r="36" spans="1:83">
      <c r="A36" s="23"/>
      <c r="B36" s="24"/>
      <c r="C36" s="24"/>
      <c r="D36" s="122"/>
      <c r="E36" s="227"/>
      <c r="F36" s="25"/>
      <c r="G36" s="26"/>
      <c r="H36" s="26"/>
      <c r="I36" s="205"/>
      <c r="J36" s="205"/>
      <c r="K36" s="209"/>
      <c r="L36" s="207"/>
      <c r="M36" s="205"/>
      <c r="N36" s="214"/>
      <c r="O36" s="214"/>
      <c r="P36" s="218"/>
      <c r="Q36" s="218"/>
      <c r="R36" s="210"/>
      <c r="S36" s="37"/>
      <c r="T36" s="89" t="str">
        <f t="shared" ca="1" si="21"/>
        <v/>
      </c>
      <c r="U36" s="89">
        <f t="shared" ca="1" si="22"/>
        <v>0</v>
      </c>
      <c r="V36" s="89">
        <f t="shared" ca="1" si="23"/>
        <v>0</v>
      </c>
      <c r="W36" s="89">
        <f t="shared" ca="1" si="24"/>
        <v>0</v>
      </c>
      <c r="X36" s="89">
        <f t="shared" ca="1" si="25"/>
        <v>0</v>
      </c>
      <c r="Y36" s="89">
        <f t="shared" ca="1" si="26"/>
        <v>0</v>
      </c>
      <c r="Z36" s="89">
        <f t="shared" ca="1" si="27"/>
        <v>0</v>
      </c>
      <c r="AA36" s="89">
        <f t="shared" ca="1" si="28"/>
        <v>0</v>
      </c>
      <c r="AB36" s="89">
        <f t="shared" ca="1" si="29"/>
        <v>0</v>
      </c>
      <c r="AC36" s="89">
        <f t="shared" ca="1" si="30"/>
        <v>0</v>
      </c>
      <c r="AD36" s="89">
        <f t="shared" ca="1" si="31"/>
        <v>0</v>
      </c>
      <c r="AE36" s="89">
        <f t="shared" ca="1" si="32"/>
        <v>0</v>
      </c>
      <c r="AF36" s="89">
        <f t="shared" ca="1" si="33"/>
        <v>0</v>
      </c>
      <c r="AG36" s="89">
        <f t="shared" ca="1" si="34"/>
        <v>0</v>
      </c>
      <c r="AH36" s="89">
        <f t="shared" ca="1" si="35"/>
        <v>0</v>
      </c>
      <c r="AI36" s="75">
        <f t="shared" ca="1" si="36"/>
        <v>0</v>
      </c>
      <c r="AJ36" s="76">
        <f t="shared" ca="1" si="37"/>
        <v>0</v>
      </c>
      <c r="AK36" s="76">
        <f t="shared" ca="1" si="38"/>
        <v>0</v>
      </c>
      <c r="AL36" s="77">
        <f t="shared" ca="1" si="39"/>
        <v>0</v>
      </c>
      <c r="AM36" s="77">
        <f t="shared" ca="1" si="40"/>
        <v>0</v>
      </c>
      <c r="AN36" s="90" t="str">
        <f t="shared" ca="1" si="41"/>
        <v/>
      </c>
      <c r="AO36" s="107" t="e">
        <f t="shared" ca="1" si="42"/>
        <v>#DIV/0!</v>
      </c>
      <c r="AP36" s="93" t="e">
        <f t="shared" ca="1" si="43"/>
        <v>#DIV/0!</v>
      </c>
      <c r="AQ36" s="222" t="e">
        <f t="shared" ca="1" si="44"/>
        <v>#DIV/0!</v>
      </c>
      <c r="AR36" s="223" t="e">
        <f t="shared" ca="1" si="45"/>
        <v>#DIV/0!</v>
      </c>
      <c r="AS36" s="223" t="e">
        <f t="shared" ca="1" si="46"/>
        <v>#DIV/0!</v>
      </c>
      <c r="AT36" s="223" t="e">
        <f t="shared" ca="1" si="47"/>
        <v>#DIV/0!</v>
      </c>
      <c r="AU36" s="223" t="e">
        <f t="shared" ca="1" si="60"/>
        <v>#DIV/0!</v>
      </c>
      <c r="AV36" s="222" t="e">
        <f t="shared" ca="1" si="48"/>
        <v>#DIV/0!</v>
      </c>
      <c r="AW36" s="222" t="e">
        <f t="shared" ca="1" si="49"/>
        <v>#DIV/0!</v>
      </c>
      <c r="AX36" s="222" t="e">
        <f t="shared" ca="1" si="61"/>
        <v>#DIV/0!</v>
      </c>
      <c r="AY36" s="223" t="e">
        <f t="shared" ca="1" si="50"/>
        <v>#DIV/0!</v>
      </c>
      <c r="AZ36" s="223" t="e">
        <f t="shared" ca="1" si="51"/>
        <v>#DIV/0!</v>
      </c>
      <c r="BB36" s="108" t="e">
        <f t="shared" ca="1" si="62"/>
        <v>#DIV/0!</v>
      </c>
      <c r="BC36" s="91" t="e">
        <f t="shared" ca="1" si="63"/>
        <v>#DIV/0!</v>
      </c>
      <c r="BD36" s="91" t="e">
        <f t="shared" ca="1" si="69"/>
        <v>#DIV/0!</v>
      </c>
      <c r="BE36" s="91" t="e">
        <f t="shared" ca="1" si="64"/>
        <v>#DIV/0!</v>
      </c>
      <c r="BF36" s="91" t="e">
        <f t="shared" ca="1" si="65"/>
        <v>#DIV/0!</v>
      </c>
      <c r="BG36" s="91" t="e">
        <f t="shared" ca="1" si="52"/>
        <v>#DIV/0!</v>
      </c>
      <c r="BH36" s="91">
        <f t="shared" ca="1" si="53"/>
        <v>-99</v>
      </c>
      <c r="BI36" s="109">
        <f t="shared" si="70"/>
        <v>0</v>
      </c>
      <c r="BJ36" s="91" t="e">
        <f t="shared" ca="1" si="54"/>
        <v>#DIV/0!</v>
      </c>
      <c r="BL36" s="111" t="e">
        <f t="shared" ca="1" si="6"/>
        <v>#DIV/0!</v>
      </c>
      <c r="BM36" s="112" t="e">
        <f t="shared" ca="1" si="7"/>
        <v>#DIV/0!</v>
      </c>
      <c r="BN36" s="112" t="e">
        <f t="shared" ca="1" si="8"/>
        <v>#DIV/0!</v>
      </c>
      <c r="BO36" s="113" t="e">
        <f t="shared" ca="1" si="55"/>
        <v>#DIV/0!</v>
      </c>
      <c r="BP36" s="114">
        <f t="shared" ca="1" si="56"/>
        <v>-99</v>
      </c>
      <c r="BQ36" s="115" t="e">
        <f t="shared" ca="1" si="9"/>
        <v>#DIV/0!</v>
      </c>
      <c r="BR36" s="112" t="e">
        <f t="shared" ca="1" si="10"/>
        <v>#DIV/0!</v>
      </c>
      <c r="BS36" s="112" t="e">
        <f t="shared" ca="1" si="11"/>
        <v>#DIV/0!</v>
      </c>
      <c r="BT36" s="113" t="e">
        <f t="shared" ca="1" si="66"/>
        <v>#DIV/0!</v>
      </c>
      <c r="BU36" s="114">
        <f t="shared" ca="1" si="57"/>
        <v>-99</v>
      </c>
      <c r="BV36" s="115" t="e">
        <f t="shared" ca="1" si="13"/>
        <v>#DIV/0!</v>
      </c>
      <c r="BW36" s="112" t="e">
        <f t="shared" ca="1" si="14"/>
        <v>#DIV/0!</v>
      </c>
      <c r="BX36" s="112" t="e">
        <f t="shared" ca="1" si="15"/>
        <v>#DIV/0!</v>
      </c>
      <c r="BY36" s="113" t="e">
        <f t="shared" ca="1" si="67"/>
        <v>#DIV/0!</v>
      </c>
      <c r="BZ36" s="114">
        <f t="shared" ca="1" si="58"/>
        <v>-99</v>
      </c>
      <c r="CA36" s="115" t="e">
        <f t="shared" ca="1" si="17"/>
        <v>#DIV/0!</v>
      </c>
      <c r="CB36" s="112" t="e">
        <f t="shared" ca="1" si="18"/>
        <v>#DIV/0!</v>
      </c>
      <c r="CC36" s="112" t="e">
        <f t="shared" ca="1" si="19"/>
        <v>#DIV/0!</v>
      </c>
      <c r="CD36" s="113" t="e">
        <f t="shared" ca="1" si="68"/>
        <v>#DIV/0!</v>
      </c>
      <c r="CE36" s="114">
        <f t="shared" ca="1" si="59"/>
        <v>-99</v>
      </c>
    </row>
    <row r="37" spans="1:83">
      <c r="A37" s="23"/>
      <c r="B37" s="24"/>
      <c r="C37" s="24"/>
      <c r="D37" s="122"/>
      <c r="E37" s="227"/>
      <c r="F37" s="25"/>
      <c r="G37" s="26"/>
      <c r="H37" s="26"/>
      <c r="I37" s="205"/>
      <c r="J37" s="205"/>
      <c r="K37" s="209"/>
      <c r="L37" s="207"/>
      <c r="M37" s="205"/>
      <c r="N37" s="214"/>
      <c r="O37" s="214"/>
      <c r="P37" s="218"/>
      <c r="Q37" s="211"/>
      <c r="R37" s="210"/>
      <c r="S37" s="37"/>
      <c r="T37" s="89" t="str">
        <f t="shared" ca="1" si="21"/>
        <v/>
      </c>
      <c r="U37" s="89">
        <f t="shared" ca="1" si="22"/>
        <v>0</v>
      </c>
      <c r="V37" s="89">
        <f t="shared" ca="1" si="23"/>
        <v>0</v>
      </c>
      <c r="W37" s="89">
        <f t="shared" ca="1" si="24"/>
        <v>0</v>
      </c>
      <c r="X37" s="89">
        <f t="shared" ca="1" si="25"/>
        <v>0</v>
      </c>
      <c r="Y37" s="89">
        <f t="shared" ca="1" si="26"/>
        <v>0</v>
      </c>
      <c r="Z37" s="89">
        <f t="shared" ca="1" si="27"/>
        <v>0</v>
      </c>
      <c r="AA37" s="89">
        <f t="shared" ca="1" si="28"/>
        <v>0</v>
      </c>
      <c r="AB37" s="89">
        <f t="shared" ca="1" si="29"/>
        <v>0</v>
      </c>
      <c r="AC37" s="89">
        <f t="shared" ca="1" si="30"/>
        <v>0</v>
      </c>
      <c r="AD37" s="89">
        <f t="shared" ca="1" si="31"/>
        <v>0</v>
      </c>
      <c r="AE37" s="89">
        <f t="shared" ca="1" si="32"/>
        <v>0</v>
      </c>
      <c r="AF37" s="89">
        <f t="shared" ca="1" si="33"/>
        <v>0</v>
      </c>
      <c r="AG37" s="89">
        <f t="shared" ca="1" si="34"/>
        <v>0</v>
      </c>
      <c r="AH37" s="89">
        <f t="shared" ca="1" si="35"/>
        <v>0</v>
      </c>
      <c r="AI37" s="75">
        <f t="shared" ca="1" si="36"/>
        <v>0</v>
      </c>
      <c r="AJ37" s="76">
        <f t="shared" ca="1" si="37"/>
        <v>0</v>
      </c>
      <c r="AK37" s="76">
        <f t="shared" ca="1" si="38"/>
        <v>0</v>
      </c>
      <c r="AL37" s="77">
        <f t="shared" ca="1" si="39"/>
        <v>0</v>
      </c>
      <c r="AM37" s="77">
        <f t="shared" ca="1" si="40"/>
        <v>0</v>
      </c>
      <c r="AN37" s="90" t="str">
        <f t="shared" ca="1" si="41"/>
        <v/>
      </c>
      <c r="AO37" s="107" t="e">
        <f t="shared" ca="1" si="42"/>
        <v>#DIV/0!</v>
      </c>
      <c r="AP37" s="93" t="e">
        <f t="shared" ca="1" si="43"/>
        <v>#DIV/0!</v>
      </c>
      <c r="AQ37" s="222" t="e">
        <f t="shared" ca="1" si="44"/>
        <v>#DIV/0!</v>
      </c>
      <c r="AR37" s="223" t="e">
        <f t="shared" ca="1" si="45"/>
        <v>#DIV/0!</v>
      </c>
      <c r="AS37" s="223" t="e">
        <f t="shared" ca="1" si="46"/>
        <v>#DIV/0!</v>
      </c>
      <c r="AT37" s="223" t="e">
        <f t="shared" ca="1" si="47"/>
        <v>#DIV/0!</v>
      </c>
      <c r="AU37" s="223" t="e">
        <f t="shared" ca="1" si="60"/>
        <v>#DIV/0!</v>
      </c>
      <c r="AV37" s="222" t="e">
        <f t="shared" ca="1" si="48"/>
        <v>#DIV/0!</v>
      </c>
      <c r="AW37" s="222" t="e">
        <f t="shared" ca="1" si="49"/>
        <v>#DIV/0!</v>
      </c>
      <c r="AX37" s="222" t="e">
        <f t="shared" ca="1" si="61"/>
        <v>#DIV/0!</v>
      </c>
      <c r="AY37" s="223" t="e">
        <f t="shared" ca="1" si="50"/>
        <v>#DIV/0!</v>
      </c>
      <c r="AZ37" s="223" t="e">
        <f t="shared" ca="1" si="51"/>
        <v>#DIV/0!</v>
      </c>
      <c r="BB37" s="108" t="e">
        <f t="shared" ca="1" si="62"/>
        <v>#DIV/0!</v>
      </c>
      <c r="BC37" s="91" t="e">
        <f t="shared" ca="1" si="63"/>
        <v>#DIV/0!</v>
      </c>
      <c r="BD37" s="91" t="e">
        <f t="shared" ca="1" si="69"/>
        <v>#DIV/0!</v>
      </c>
      <c r="BE37" s="91" t="e">
        <f t="shared" ca="1" si="64"/>
        <v>#DIV/0!</v>
      </c>
      <c r="BF37" s="91" t="e">
        <f t="shared" ca="1" si="65"/>
        <v>#DIV/0!</v>
      </c>
      <c r="BG37" s="91" t="e">
        <f t="shared" ca="1" si="52"/>
        <v>#DIV/0!</v>
      </c>
      <c r="BH37" s="91">
        <f t="shared" ca="1" si="53"/>
        <v>-99</v>
      </c>
      <c r="BI37" s="109">
        <f t="shared" si="70"/>
        <v>0</v>
      </c>
      <c r="BJ37" s="91" t="e">
        <f t="shared" ca="1" si="54"/>
        <v>#DIV/0!</v>
      </c>
      <c r="BL37" s="111" t="e">
        <f t="shared" ca="1" si="6"/>
        <v>#DIV/0!</v>
      </c>
      <c r="BM37" s="112" t="e">
        <f t="shared" ca="1" si="7"/>
        <v>#DIV/0!</v>
      </c>
      <c r="BN37" s="112" t="e">
        <f t="shared" ca="1" si="8"/>
        <v>#DIV/0!</v>
      </c>
      <c r="BO37" s="113" t="e">
        <f t="shared" ca="1" si="55"/>
        <v>#DIV/0!</v>
      </c>
      <c r="BP37" s="114">
        <f t="shared" ca="1" si="56"/>
        <v>-99</v>
      </c>
      <c r="BQ37" s="115" t="e">
        <f t="shared" ca="1" si="9"/>
        <v>#DIV/0!</v>
      </c>
      <c r="BR37" s="112" t="e">
        <f t="shared" ca="1" si="10"/>
        <v>#DIV/0!</v>
      </c>
      <c r="BS37" s="112" t="e">
        <f t="shared" ca="1" si="11"/>
        <v>#DIV/0!</v>
      </c>
      <c r="BT37" s="113" t="e">
        <f t="shared" ca="1" si="66"/>
        <v>#DIV/0!</v>
      </c>
      <c r="BU37" s="114">
        <f t="shared" ca="1" si="57"/>
        <v>-99</v>
      </c>
      <c r="BV37" s="115" t="e">
        <f t="shared" ca="1" si="13"/>
        <v>#DIV/0!</v>
      </c>
      <c r="BW37" s="112" t="e">
        <f t="shared" ca="1" si="14"/>
        <v>#DIV/0!</v>
      </c>
      <c r="BX37" s="112" t="e">
        <f t="shared" ca="1" si="15"/>
        <v>#DIV/0!</v>
      </c>
      <c r="BY37" s="113" t="e">
        <f t="shared" ca="1" si="67"/>
        <v>#DIV/0!</v>
      </c>
      <c r="BZ37" s="114">
        <f t="shared" ca="1" si="58"/>
        <v>-99</v>
      </c>
      <c r="CA37" s="115" t="e">
        <f t="shared" ca="1" si="17"/>
        <v>#DIV/0!</v>
      </c>
      <c r="CB37" s="112" t="e">
        <f t="shared" ca="1" si="18"/>
        <v>#DIV/0!</v>
      </c>
      <c r="CC37" s="112" t="e">
        <f t="shared" ca="1" si="19"/>
        <v>#DIV/0!</v>
      </c>
      <c r="CD37" s="113" t="e">
        <f t="shared" ca="1" si="68"/>
        <v>#DIV/0!</v>
      </c>
      <c r="CE37" s="114">
        <f t="shared" ca="1" si="59"/>
        <v>-99</v>
      </c>
    </row>
    <row r="38" spans="1:83">
      <c r="A38" s="32"/>
      <c r="B38" s="33"/>
      <c r="C38" s="27"/>
      <c r="D38" s="122"/>
      <c r="E38" s="31"/>
      <c r="F38" s="25"/>
      <c r="G38" s="29"/>
      <c r="H38" s="29"/>
      <c r="I38" s="205"/>
      <c r="J38" s="205"/>
      <c r="K38" s="209"/>
      <c r="L38" s="207"/>
      <c r="M38" s="205"/>
      <c r="N38" s="214"/>
      <c r="O38" s="214"/>
      <c r="P38" s="218"/>
      <c r="Q38" s="211"/>
      <c r="R38" s="210"/>
      <c r="S38" s="36"/>
      <c r="T38" s="89" t="str">
        <f t="shared" ca="1" si="21"/>
        <v/>
      </c>
      <c r="U38" s="89">
        <f t="shared" ca="1" si="22"/>
        <v>0</v>
      </c>
      <c r="V38" s="89">
        <f t="shared" ca="1" si="23"/>
        <v>0</v>
      </c>
      <c r="W38" s="89">
        <f t="shared" ca="1" si="24"/>
        <v>0</v>
      </c>
      <c r="X38" s="89">
        <f t="shared" ca="1" si="25"/>
        <v>0</v>
      </c>
      <c r="Y38" s="89">
        <f t="shared" ca="1" si="26"/>
        <v>0</v>
      </c>
      <c r="Z38" s="89">
        <f t="shared" ca="1" si="27"/>
        <v>0</v>
      </c>
      <c r="AA38" s="89">
        <f t="shared" ca="1" si="28"/>
        <v>0</v>
      </c>
      <c r="AB38" s="89">
        <f t="shared" ca="1" si="29"/>
        <v>0</v>
      </c>
      <c r="AC38" s="89">
        <f t="shared" ca="1" si="30"/>
        <v>0</v>
      </c>
      <c r="AD38" s="89">
        <f t="shared" ca="1" si="31"/>
        <v>0</v>
      </c>
      <c r="AE38" s="89">
        <f t="shared" ca="1" si="32"/>
        <v>0</v>
      </c>
      <c r="AF38" s="89">
        <f t="shared" ca="1" si="33"/>
        <v>0</v>
      </c>
      <c r="AG38" s="89">
        <f t="shared" ca="1" si="34"/>
        <v>0</v>
      </c>
      <c r="AH38" s="89">
        <f t="shared" ca="1" si="35"/>
        <v>0</v>
      </c>
      <c r="AI38" s="75">
        <f t="shared" ca="1" si="36"/>
        <v>0</v>
      </c>
      <c r="AJ38" s="76">
        <f t="shared" ca="1" si="37"/>
        <v>0</v>
      </c>
      <c r="AK38" s="76">
        <f t="shared" ca="1" si="38"/>
        <v>0</v>
      </c>
      <c r="AL38" s="77">
        <f t="shared" ca="1" si="39"/>
        <v>0</v>
      </c>
      <c r="AM38" s="77">
        <f t="shared" ca="1" si="40"/>
        <v>0</v>
      </c>
      <c r="AN38" s="90" t="str">
        <f t="shared" ca="1" si="41"/>
        <v/>
      </c>
      <c r="AO38" s="107" t="e">
        <f t="shared" ca="1" si="42"/>
        <v>#DIV/0!</v>
      </c>
      <c r="AP38" s="93" t="e">
        <f t="shared" ca="1" si="43"/>
        <v>#DIV/0!</v>
      </c>
      <c r="AQ38" s="222" t="e">
        <f t="shared" ca="1" si="44"/>
        <v>#DIV/0!</v>
      </c>
      <c r="AR38" s="223" t="e">
        <f t="shared" ca="1" si="45"/>
        <v>#DIV/0!</v>
      </c>
      <c r="AS38" s="223" t="e">
        <f t="shared" ca="1" si="46"/>
        <v>#DIV/0!</v>
      </c>
      <c r="AT38" s="223" t="e">
        <f t="shared" ca="1" si="47"/>
        <v>#DIV/0!</v>
      </c>
      <c r="AU38" s="223" t="e">
        <f t="shared" ca="1" si="60"/>
        <v>#DIV/0!</v>
      </c>
      <c r="AV38" s="222" t="e">
        <f t="shared" ca="1" si="48"/>
        <v>#DIV/0!</v>
      </c>
      <c r="AW38" s="222" t="e">
        <f t="shared" ca="1" si="49"/>
        <v>#DIV/0!</v>
      </c>
      <c r="AX38" s="222" t="e">
        <f t="shared" ca="1" si="61"/>
        <v>#DIV/0!</v>
      </c>
      <c r="AY38" s="223" t="e">
        <f t="shared" ca="1" si="50"/>
        <v>#DIV/0!</v>
      </c>
      <c r="AZ38" s="223" t="e">
        <f t="shared" ca="1" si="51"/>
        <v>#DIV/0!</v>
      </c>
      <c r="BB38" s="108" t="e">
        <f t="shared" ca="1" si="62"/>
        <v>#DIV/0!</v>
      </c>
      <c r="BC38" s="91" t="e">
        <f t="shared" ca="1" si="63"/>
        <v>#DIV/0!</v>
      </c>
      <c r="BD38" s="91" t="e">
        <f t="shared" ca="1" si="69"/>
        <v>#DIV/0!</v>
      </c>
      <c r="BE38" s="91" t="e">
        <f t="shared" ca="1" si="64"/>
        <v>#DIV/0!</v>
      </c>
      <c r="BF38" s="91" t="e">
        <f t="shared" ca="1" si="65"/>
        <v>#DIV/0!</v>
      </c>
      <c r="BG38" s="91" t="e">
        <f t="shared" ca="1" si="52"/>
        <v>#DIV/0!</v>
      </c>
      <c r="BH38" s="91">
        <f t="shared" ca="1" si="53"/>
        <v>-99</v>
      </c>
      <c r="BI38" s="109">
        <f t="shared" si="70"/>
        <v>0</v>
      </c>
      <c r="BJ38" s="91" t="e">
        <f t="shared" ca="1" si="54"/>
        <v>#DIV/0!</v>
      </c>
      <c r="BL38" s="111" t="e">
        <f t="shared" ca="1" si="6"/>
        <v>#DIV/0!</v>
      </c>
      <c r="BM38" s="112" t="e">
        <f t="shared" ca="1" si="7"/>
        <v>#DIV/0!</v>
      </c>
      <c r="BN38" s="112" t="e">
        <f t="shared" ca="1" si="8"/>
        <v>#DIV/0!</v>
      </c>
      <c r="BO38" s="113" t="e">
        <f t="shared" ca="1" si="55"/>
        <v>#DIV/0!</v>
      </c>
      <c r="BP38" s="114">
        <f t="shared" ca="1" si="56"/>
        <v>-99</v>
      </c>
      <c r="BQ38" s="115" t="e">
        <f t="shared" ca="1" si="9"/>
        <v>#DIV/0!</v>
      </c>
      <c r="BR38" s="112" t="e">
        <f t="shared" ca="1" si="10"/>
        <v>#DIV/0!</v>
      </c>
      <c r="BS38" s="112" t="e">
        <f t="shared" ca="1" si="11"/>
        <v>#DIV/0!</v>
      </c>
      <c r="BT38" s="113" t="e">
        <f t="shared" ca="1" si="66"/>
        <v>#DIV/0!</v>
      </c>
      <c r="BU38" s="114">
        <f t="shared" ca="1" si="57"/>
        <v>-99</v>
      </c>
      <c r="BV38" s="115" t="e">
        <f t="shared" ca="1" si="13"/>
        <v>#DIV/0!</v>
      </c>
      <c r="BW38" s="112" t="e">
        <f t="shared" ca="1" si="14"/>
        <v>#DIV/0!</v>
      </c>
      <c r="BX38" s="112" t="e">
        <f t="shared" ca="1" si="15"/>
        <v>#DIV/0!</v>
      </c>
      <c r="BY38" s="113" t="e">
        <f t="shared" ca="1" si="67"/>
        <v>#DIV/0!</v>
      </c>
      <c r="BZ38" s="114">
        <f t="shared" ca="1" si="58"/>
        <v>-99</v>
      </c>
      <c r="CA38" s="115" t="e">
        <f t="shared" ca="1" si="17"/>
        <v>#DIV/0!</v>
      </c>
      <c r="CB38" s="112" t="e">
        <f t="shared" ca="1" si="18"/>
        <v>#DIV/0!</v>
      </c>
      <c r="CC38" s="112" t="e">
        <f t="shared" ca="1" si="19"/>
        <v>#DIV/0!</v>
      </c>
      <c r="CD38" s="113" t="e">
        <f t="shared" ca="1" si="68"/>
        <v>#DIV/0!</v>
      </c>
      <c r="CE38" s="114">
        <f t="shared" ca="1" si="59"/>
        <v>-99</v>
      </c>
    </row>
    <row r="39" spans="1:83">
      <c r="A39" s="32"/>
      <c r="B39" s="33"/>
      <c r="C39" s="27"/>
      <c r="D39" s="122"/>
      <c r="E39" s="31"/>
      <c r="F39" s="25"/>
      <c r="G39" s="29"/>
      <c r="H39" s="29"/>
      <c r="I39" s="34"/>
      <c r="J39" s="34"/>
      <c r="K39" s="35"/>
      <c r="L39" s="34"/>
      <c r="M39" s="34"/>
      <c r="N39" s="215"/>
      <c r="O39" s="35"/>
      <c r="P39" s="212"/>
      <c r="Q39" s="212"/>
      <c r="R39" s="29"/>
      <c r="S39" s="36"/>
      <c r="T39" s="89" t="str">
        <f t="shared" ca="1" si="21"/>
        <v/>
      </c>
      <c r="U39" s="89">
        <f t="shared" ca="1" si="22"/>
        <v>0</v>
      </c>
      <c r="V39" s="89">
        <f t="shared" ca="1" si="23"/>
        <v>0</v>
      </c>
      <c r="W39" s="89">
        <f t="shared" ca="1" si="24"/>
        <v>0</v>
      </c>
      <c r="X39" s="89">
        <f t="shared" ca="1" si="25"/>
        <v>0</v>
      </c>
      <c r="Y39" s="89">
        <f t="shared" ca="1" si="26"/>
        <v>0</v>
      </c>
      <c r="Z39" s="89">
        <f t="shared" ca="1" si="27"/>
        <v>0</v>
      </c>
      <c r="AA39" s="89">
        <f t="shared" ca="1" si="28"/>
        <v>0</v>
      </c>
      <c r="AB39" s="89">
        <f t="shared" ca="1" si="29"/>
        <v>0</v>
      </c>
      <c r="AC39" s="89">
        <f t="shared" ca="1" si="30"/>
        <v>0</v>
      </c>
      <c r="AD39" s="89">
        <f t="shared" ca="1" si="31"/>
        <v>0</v>
      </c>
      <c r="AE39" s="89">
        <f t="shared" ca="1" si="32"/>
        <v>0</v>
      </c>
      <c r="AF39" s="89">
        <f t="shared" ca="1" si="33"/>
        <v>0</v>
      </c>
      <c r="AG39" s="89">
        <f t="shared" ca="1" si="34"/>
        <v>0</v>
      </c>
      <c r="AH39" s="89">
        <f t="shared" ca="1" si="35"/>
        <v>0</v>
      </c>
      <c r="AI39" s="75">
        <f t="shared" ca="1" si="36"/>
        <v>0</v>
      </c>
      <c r="AJ39" s="76">
        <f t="shared" ca="1" si="37"/>
        <v>0</v>
      </c>
      <c r="AK39" s="76">
        <f t="shared" ca="1" si="38"/>
        <v>0</v>
      </c>
      <c r="AL39" s="77">
        <f t="shared" ca="1" si="39"/>
        <v>0</v>
      </c>
      <c r="AM39" s="77">
        <f t="shared" ca="1" si="40"/>
        <v>0</v>
      </c>
      <c r="AN39" s="90" t="str">
        <f t="shared" ca="1" si="41"/>
        <v/>
      </c>
      <c r="AO39" s="107" t="e">
        <f t="shared" ca="1" si="42"/>
        <v>#DIV/0!</v>
      </c>
      <c r="AP39" s="93" t="e">
        <f t="shared" ca="1" si="43"/>
        <v>#DIV/0!</v>
      </c>
      <c r="AQ39" s="222" t="e">
        <f t="shared" ca="1" si="44"/>
        <v>#DIV/0!</v>
      </c>
      <c r="AR39" s="223" t="e">
        <f t="shared" ca="1" si="45"/>
        <v>#DIV/0!</v>
      </c>
      <c r="AS39" s="223" t="e">
        <f t="shared" ca="1" si="46"/>
        <v>#DIV/0!</v>
      </c>
      <c r="AT39" s="223" t="e">
        <f t="shared" ca="1" si="47"/>
        <v>#DIV/0!</v>
      </c>
      <c r="AU39" s="223" t="e">
        <f t="shared" ca="1" si="60"/>
        <v>#DIV/0!</v>
      </c>
      <c r="AV39" s="222" t="e">
        <f t="shared" ca="1" si="48"/>
        <v>#DIV/0!</v>
      </c>
      <c r="AW39" s="222" t="e">
        <f t="shared" ca="1" si="49"/>
        <v>#DIV/0!</v>
      </c>
      <c r="AX39" s="222" t="e">
        <f t="shared" ca="1" si="61"/>
        <v>#DIV/0!</v>
      </c>
      <c r="AY39" s="223" t="e">
        <f t="shared" ca="1" si="50"/>
        <v>#DIV/0!</v>
      </c>
      <c r="AZ39" s="223" t="e">
        <f t="shared" ca="1" si="51"/>
        <v>#DIV/0!</v>
      </c>
      <c r="BB39" s="108" t="e">
        <f t="shared" ca="1" si="62"/>
        <v>#DIV/0!</v>
      </c>
      <c r="BC39" s="91" t="e">
        <f t="shared" ca="1" si="63"/>
        <v>#DIV/0!</v>
      </c>
      <c r="BD39" s="91" t="e">
        <f t="shared" ca="1" si="69"/>
        <v>#DIV/0!</v>
      </c>
      <c r="BE39" s="91" t="e">
        <f t="shared" ca="1" si="64"/>
        <v>#DIV/0!</v>
      </c>
      <c r="BF39" s="91" t="e">
        <f t="shared" ca="1" si="65"/>
        <v>#DIV/0!</v>
      </c>
      <c r="BG39" s="91" t="e">
        <f t="shared" ca="1" si="52"/>
        <v>#DIV/0!</v>
      </c>
      <c r="BH39" s="91">
        <f t="shared" ca="1" si="53"/>
        <v>-99</v>
      </c>
      <c r="BI39" s="109">
        <f t="shared" si="70"/>
        <v>0</v>
      </c>
      <c r="BJ39" s="91" t="e">
        <f t="shared" ca="1" si="54"/>
        <v>#DIV/0!</v>
      </c>
      <c r="BL39" s="111" t="e">
        <f t="shared" ca="1" si="6"/>
        <v>#DIV/0!</v>
      </c>
      <c r="BM39" s="112" t="e">
        <f t="shared" ca="1" si="7"/>
        <v>#DIV/0!</v>
      </c>
      <c r="BN39" s="112" t="e">
        <f t="shared" ca="1" si="8"/>
        <v>#DIV/0!</v>
      </c>
      <c r="BO39" s="113" t="e">
        <f t="shared" ca="1" si="55"/>
        <v>#DIV/0!</v>
      </c>
      <c r="BP39" s="114">
        <f t="shared" ca="1" si="56"/>
        <v>-99</v>
      </c>
      <c r="BQ39" s="115" t="e">
        <f t="shared" ca="1" si="9"/>
        <v>#DIV/0!</v>
      </c>
      <c r="BR39" s="112" t="e">
        <f t="shared" ca="1" si="10"/>
        <v>#DIV/0!</v>
      </c>
      <c r="BS39" s="112" t="e">
        <f t="shared" ca="1" si="11"/>
        <v>#DIV/0!</v>
      </c>
      <c r="BT39" s="113" t="e">
        <f t="shared" ca="1" si="66"/>
        <v>#DIV/0!</v>
      </c>
      <c r="BU39" s="114">
        <f t="shared" ca="1" si="57"/>
        <v>-99</v>
      </c>
      <c r="BV39" s="115" t="e">
        <f t="shared" ca="1" si="13"/>
        <v>#DIV/0!</v>
      </c>
      <c r="BW39" s="112" t="e">
        <f t="shared" ca="1" si="14"/>
        <v>#DIV/0!</v>
      </c>
      <c r="BX39" s="112" t="e">
        <f t="shared" ca="1" si="15"/>
        <v>#DIV/0!</v>
      </c>
      <c r="BY39" s="113" t="e">
        <f t="shared" ca="1" si="67"/>
        <v>#DIV/0!</v>
      </c>
      <c r="BZ39" s="114">
        <f t="shared" ca="1" si="58"/>
        <v>-99</v>
      </c>
      <c r="CA39" s="115" t="e">
        <f t="shared" ca="1" si="17"/>
        <v>#DIV/0!</v>
      </c>
      <c r="CB39" s="112" t="e">
        <f t="shared" ca="1" si="18"/>
        <v>#DIV/0!</v>
      </c>
      <c r="CC39" s="112" t="e">
        <f t="shared" ca="1" si="19"/>
        <v>#DIV/0!</v>
      </c>
      <c r="CD39" s="113" t="e">
        <f t="shared" ca="1" si="68"/>
        <v>#DIV/0!</v>
      </c>
      <c r="CE39" s="114">
        <f t="shared" ca="1" si="59"/>
        <v>-99</v>
      </c>
    </row>
    <row r="40" spans="1:83" ht="13" thickBot="1">
      <c r="A40" s="39"/>
      <c r="B40" s="40"/>
      <c r="C40" s="41"/>
      <c r="D40" s="123"/>
      <c r="E40" s="42"/>
      <c r="F40" s="43"/>
      <c r="G40" s="44"/>
      <c r="H40" s="44"/>
      <c r="I40" s="45"/>
      <c r="J40" s="45"/>
      <c r="K40" s="46"/>
      <c r="L40" s="45"/>
      <c r="M40" s="45"/>
      <c r="N40" s="45"/>
      <c r="O40" s="46"/>
      <c r="P40" s="44"/>
      <c r="Q40" s="44"/>
      <c r="R40" s="44"/>
      <c r="S40" s="47"/>
      <c r="T40" s="89" t="str">
        <f t="shared" ca="1" si="21"/>
        <v/>
      </c>
      <c r="U40" s="89">
        <f t="shared" ca="1" si="22"/>
        <v>0</v>
      </c>
      <c r="V40" s="89">
        <f t="shared" ca="1" si="23"/>
        <v>0</v>
      </c>
      <c r="W40" s="89">
        <f t="shared" ca="1" si="24"/>
        <v>0</v>
      </c>
      <c r="X40" s="89">
        <f t="shared" ca="1" si="25"/>
        <v>0</v>
      </c>
      <c r="Y40" s="89">
        <f t="shared" ca="1" si="26"/>
        <v>0</v>
      </c>
      <c r="Z40" s="89">
        <f t="shared" ca="1" si="27"/>
        <v>0</v>
      </c>
      <c r="AA40" s="89">
        <f t="shared" ca="1" si="28"/>
        <v>0</v>
      </c>
      <c r="AB40" s="89">
        <f t="shared" ca="1" si="29"/>
        <v>0</v>
      </c>
      <c r="AC40" s="89">
        <f t="shared" ca="1" si="30"/>
        <v>0</v>
      </c>
      <c r="AD40" s="89">
        <f t="shared" ca="1" si="31"/>
        <v>0</v>
      </c>
      <c r="AE40" s="89">
        <f t="shared" ca="1" si="32"/>
        <v>0</v>
      </c>
      <c r="AF40" s="89">
        <f t="shared" ca="1" si="33"/>
        <v>0</v>
      </c>
      <c r="AG40" s="89">
        <f t="shared" ca="1" si="34"/>
        <v>0</v>
      </c>
      <c r="AH40" s="89">
        <f t="shared" ca="1" si="35"/>
        <v>0</v>
      </c>
      <c r="AI40" s="75">
        <f t="shared" ca="1" si="36"/>
        <v>0</v>
      </c>
      <c r="AJ40" s="76">
        <f t="shared" ca="1" si="37"/>
        <v>0</v>
      </c>
      <c r="AK40" s="76">
        <f t="shared" ca="1" si="38"/>
        <v>0</v>
      </c>
      <c r="AL40" s="77">
        <f t="shared" ca="1" si="39"/>
        <v>0</v>
      </c>
      <c r="AM40" s="77">
        <f t="shared" ca="1" si="40"/>
        <v>0</v>
      </c>
      <c r="AN40" s="90" t="str">
        <f t="shared" ca="1" si="41"/>
        <v/>
      </c>
      <c r="AO40" s="107" t="e">
        <f t="shared" ca="1" si="42"/>
        <v>#DIV/0!</v>
      </c>
      <c r="AP40" s="93" t="e">
        <f t="shared" ca="1" si="43"/>
        <v>#DIV/0!</v>
      </c>
      <c r="AQ40" s="222" t="e">
        <f t="shared" ca="1" si="44"/>
        <v>#DIV/0!</v>
      </c>
      <c r="AR40" s="223" t="e">
        <f t="shared" ca="1" si="45"/>
        <v>#DIV/0!</v>
      </c>
      <c r="AS40" s="223" t="e">
        <f t="shared" ca="1" si="46"/>
        <v>#DIV/0!</v>
      </c>
      <c r="AT40" s="223" t="e">
        <f t="shared" ca="1" si="47"/>
        <v>#DIV/0!</v>
      </c>
      <c r="AU40" s="223" t="e">
        <f t="shared" ca="1" si="60"/>
        <v>#DIV/0!</v>
      </c>
      <c r="AV40" s="223" t="e">
        <f ca="1">IF($R40=0, $AQ40*ABS(M40)/100, $AQ40*ABS(M40*(1-#REF!))/100)</f>
        <v>#DIV/0!</v>
      </c>
      <c r="AW40" s="222" t="e">
        <f t="shared" ca="1" si="49"/>
        <v>#DIV/0!</v>
      </c>
      <c r="AX40" s="222" t="e">
        <f t="shared" ca="1" si="61"/>
        <v>#DIV/0!</v>
      </c>
      <c r="AY40" s="223" t="e">
        <f t="shared" ca="1" si="50"/>
        <v>#DIV/0!</v>
      </c>
      <c r="AZ40" s="223" t="e">
        <f t="shared" ca="1" si="51"/>
        <v>#DIV/0!</v>
      </c>
      <c r="BB40" s="108" t="e">
        <f t="shared" ca="1" si="62"/>
        <v>#DIV/0!</v>
      </c>
      <c r="BC40" s="91" t="e">
        <f t="shared" ca="1" si="63"/>
        <v>#DIV/0!</v>
      </c>
      <c r="BD40" s="91" t="e">
        <f t="shared" ca="1" si="69"/>
        <v>#DIV/0!</v>
      </c>
      <c r="BE40" s="91" t="e">
        <f t="shared" ca="1" si="64"/>
        <v>#DIV/0!</v>
      </c>
      <c r="BF40" s="91" t="e">
        <f t="shared" ca="1" si="65"/>
        <v>#DIV/0!</v>
      </c>
      <c r="BG40" s="91" t="e">
        <f t="shared" ca="1" si="52"/>
        <v>#DIV/0!</v>
      </c>
      <c r="BH40" s="91">
        <f t="shared" ca="1" si="53"/>
        <v>-99</v>
      </c>
      <c r="BI40" s="109">
        <f t="shared" si="70"/>
        <v>0</v>
      </c>
      <c r="BJ40" s="91" t="e">
        <f t="shared" ca="1" si="54"/>
        <v>#DIV/0!</v>
      </c>
      <c r="BL40" s="111" t="e">
        <f t="shared" ca="1" si="6"/>
        <v>#DIV/0!</v>
      </c>
      <c r="BM40" s="112" t="e">
        <f t="shared" ca="1" si="7"/>
        <v>#DIV/0!</v>
      </c>
      <c r="BN40" s="112" t="e">
        <f t="shared" ca="1" si="8"/>
        <v>#DIV/0!</v>
      </c>
      <c r="BO40" s="113" t="e">
        <f t="shared" ca="1" si="55"/>
        <v>#DIV/0!</v>
      </c>
      <c r="BP40" s="114">
        <f t="shared" ca="1" si="56"/>
        <v>-99</v>
      </c>
      <c r="BQ40" s="115" t="e">
        <f t="shared" ca="1" si="9"/>
        <v>#DIV/0!</v>
      </c>
      <c r="BR40" s="112" t="e">
        <f t="shared" ca="1" si="10"/>
        <v>#DIV/0!</v>
      </c>
      <c r="BS40" s="112" t="e">
        <f t="shared" ca="1" si="11"/>
        <v>#DIV/0!</v>
      </c>
      <c r="BT40" s="113" t="e">
        <f t="shared" ca="1" si="66"/>
        <v>#DIV/0!</v>
      </c>
      <c r="BU40" s="114">
        <f t="shared" ca="1" si="57"/>
        <v>-99</v>
      </c>
      <c r="BV40" s="115" t="e">
        <f t="shared" ca="1" si="13"/>
        <v>#DIV/0!</v>
      </c>
      <c r="BW40" s="112" t="e">
        <f t="shared" ca="1" si="14"/>
        <v>#DIV/0!</v>
      </c>
      <c r="BX40" s="112" t="e">
        <f t="shared" ca="1" si="15"/>
        <v>#DIV/0!</v>
      </c>
      <c r="BY40" s="113" t="e">
        <f t="shared" ca="1" si="67"/>
        <v>#DIV/0!</v>
      </c>
      <c r="BZ40" s="114">
        <f t="shared" ca="1" si="58"/>
        <v>-99</v>
      </c>
      <c r="CA40" s="115" t="e">
        <f t="shared" ca="1" si="17"/>
        <v>#DIV/0!</v>
      </c>
      <c r="CB40" s="112" t="e">
        <f t="shared" ca="1" si="18"/>
        <v>#DIV/0!</v>
      </c>
      <c r="CC40" s="112" t="e">
        <f t="shared" ca="1" si="19"/>
        <v>#DIV/0!</v>
      </c>
      <c r="CD40" s="113" t="e">
        <f t="shared" ca="1" si="68"/>
        <v>#DIV/0!</v>
      </c>
      <c r="CE40" s="114">
        <f t="shared" ca="1" si="59"/>
        <v>-99</v>
      </c>
    </row>
    <row r="41" spans="1:83">
      <c r="F41" s="4"/>
      <c r="G41" s="5"/>
      <c r="H41" s="5"/>
      <c r="I41" s="6"/>
      <c r="J41" s="6"/>
      <c r="K41" s="9"/>
      <c r="L41" s="6"/>
      <c r="M41" s="6"/>
      <c r="N41" s="6"/>
      <c r="O41" s="9"/>
      <c r="P41" s="5"/>
      <c r="Q41" s="5"/>
      <c r="R41" s="5"/>
      <c r="S41" s="5"/>
      <c r="T41" s="92"/>
      <c r="U41" s="92"/>
      <c r="V41" s="92"/>
      <c r="W41" s="92"/>
      <c r="X41" s="92"/>
      <c r="Y41" s="92"/>
      <c r="Z41" s="92"/>
      <c r="AA41" s="92"/>
      <c r="AB41" s="92"/>
      <c r="AC41" s="92"/>
      <c r="AD41" s="92"/>
      <c r="AE41" s="92"/>
      <c r="AF41" s="92"/>
      <c r="AG41" s="92"/>
      <c r="AH41" s="92"/>
      <c r="AI41" s="5"/>
      <c r="AJ41" s="76">
        <f t="shared" si="37"/>
        <v>0</v>
      </c>
      <c r="AK41" s="5"/>
      <c r="AL41" s="5"/>
      <c r="AM41" s="5"/>
      <c r="AN41" s="92"/>
      <c r="AO41" s="107"/>
      <c r="AP41" s="107"/>
      <c r="BB41" s="108"/>
      <c r="BC41" s="91"/>
      <c r="BD41" s="91"/>
      <c r="BE41" s="91"/>
      <c r="BF41" s="91"/>
      <c r="BG41" s="91"/>
      <c r="BH41" s="91"/>
      <c r="BI41" s="109"/>
    </row>
    <row r="42" spans="1:83">
      <c r="A42" s="2"/>
      <c r="E42" s="7"/>
      <c r="F42" s="4"/>
      <c r="G42" s="5"/>
      <c r="H42" s="5"/>
      <c r="I42" s="6"/>
      <c r="J42" s="6"/>
      <c r="K42" s="9"/>
      <c r="L42" s="6"/>
      <c r="M42" s="6"/>
      <c r="N42" s="6"/>
      <c r="O42" s="9"/>
      <c r="P42" s="5"/>
      <c r="Q42" s="5"/>
      <c r="R42" s="5"/>
      <c r="S42" s="5"/>
      <c r="T42" s="92"/>
      <c r="U42" s="92"/>
      <c r="V42" s="92"/>
      <c r="W42" s="92"/>
      <c r="X42" s="92"/>
      <c r="Y42" s="92"/>
      <c r="Z42" s="92"/>
      <c r="AA42" s="92"/>
      <c r="AB42" s="92"/>
      <c r="AC42" s="92"/>
      <c r="AD42" s="92"/>
      <c r="AE42" s="92"/>
      <c r="AF42" s="92"/>
      <c r="AG42" s="92"/>
      <c r="AH42" s="92"/>
      <c r="AI42" s="5"/>
      <c r="AJ42" s="76">
        <f t="shared" si="37"/>
        <v>0</v>
      </c>
      <c r="AK42" s="5"/>
      <c r="AL42" s="5"/>
      <c r="AM42" s="5"/>
      <c r="AN42" s="92"/>
      <c r="AO42" s="107"/>
      <c r="AP42" s="107"/>
      <c r="BB42" s="108"/>
      <c r="BC42" s="91"/>
      <c r="BD42" s="91"/>
      <c r="BE42" s="91"/>
      <c r="BF42" s="91"/>
      <c r="BG42" s="91"/>
      <c r="BH42" s="91"/>
      <c r="BI42" s="109"/>
    </row>
    <row r="43" spans="1:83">
      <c r="E43" s="7"/>
      <c r="F43" s="4"/>
      <c r="G43" s="5"/>
      <c r="H43" s="5"/>
      <c r="I43" s="6"/>
      <c r="J43" s="6"/>
      <c r="K43" s="9"/>
      <c r="L43" s="6"/>
      <c r="M43" s="6"/>
      <c r="N43" s="6"/>
      <c r="O43" s="9"/>
      <c r="P43" s="5"/>
      <c r="Q43" s="5"/>
      <c r="R43" s="5"/>
      <c r="S43" s="5"/>
      <c r="T43" s="92"/>
      <c r="U43" s="92"/>
      <c r="V43" s="92"/>
      <c r="W43" s="92"/>
      <c r="X43" s="92"/>
      <c r="Y43" s="92"/>
      <c r="Z43" s="92"/>
      <c r="AA43" s="92"/>
      <c r="AB43" s="92"/>
      <c r="AC43" s="92"/>
      <c r="AD43" s="92"/>
      <c r="AE43" s="92"/>
      <c r="AF43" s="92"/>
      <c r="AG43" s="92"/>
      <c r="AH43" s="92"/>
      <c r="AI43" s="5"/>
      <c r="AJ43" s="5"/>
      <c r="AK43" s="5"/>
      <c r="AL43" s="5"/>
      <c r="AM43" s="5"/>
      <c r="AN43" s="92"/>
      <c r="AO43" s="107"/>
      <c r="AP43" s="107"/>
      <c r="BB43" s="108"/>
      <c r="BC43" s="91"/>
      <c r="BD43" s="91"/>
      <c r="BE43" s="91"/>
      <c r="BF43" s="91"/>
      <c r="BG43" s="91"/>
      <c r="BH43" s="91"/>
      <c r="BI43" s="109"/>
    </row>
    <row r="44" spans="1:83">
      <c r="E44" s="7"/>
      <c r="F44" s="4"/>
      <c r="G44" s="5"/>
      <c r="H44" s="5"/>
      <c r="I44" s="6"/>
      <c r="J44" s="6"/>
      <c r="K44" s="9"/>
      <c r="L44" s="6"/>
      <c r="M44" s="6"/>
      <c r="N44" s="6"/>
      <c r="O44" s="9"/>
      <c r="P44" s="5"/>
      <c r="Q44" s="5"/>
      <c r="R44" s="5"/>
      <c r="S44" s="5"/>
      <c r="T44" s="92"/>
      <c r="U44" s="92"/>
      <c r="V44" s="92"/>
      <c r="W44" s="92"/>
      <c r="X44" s="92"/>
      <c r="Y44" s="92"/>
      <c r="Z44" s="92"/>
      <c r="AA44" s="92"/>
      <c r="AB44" s="92"/>
      <c r="AC44" s="92"/>
      <c r="AD44" s="92"/>
      <c r="AE44" s="92"/>
      <c r="AF44" s="92"/>
      <c r="AG44" s="92"/>
      <c r="AH44" s="92"/>
      <c r="AI44" s="5"/>
      <c r="AJ44" s="5"/>
      <c r="AK44" s="5"/>
      <c r="AL44" s="5"/>
      <c r="AM44" s="5"/>
      <c r="AN44" s="92"/>
      <c r="AO44" s="107"/>
      <c r="AP44" s="107"/>
      <c r="BB44" s="108"/>
      <c r="BC44" s="91"/>
      <c r="BD44" s="91"/>
      <c r="BE44" s="91"/>
      <c r="BF44" s="91"/>
      <c r="BG44" s="91"/>
      <c r="BH44" s="91"/>
      <c r="BI44" s="109"/>
    </row>
    <row r="45" spans="1:83">
      <c r="E45" s="7"/>
      <c r="F45" s="4"/>
      <c r="G45" s="5"/>
      <c r="H45" s="5"/>
      <c r="I45" s="6"/>
      <c r="J45" s="6"/>
      <c r="K45" s="9"/>
      <c r="L45" s="6"/>
      <c r="M45" s="6"/>
      <c r="N45" s="6"/>
      <c r="O45" s="9"/>
      <c r="P45" s="5"/>
      <c r="Q45" s="5"/>
      <c r="R45" s="5"/>
      <c r="S45" s="5"/>
      <c r="T45" s="92"/>
      <c r="U45" s="92"/>
      <c r="V45" s="92"/>
      <c r="W45" s="92"/>
      <c r="X45" s="92"/>
      <c r="Y45" s="92"/>
      <c r="Z45" s="92"/>
      <c r="AA45" s="92"/>
      <c r="AB45" s="92"/>
      <c r="AC45" s="92"/>
      <c r="AD45" s="92"/>
      <c r="AE45" s="92"/>
      <c r="AF45" s="92"/>
      <c r="AG45" s="92"/>
      <c r="AH45" s="92"/>
      <c r="AI45" s="5"/>
      <c r="AJ45" s="5"/>
      <c r="AK45" s="5"/>
      <c r="AL45" s="5"/>
      <c r="AM45" s="5"/>
      <c r="AN45" s="92"/>
      <c r="AO45" s="107"/>
      <c r="AP45" s="107"/>
      <c r="BB45" s="108"/>
      <c r="BC45" s="91"/>
      <c r="BD45" s="91"/>
      <c r="BE45" s="91"/>
      <c r="BF45" s="91"/>
      <c r="BG45" s="91"/>
      <c r="BH45" s="91"/>
      <c r="BI45" s="109"/>
    </row>
    <row r="46" spans="1:83">
      <c r="E46" s="8"/>
      <c r="F46" s="4"/>
      <c r="G46" s="5"/>
      <c r="H46" s="5"/>
      <c r="I46" s="6"/>
      <c r="J46" s="6"/>
      <c r="K46" s="9"/>
      <c r="L46" s="6"/>
      <c r="M46" s="6"/>
      <c r="N46" s="6"/>
      <c r="O46" s="9"/>
      <c r="P46" s="5"/>
      <c r="Q46" s="5"/>
      <c r="R46" s="5"/>
      <c r="S46" s="5"/>
      <c r="T46" s="92"/>
      <c r="U46" s="92"/>
      <c r="V46" s="92"/>
      <c r="W46" s="92"/>
      <c r="X46" s="92"/>
      <c r="Y46" s="92"/>
      <c r="Z46" s="92"/>
      <c r="AA46" s="92"/>
      <c r="AB46" s="92"/>
      <c r="AC46" s="92"/>
      <c r="AD46" s="92"/>
      <c r="AE46" s="92"/>
      <c r="AF46" s="92"/>
      <c r="AG46" s="92"/>
      <c r="AH46" s="92"/>
      <c r="AI46" s="5"/>
      <c r="AJ46" s="5"/>
      <c r="AK46" s="5"/>
      <c r="AL46" s="5"/>
      <c r="AM46" s="5"/>
      <c r="AN46" s="92"/>
      <c r="AO46" s="107"/>
      <c r="AP46" s="107"/>
      <c r="BB46" s="108"/>
      <c r="BC46" s="91"/>
      <c r="BD46" s="91"/>
      <c r="BE46" s="91"/>
      <c r="BF46" s="91"/>
      <c r="BG46" s="91"/>
      <c r="BH46" s="91"/>
      <c r="BI46" s="109"/>
    </row>
    <row r="47" spans="1:83">
      <c r="E47" s="8"/>
      <c r="F47" s="4"/>
      <c r="G47" s="5"/>
      <c r="H47" s="5"/>
      <c r="I47" s="6"/>
      <c r="J47" s="6"/>
      <c r="K47" s="9"/>
      <c r="L47" s="6"/>
      <c r="M47" s="6"/>
      <c r="N47" s="6"/>
      <c r="O47" s="9"/>
      <c r="P47" s="5"/>
      <c r="Q47" s="5"/>
      <c r="R47" s="5"/>
      <c r="S47" s="5"/>
      <c r="T47" s="92"/>
      <c r="U47" s="92"/>
      <c r="V47" s="92"/>
      <c r="W47" s="92"/>
      <c r="X47" s="92"/>
      <c r="Y47" s="92"/>
      <c r="Z47" s="92"/>
      <c r="AA47" s="92"/>
      <c r="AB47" s="92"/>
      <c r="AC47" s="92"/>
      <c r="AD47" s="92"/>
      <c r="AE47" s="92"/>
      <c r="AF47" s="92"/>
      <c r="AG47" s="92"/>
      <c r="AH47" s="92"/>
      <c r="AI47" s="5"/>
      <c r="AJ47" s="5"/>
      <c r="AK47" s="5"/>
      <c r="AL47" s="5"/>
      <c r="AM47" s="5"/>
      <c r="AN47" s="92"/>
      <c r="AO47" s="107"/>
      <c r="AP47" s="107"/>
      <c r="BB47" s="108"/>
      <c r="BC47" s="91"/>
      <c r="BD47" s="91"/>
      <c r="BE47" s="91"/>
      <c r="BF47" s="91"/>
      <c r="BG47" s="91"/>
      <c r="BH47" s="91"/>
      <c r="BI47" s="109"/>
    </row>
    <row r="48" spans="1:83">
      <c r="E48" s="8"/>
      <c r="F48" s="4"/>
      <c r="I48" s="6"/>
      <c r="J48" s="6"/>
      <c r="K48" s="9"/>
      <c r="L48" s="6"/>
      <c r="M48" s="6"/>
      <c r="N48" s="6"/>
      <c r="O48" s="9"/>
      <c r="AO48" s="107"/>
      <c r="AP48" s="107"/>
      <c r="BB48" s="108"/>
      <c r="BC48" s="91"/>
      <c r="BD48" s="91"/>
      <c r="BE48" s="91"/>
      <c r="BF48" s="91"/>
      <c r="BG48" s="91"/>
      <c r="BH48" s="91"/>
      <c r="BI48" s="109"/>
    </row>
    <row r="49" spans="3:61">
      <c r="E49" s="8"/>
      <c r="F49" s="4"/>
      <c r="I49" s="203"/>
      <c r="J49" s="203"/>
      <c r="K49" s="203"/>
      <c r="L49" s="203"/>
      <c r="M49" s="203"/>
      <c r="N49" s="203"/>
      <c r="O49" s="203"/>
      <c r="P49" s="203"/>
      <c r="Q49" s="203"/>
      <c r="R49" s="203"/>
      <c r="AO49" s="107"/>
      <c r="AP49" s="107"/>
      <c r="BB49" s="108"/>
      <c r="BC49" s="91"/>
      <c r="BD49" s="91"/>
      <c r="BE49" s="91"/>
      <c r="BF49" s="91"/>
      <c r="BG49" s="91"/>
      <c r="BH49" s="91"/>
      <c r="BI49" s="109"/>
    </row>
    <row r="50" spans="3:61">
      <c r="E50" s="8"/>
      <c r="F50" s="4"/>
      <c r="I50" s="6"/>
      <c r="J50" s="6"/>
      <c r="K50" s="9"/>
      <c r="L50" s="6"/>
      <c r="M50" s="6"/>
      <c r="N50" s="6"/>
      <c r="O50" s="9"/>
      <c r="P50" s="6"/>
      <c r="Q50" s="6"/>
      <c r="R50" s="6"/>
      <c r="AO50" s="107"/>
      <c r="AP50" s="107"/>
      <c r="BB50" s="108"/>
      <c r="BC50" s="91"/>
      <c r="BD50" s="91"/>
      <c r="BE50" s="91"/>
      <c r="BF50" s="91"/>
      <c r="BG50" s="91"/>
      <c r="BH50" s="91"/>
      <c r="BI50" s="109"/>
    </row>
    <row r="51" spans="3:61">
      <c r="C51" s="2"/>
      <c r="E51" s="196"/>
      <c r="F51" s="10"/>
      <c r="I51" s="4"/>
      <c r="J51" s="4"/>
      <c r="K51" s="9"/>
      <c r="L51" s="9"/>
      <c r="M51" s="4"/>
      <c r="N51" s="202"/>
      <c r="O51" s="9"/>
      <c r="P51" s="201"/>
      <c r="Q51" s="6"/>
      <c r="AO51" s="107"/>
      <c r="AP51" s="107"/>
      <c r="BB51" s="108"/>
      <c r="BC51" s="91"/>
      <c r="BD51" s="91"/>
      <c r="BE51" s="91"/>
      <c r="BF51" s="91"/>
      <c r="BG51" s="91"/>
      <c r="BH51" s="91"/>
    </row>
    <row r="52" spans="3:61">
      <c r="C52" s="2"/>
      <c r="E52" s="197"/>
      <c r="F52" s="10"/>
      <c r="I52" s="4"/>
      <c r="J52" s="4"/>
      <c r="K52" s="9"/>
      <c r="L52" s="9"/>
      <c r="M52" s="4"/>
      <c r="N52" s="202"/>
      <c r="O52" s="9"/>
      <c r="P52" s="201"/>
      <c r="Q52" s="6"/>
      <c r="AO52" s="107"/>
      <c r="AP52" s="107"/>
      <c r="BB52" s="108"/>
      <c r="BC52" s="91"/>
      <c r="BD52" s="91"/>
      <c r="BE52" s="91"/>
      <c r="BF52" s="91"/>
      <c r="BG52" s="91"/>
      <c r="BH52" s="91"/>
    </row>
    <row r="53" spans="3:61">
      <c r="C53" s="2"/>
      <c r="E53" s="198"/>
      <c r="F53" s="10"/>
      <c r="I53" s="4"/>
      <c r="J53" s="4"/>
      <c r="K53" s="9"/>
      <c r="L53" s="9"/>
      <c r="M53" s="4"/>
      <c r="N53" s="202"/>
      <c r="O53" s="9"/>
      <c r="P53" s="201"/>
      <c r="AO53" s="107"/>
      <c r="AP53" s="107"/>
      <c r="BB53" s="108"/>
      <c r="BC53" s="91"/>
      <c r="BD53" s="91"/>
      <c r="BE53" s="91"/>
      <c r="BF53" s="91"/>
      <c r="BG53" s="91"/>
      <c r="BH53" s="91"/>
    </row>
    <row r="54" spans="3:61">
      <c r="C54" s="2"/>
      <c r="E54" s="199"/>
      <c r="F54" s="10"/>
      <c r="I54" s="4"/>
      <c r="J54" s="4"/>
      <c r="K54" s="9"/>
      <c r="L54" s="9"/>
      <c r="M54" s="4"/>
      <c r="N54" s="202"/>
      <c r="O54" s="9"/>
      <c r="P54" s="201"/>
      <c r="AO54" s="107"/>
      <c r="AP54" s="107"/>
      <c r="BB54" s="108"/>
      <c r="BC54" s="91"/>
      <c r="BD54" s="91"/>
      <c r="BE54" s="91"/>
      <c r="BF54" s="91"/>
      <c r="BG54" s="91"/>
      <c r="BH54" s="91"/>
    </row>
    <row r="55" spans="3:61">
      <c r="C55" s="2"/>
      <c r="E55" s="199"/>
      <c r="F55" s="10"/>
      <c r="I55" s="4"/>
      <c r="J55" s="4"/>
      <c r="K55" s="9"/>
      <c r="L55" s="9"/>
      <c r="M55" s="4"/>
      <c r="N55" s="202"/>
      <c r="O55" s="9"/>
      <c r="P55" s="201"/>
      <c r="AO55" s="107"/>
      <c r="AP55" s="107"/>
      <c r="BB55" s="108"/>
      <c r="BC55" s="91"/>
      <c r="BD55" s="91"/>
      <c r="BE55" s="91"/>
      <c r="BF55" s="91"/>
      <c r="BG55" s="91"/>
      <c r="BH55" s="91"/>
    </row>
    <row r="56" spans="3:61">
      <c r="C56" s="2"/>
      <c r="E56" s="200"/>
      <c r="F56" s="10"/>
      <c r="I56" s="4"/>
      <c r="J56" s="4"/>
      <c r="L56" s="9"/>
      <c r="M56" s="4"/>
      <c r="N56" s="202"/>
      <c r="O56" s="9"/>
      <c r="P56" s="201"/>
      <c r="AO56" s="107"/>
      <c r="AP56" s="107"/>
      <c r="BB56" s="108"/>
      <c r="BC56" s="91"/>
      <c r="BD56" s="91"/>
      <c r="BE56" s="91"/>
      <c r="BF56" s="91"/>
      <c r="BG56" s="91"/>
      <c r="BH56" s="91"/>
    </row>
    <row r="57" spans="3:61">
      <c r="C57" s="2"/>
      <c r="E57" s="200"/>
      <c r="F57" s="10"/>
      <c r="I57" s="4"/>
      <c r="J57" s="4"/>
      <c r="L57" s="9"/>
      <c r="M57" s="4"/>
      <c r="N57" s="202"/>
      <c r="O57" s="9"/>
      <c r="P57" s="201"/>
      <c r="AO57" s="107"/>
      <c r="AP57" s="107"/>
      <c r="BB57" s="108"/>
      <c r="BC57" s="91"/>
      <c r="BD57" s="91"/>
      <c r="BE57" s="91"/>
      <c r="BF57" s="91"/>
      <c r="BG57" s="91"/>
      <c r="BH57" s="91"/>
    </row>
    <row r="58" spans="3:61">
      <c r="C58" s="2"/>
      <c r="E58" s="200"/>
      <c r="F58" s="10"/>
      <c r="I58" s="4"/>
      <c r="J58" s="4"/>
      <c r="L58" s="9"/>
      <c r="M58" s="4"/>
      <c r="N58" s="202"/>
      <c r="O58" s="9"/>
      <c r="P58" s="201"/>
    </row>
    <row r="59" spans="3:61">
      <c r="C59" s="2"/>
      <c r="E59" s="200"/>
      <c r="F59" s="10"/>
      <c r="I59" s="4"/>
      <c r="J59" s="4"/>
      <c r="L59" s="9"/>
      <c r="M59" s="4"/>
      <c r="N59" s="202"/>
      <c r="O59" s="9"/>
      <c r="P59" s="201"/>
    </row>
    <row r="60" spans="3:61">
      <c r="C60" s="2"/>
      <c r="E60" s="200"/>
      <c r="F60" s="10"/>
      <c r="I60" s="4"/>
      <c r="J60" s="4"/>
      <c r="L60" s="9"/>
      <c r="M60" s="4"/>
      <c r="N60" s="202"/>
      <c r="O60" s="9"/>
      <c r="P60" s="201"/>
    </row>
    <row r="61" spans="3:61">
      <c r="C61" s="2"/>
      <c r="E61" s="200"/>
      <c r="I61" s="4"/>
      <c r="J61" s="4"/>
      <c r="L61" s="9"/>
      <c r="M61" s="4"/>
      <c r="N61" s="202"/>
      <c r="P61" s="201"/>
    </row>
    <row r="62" spans="3:61">
      <c r="C62" s="2"/>
      <c r="E62" s="200"/>
      <c r="I62" s="4"/>
      <c r="J62" s="4"/>
      <c r="L62" s="9"/>
      <c r="M62" s="4"/>
      <c r="N62" s="202"/>
      <c r="P62" s="201"/>
    </row>
    <row r="63" spans="3:61">
      <c r="C63" s="2"/>
      <c r="E63" s="200"/>
      <c r="I63" s="4"/>
      <c r="J63" s="4"/>
      <c r="L63" s="9"/>
      <c r="M63" s="4"/>
      <c r="N63" s="202"/>
      <c r="P63" s="201"/>
    </row>
    <row r="64" spans="3:61">
      <c r="C64" s="2"/>
      <c r="E64" s="200"/>
      <c r="I64" s="4"/>
      <c r="J64" s="4"/>
      <c r="L64" s="9"/>
      <c r="M64" s="4"/>
      <c r="N64" s="202"/>
      <c r="P64" s="201"/>
    </row>
    <row r="65" spans="3:16">
      <c r="C65" s="2"/>
      <c r="E65" s="200"/>
      <c r="I65" s="4"/>
      <c r="J65" s="4"/>
      <c r="L65" s="9"/>
      <c r="M65" s="4"/>
      <c r="N65" s="202"/>
      <c r="P65" s="201"/>
    </row>
    <row r="66" spans="3:16">
      <c r="C66" s="2"/>
      <c r="E66" s="200"/>
      <c r="I66" s="4"/>
      <c r="J66" s="4"/>
      <c r="L66" s="9"/>
      <c r="M66" s="4"/>
      <c r="N66" s="202"/>
      <c r="P66" s="201"/>
    </row>
    <row r="67" spans="3:16">
      <c r="C67" s="2"/>
      <c r="E67" s="200"/>
      <c r="I67" s="4"/>
      <c r="J67" s="4"/>
      <c r="L67" s="9"/>
      <c r="M67" s="4"/>
      <c r="N67" s="202"/>
      <c r="P67" s="201"/>
    </row>
    <row r="68" spans="3:16">
      <c r="C68" s="2"/>
      <c r="E68" s="200"/>
      <c r="I68" s="4"/>
      <c r="J68" s="4"/>
      <c r="L68" s="9"/>
      <c r="M68" s="4"/>
      <c r="N68" s="202"/>
      <c r="P68" s="201"/>
    </row>
    <row r="69" spans="3:16">
      <c r="E69" s="200"/>
      <c r="I69" s="4"/>
      <c r="J69" s="4"/>
      <c r="L69" s="9"/>
      <c r="M69" s="4"/>
      <c r="N69" s="202"/>
      <c r="P69" s="201"/>
    </row>
    <row r="70" spans="3:16">
      <c r="E70" s="200"/>
      <c r="I70" s="4"/>
      <c r="J70" s="4"/>
      <c r="L70" s="9"/>
      <c r="M70" s="4"/>
      <c r="N70" s="202"/>
      <c r="P70" s="201"/>
    </row>
    <row r="71" spans="3:16">
      <c r="M71" s="4"/>
      <c r="N71" s="202"/>
    </row>
    <row r="72" spans="3:16">
      <c r="M72" s="4"/>
      <c r="N72" s="202"/>
    </row>
    <row r="73" spans="3:16">
      <c r="M73" s="4"/>
      <c r="N73" s="202"/>
    </row>
    <row r="74" spans="3:16">
      <c r="M74" s="4"/>
      <c r="N74" s="202"/>
    </row>
    <row r="75" spans="3:16">
      <c r="M75" s="4"/>
      <c r="N75" s="202"/>
    </row>
    <row r="76" spans="3:16">
      <c r="N76" s="202"/>
    </row>
  </sheetData>
  <sheetProtection sheet="1" objects="1" scenarios="1"/>
  <mergeCells count="12">
    <mergeCell ref="I9:R9"/>
    <mergeCell ref="I8:S8"/>
    <mergeCell ref="E1:E4"/>
    <mergeCell ref="A8:D8"/>
    <mergeCell ref="F8:H8"/>
    <mergeCell ref="F9:H9"/>
    <mergeCell ref="BB9:BJ9"/>
    <mergeCell ref="AQ9:AZ9"/>
    <mergeCell ref="CA5:CE5"/>
    <mergeCell ref="BL5:BP5"/>
    <mergeCell ref="BQ5:BU5"/>
    <mergeCell ref="BV5:BZ5"/>
  </mergeCells>
  <phoneticPr fontId="0" type="noConversion"/>
  <pageMargins left="0.75" right="0.75" top="1" bottom="1" header="0.5" footer="0.5"/>
  <pageSetup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11" zoomScale="75" workbookViewId="0">
      <selection activeCell="E25" sqref="E25"/>
    </sheetView>
  </sheetViews>
  <sheetFormatPr baseColWidth="10" defaultColWidth="8.83203125" defaultRowHeight="12" x14ac:dyDescent="0"/>
  <cols>
    <col min="1" max="1" width="4.5" customWidth="1"/>
  </cols>
  <sheetData>
    <row r="1" spans="1:14" s="129" customFormat="1" ht="17">
      <c r="A1" s="129" t="s">
        <v>222</v>
      </c>
    </row>
    <row r="3" spans="1:14" ht="52.5" customHeight="1">
      <c r="A3" s="248" t="s">
        <v>223</v>
      </c>
      <c r="B3" s="248"/>
      <c r="C3" s="248"/>
      <c r="D3" s="248"/>
      <c r="E3" s="248"/>
      <c r="F3" s="248"/>
      <c r="G3" s="248"/>
      <c r="H3" s="248"/>
      <c r="I3" s="248"/>
      <c r="J3" s="248"/>
      <c r="K3" s="248"/>
      <c r="L3" s="248"/>
      <c r="M3" s="248"/>
      <c r="N3" s="248"/>
    </row>
    <row r="4" spans="1:14" s="130" customFormat="1" ht="49.5" customHeight="1">
      <c r="A4" s="248" t="s">
        <v>224</v>
      </c>
      <c r="B4" s="248"/>
      <c r="C4" s="248"/>
      <c r="D4" s="248"/>
      <c r="E4" s="248"/>
      <c r="F4" s="248"/>
      <c r="G4" s="248"/>
      <c r="H4" s="248"/>
      <c r="I4" s="248"/>
      <c r="J4" s="248"/>
      <c r="K4" s="248"/>
      <c r="L4" s="248"/>
      <c r="M4" s="248"/>
      <c r="N4" s="248"/>
    </row>
    <row r="5" spans="1:14" s="130" customFormat="1" ht="48.75" customHeight="1">
      <c r="A5" s="248" t="s">
        <v>225</v>
      </c>
      <c r="B5" s="248"/>
      <c r="C5" s="248"/>
      <c r="D5" s="248"/>
      <c r="E5" s="248"/>
      <c r="F5" s="248"/>
      <c r="G5" s="248"/>
      <c r="H5" s="248"/>
      <c r="I5" s="248"/>
      <c r="J5" s="248"/>
      <c r="K5" s="248"/>
      <c r="L5" s="248"/>
      <c r="M5" s="248"/>
      <c r="N5" s="248"/>
    </row>
    <row r="6" spans="1:14" s="130" customFormat="1" ht="21.75" customHeight="1">
      <c r="A6" s="248" t="s">
        <v>177</v>
      </c>
      <c r="B6" s="248"/>
      <c r="C6" s="248"/>
      <c r="D6" s="248"/>
      <c r="E6" s="248"/>
      <c r="F6" s="248"/>
      <c r="G6" s="248"/>
      <c r="H6" s="248"/>
      <c r="I6" s="248"/>
      <c r="J6" s="248"/>
      <c r="K6" s="248"/>
      <c r="L6" s="248"/>
      <c r="M6" s="248"/>
      <c r="N6" s="248"/>
    </row>
    <row r="7" spans="1:14" s="130" customFormat="1" ht="36" customHeight="1">
      <c r="A7" s="131" t="s">
        <v>178</v>
      </c>
      <c r="B7" s="248" t="s">
        <v>226</v>
      </c>
      <c r="C7" s="248"/>
      <c r="D7" s="248"/>
      <c r="E7" s="248"/>
      <c r="F7" s="248"/>
      <c r="G7" s="248"/>
      <c r="H7" s="248"/>
      <c r="I7" s="248"/>
      <c r="J7" s="248"/>
      <c r="K7" s="248"/>
      <c r="L7" s="248"/>
      <c r="M7" s="248"/>
      <c r="N7" s="248"/>
    </row>
    <row r="8" spans="1:14" s="130" customFormat="1" ht="25.5" customHeight="1">
      <c r="A8" s="131" t="s">
        <v>179</v>
      </c>
      <c r="B8" s="249" t="s">
        <v>184</v>
      </c>
      <c r="C8" s="248"/>
      <c r="D8" s="248"/>
      <c r="E8" s="248"/>
      <c r="F8" s="248"/>
      <c r="G8" s="248"/>
      <c r="H8" s="248"/>
      <c r="I8" s="248"/>
      <c r="J8" s="248"/>
      <c r="K8" s="248"/>
      <c r="L8" s="248"/>
      <c r="M8" s="248"/>
      <c r="N8" s="248"/>
    </row>
    <row r="9" spans="1:14" s="130" customFormat="1" ht="99" customHeight="1">
      <c r="A9" s="131" t="s">
        <v>180</v>
      </c>
      <c r="B9" s="248" t="s">
        <v>227</v>
      </c>
      <c r="C9" s="248"/>
      <c r="D9" s="248"/>
      <c r="E9" s="248"/>
      <c r="F9" s="248"/>
      <c r="G9" s="248"/>
      <c r="H9" s="248"/>
      <c r="I9" s="248"/>
      <c r="J9" s="248"/>
      <c r="K9" s="248"/>
      <c r="L9" s="248"/>
      <c r="M9" s="248"/>
      <c r="N9" s="248"/>
    </row>
    <row r="10" spans="1:14" s="130" customFormat="1" ht="90" customHeight="1">
      <c r="A10" s="131" t="s">
        <v>181</v>
      </c>
      <c r="B10" s="248" t="s">
        <v>228</v>
      </c>
      <c r="C10" s="248"/>
      <c r="D10" s="248"/>
      <c r="E10" s="248"/>
      <c r="F10" s="248"/>
      <c r="G10" s="248"/>
      <c r="H10" s="248"/>
      <c r="I10" s="248"/>
      <c r="J10" s="248"/>
      <c r="K10" s="248"/>
      <c r="L10" s="248"/>
      <c r="M10" s="248"/>
      <c r="N10" s="248"/>
    </row>
    <row r="11" spans="1:14" s="130" customFormat="1" ht="77.25" customHeight="1">
      <c r="A11" s="131" t="s">
        <v>182</v>
      </c>
      <c r="B11" s="248" t="s">
        <v>229</v>
      </c>
      <c r="C11" s="248"/>
      <c r="D11" s="248"/>
      <c r="E11" s="248"/>
      <c r="F11" s="248"/>
      <c r="G11" s="248"/>
      <c r="H11" s="248"/>
      <c r="I11" s="248"/>
      <c r="J11" s="248"/>
      <c r="K11" s="248"/>
      <c r="L11" s="248"/>
      <c r="M11" s="248"/>
      <c r="N11" s="248"/>
    </row>
    <row r="12" spans="1:14" s="130" customFormat="1" ht="83.25" customHeight="1">
      <c r="A12" s="131" t="s">
        <v>183</v>
      </c>
      <c r="B12" s="248" t="s">
        <v>230</v>
      </c>
      <c r="C12" s="248"/>
      <c r="D12" s="248"/>
      <c r="E12" s="248"/>
      <c r="F12" s="248"/>
      <c r="G12" s="248"/>
      <c r="H12" s="248"/>
      <c r="I12" s="248"/>
      <c r="J12" s="248"/>
      <c r="K12" s="248"/>
      <c r="L12" s="248"/>
      <c r="M12" s="248"/>
      <c r="N12" s="248"/>
    </row>
    <row r="13" spans="1:14" s="130" customFormat="1" ht="107.25" customHeight="1">
      <c r="A13" s="131" t="s">
        <v>185</v>
      </c>
      <c r="B13" s="248" t="s">
        <v>232</v>
      </c>
      <c r="C13" s="248"/>
      <c r="D13" s="248"/>
      <c r="E13" s="248"/>
      <c r="F13" s="248"/>
      <c r="G13" s="248"/>
      <c r="H13" s="248"/>
      <c r="I13" s="248"/>
      <c r="J13" s="248"/>
      <c r="K13" s="248"/>
      <c r="L13" s="248"/>
      <c r="M13" s="248"/>
      <c r="N13" s="248"/>
    </row>
    <row r="15" spans="1:14" s="130" customFormat="1" ht="15">
      <c r="A15" s="130" t="s">
        <v>186</v>
      </c>
      <c r="B15" s="133"/>
      <c r="C15" s="134"/>
      <c r="D15" s="134"/>
      <c r="E15" s="134"/>
      <c r="F15" s="134"/>
      <c r="G15" s="134"/>
      <c r="H15" s="134"/>
      <c r="I15" s="134"/>
      <c r="J15" s="134"/>
      <c r="K15" s="134"/>
      <c r="L15" s="134"/>
      <c r="M15" s="134"/>
      <c r="N15" s="134"/>
    </row>
    <row r="16" spans="1:14" s="130" customFormat="1" ht="36" customHeight="1">
      <c r="A16" s="131" t="s">
        <v>178</v>
      </c>
      <c r="B16" s="248" t="s">
        <v>187</v>
      </c>
      <c r="C16" s="248"/>
      <c r="D16" s="248"/>
      <c r="E16" s="248"/>
      <c r="F16" s="248"/>
      <c r="G16" s="248"/>
      <c r="H16" s="248"/>
      <c r="I16" s="248"/>
      <c r="J16" s="248"/>
      <c r="K16" s="248"/>
      <c r="L16" s="248"/>
      <c r="M16" s="248"/>
      <c r="N16" s="248"/>
    </row>
    <row r="17" spans="1:14" s="130" customFormat="1" ht="21.75" customHeight="1">
      <c r="A17" s="131" t="s">
        <v>179</v>
      </c>
      <c r="B17" s="248" t="s">
        <v>188</v>
      </c>
      <c r="C17" s="248"/>
      <c r="D17" s="248"/>
      <c r="E17" s="248"/>
      <c r="F17" s="248"/>
      <c r="G17" s="248"/>
      <c r="H17" s="248"/>
      <c r="I17" s="248"/>
      <c r="J17" s="248"/>
      <c r="K17" s="248"/>
      <c r="L17" s="248"/>
      <c r="M17" s="248"/>
      <c r="N17" s="248"/>
    </row>
    <row r="18" spans="1:14" s="130" customFormat="1" ht="51.75" customHeight="1">
      <c r="A18" s="131" t="s">
        <v>180</v>
      </c>
      <c r="B18" s="248" t="s">
        <v>189</v>
      </c>
      <c r="C18" s="248"/>
      <c r="D18" s="248"/>
      <c r="E18" s="248"/>
      <c r="F18" s="248"/>
      <c r="G18" s="248"/>
      <c r="H18" s="248"/>
      <c r="I18" s="248"/>
      <c r="J18" s="248"/>
      <c r="K18" s="248"/>
      <c r="L18" s="248"/>
      <c r="M18" s="248"/>
      <c r="N18" s="248"/>
    </row>
    <row r="19" spans="1:14" s="130" customFormat="1" ht="64.5" customHeight="1">
      <c r="A19" s="131" t="s">
        <v>181</v>
      </c>
      <c r="B19" s="248" t="s">
        <v>235</v>
      </c>
      <c r="C19" s="248"/>
      <c r="D19" s="248"/>
      <c r="E19" s="248"/>
      <c r="F19" s="248"/>
      <c r="G19" s="248"/>
      <c r="H19" s="248"/>
      <c r="I19" s="248"/>
      <c r="J19" s="248"/>
      <c r="K19" s="248"/>
      <c r="L19" s="248"/>
      <c r="M19" s="248"/>
      <c r="N19" s="248"/>
    </row>
    <row r="20" spans="1:14" s="130" customFormat="1" ht="96.75" customHeight="1">
      <c r="A20" s="131" t="s">
        <v>182</v>
      </c>
      <c r="B20" s="248" t="s">
        <v>236</v>
      </c>
      <c r="C20" s="248"/>
      <c r="D20" s="248"/>
      <c r="E20" s="248"/>
      <c r="F20" s="248"/>
      <c r="G20" s="248"/>
      <c r="H20" s="248"/>
      <c r="I20" s="248"/>
      <c r="J20" s="248"/>
      <c r="K20" s="248"/>
      <c r="L20" s="248"/>
      <c r="M20" s="248"/>
      <c r="N20" s="248"/>
    </row>
    <row r="21" spans="1:14" s="130" customFormat="1" ht="39.75" customHeight="1">
      <c r="A21" s="131" t="s">
        <v>183</v>
      </c>
      <c r="B21" s="248" t="s">
        <v>239</v>
      </c>
      <c r="C21" s="248"/>
      <c r="D21" s="248"/>
      <c r="E21" s="248"/>
      <c r="F21" s="248"/>
      <c r="G21" s="248"/>
      <c r="H21" s="248"/>
      <c r="I21" s="248"/>
      <c r="J21" s="248"/>
      <c r="K21" s="248"/>
      <c r="L21" s="248"/>
      <c r="M21" s="248"/>
      <c r="N21" s="248"/>
    </row>
    <row r="22" spans="1:14" s="130" customFormat="1" ht="15"/>
    <row r="23" spans="1:14" s="130" customFormat="1" ht="15"/>
    <row r="24" spans="1:14" s="130" customFormat="1" ht="15"/>
    <row r="25" spans="1:14" s="130" customFormat="1" ht="15"/>
    <row r="26" spans="1:14" s="130" customFormat="1" ht="15"/>
  </sheetData>
  <sheetProtection sheet="1" objects="1" scenarios="1"/>
  <mergeCells count="17">
    <mergeCell ref="A3:N3"/>
    <mergeCell ref="B19:N19"/>
    <mergeCell ref="B20:N20"/>
    <mergeCell ref="B21:N21"/>
    <mergeCell ref="B18:N18"/>
    <mergeCell ref="B11:N11"/>
    <mergeCell ref="B12:N12"/>
    <mergeCell ref="B13:N13"/>
    <mergeCell ref="B8:N8"/>
    <mergeCell ref="B9:N9"/>
    <mergeCell ref="B10:N10"/>
    <mergeCell ref="B17:N17"/>
    <mergeCell ref="B16:N16"/>
    <mergeCell ref="A4:N4"/>
    <mergeCell ref="A5:N5"/>
    <mergeCell ref="A6:N6"/>
    <mergeCell ref="B7:N7"/>
  </mergeCells>
  <phoneticPr fontId="0" type="noConversion"/>
  <pageMargins left="0.75" right="0.75" top="1" bottom="1" header="0.5" footer="0.5"/>
  <pageSetup orientation="portrait" horizontalDpi="4294967293" verticalDpi="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7"/>
  <sheetViews>
    <sheetView topLeftCell="I145" zoomScale="75" workbookViewId="0">
      <selection activeCell="C158" sqref="C158"/>
    </sheetView>
  </sheetViews>
  <sheetFormatPr baseColWidth="10" defaultColWidth="9.1640625" defaultRowHeight="12" x14ac:dyDescent="0"/>
  <cols>
    <col min="1" max="2" width="9.1640625" style="159"/>
    <col min="3" max="3" width="9.83203125" style="159" customWidth="1"/>
    <col min="4" max="4" width="9.1640625" style="159"/>
    <col min="5" max="5" width="10" style="159" customWidth="1"/>
    <col min="6" max="11" width="9.1640625" style="159"/>
    <col min="12" max="13" width="10.5" style="159" customWidth="1"/>
    <col min="14" max="16" width="9.1640625" style="159"/>
    <col min="17" max="16384" width="9.1640625" style="160"/>
  </cols>
  <sheetData>
    <row r="1" spans="1:13">
      <c r="A1" s="158" t="s">
        <v>36</v>
      </c>
    </row>
    <row r="2" spans="1:13">
      <c r="A2" s="159" t="s">
        <v>4</v>
      </c>
    </row>
    <row r="3" spans="1:13">
      <c r="A3" s="159" t="s">
        <v>5</v>
      </c>
      <c r="C3" s="159" t="s">
        <v>122</v>
      </c>
      <c r="I3" s="159" t="s">
        <v>37</v>
      </c>
    </row>
    <row r="4" spans="1:13">
      <c r="A4" s="159" t="s">
        <v>6</v>
      </c>
      <c r="C4" s="159" t="s">
        <v>123</v>
      </c>
    </row>
    <row r="6" spans="1:13">
      <c r="G6" s="161" t="s">
        <v>7</v>
      </c>
      <c r="H6" s="161"/>
      <c r="I6" s="161"/>
      <c r="J6" s="161"/>
      <c r="K6" s="161"/>
      <c r="L6" s="161"/>
      <c r="M6" s="159" t="s">
        <v>8</v>
      </c>
    </row>
    <row r="7" spans="1:13">
      <c r="A7" s="159" t="s">
        <v>0</v>
      </c>
      <c r="B7" s="159" t="s">
        <v>3</v>
      </c>
      <c r="C7" s="159" t="s">
        <v>124</v>
      </c>
      <c r="D7" s="159" t="s">
        <v>125</v>
      </c>
      <c r="E7" s="159" t="s">
        <v>47</v>
      </c>
      <c r="F7" s="159" t="s">
        <v>9</v>
      </c>
      <c r="G7" s="159">
        <v>1</v>
      </c>
      <c r="H7" s="159">
        <v>0.3</v>
      </c>
      <c r="I7" s="159">
        <v>0.1</v>
      </c>
      <c r="J7" s="159">
        <v>0.01</v>
      </c>
      <c r="K7" s="159">
        <v>1E-3</v>
      </c>
      <c r="L7" s="159">
        <v>0</v>
      </c>
    </row>
    <row r="8" spans="1:13">
      <c r="A8" s="159">
        <v>200</v>
      </c>
      <c r="B8" s="159">
        <f t="shared" ref="B8:B14" si="0">A8+273</f>
        <v>473</v>
      </c>
      <c r="C8" s="162">
        <f>10^(4.7593-0.01092*$A8)</f>
        <v>376.09711325976934</v>
      </c>
      <c r="D8" s="162">
        <f>10^(6.2283-0.01403*$A8)</f>
        <v>2644.2346992115899</v>
      </c>
      <c r="E8" s="162">
        <f>10^(6.0783-0.01383*$A8)</f>
        <v>2052.5795609525312</v>
      </c>
      <c r="F8" s="159">
        <f>9.76-5075/($A8+273)-4*LOG($A8+273)</f>
        <v>-11.668831455128837</v>
      </c>
      <c r="G8" s="163">
        <f t="shared" ref="G8:L14" si="1">LOG(G$7+(1-G$7)/$C8)+4*LOG(G$7+(1-G$7)/$D8)-LOG(G$7+(1-G$7)/$E8)+$F8</f>
        <v>-11.668831455128837</v>
      </c>
      <c r="H8" s="163">
        <f t="shared" si="1"/>
        <v>-13.756621533584269</v>
      </c>
      <c r="I8" s="163">
        <f t="shared" si="1"/>
        <v>-15.654558618274443</v>
      </c>
      <c r="J8" s="163">
        <f t="shared" si="1"/>
        <v>-19.523954611393165</v>
      </c>
      <c r="K8" s="163">
        <f t="shared" si="1"/>
        <v>-22.721274183617489</v>
      </c>
      <c r="L8" s="163">
        <f t="shared" si="1"/>
        <v>-24.621031455128836</v>
      </c>
      <c r="M8" s="163">
        <f t="shared" ref="M8:M14" si="2">9.76-5075/$B8-4*LOG($B8)</f>
        <v>-11.668831455128837</v>
      </c>
    </row>
    <row r="9" spans="1:13">
      <c r="A9" s="159">
        <v>225</v>
      </c>
      <c r="B9" s="159">
        <f t="shared" si="0"/>
        <v>498</v>
      </c>
      <c r="C9" s="162">
        <f t="shared" ref="C9:C14" si="3">10^(4.7593-0.01092*A9)</f>
        <v>200.58571459359496</v>
      </c>
      <c r="D9" s="162">
        <f t="shared" ref="D9:D14" si="4">10^(6.2283-0.01403*A9)</f>
        <v>1179.0982641340704</v>
      </c>
      <c r="E9" s="162">
        <f t="shared" ref="E9:E14" si="5">10^(6.0783-0.01383*A9)</f>
        <v>925.8699737049501</v>
      </c>
      <c r="F9" s="159">
        <f>9.76-5075/($A9+273)-4*LOG($A9+273)</f>
        <v>-11.219680423247706</v>
      </c>
      <c r="G9" s="163">
        <f t="shared" si="1"/>
        <v>-11.219680423247706</v>
      </c>
      <c r="H9" s="163">
        <f t="shared" si="1"/>
        <v>-13.303831372137275</v>
      </c>
      <c r="I9" s="163">
        <f t="shared" si="1"/>
        <v>-15.191610511369088</v>
      </c>
      <c r="J9" s="163">
        <f t="shared" si="1"/>
        <v>-18.949521112055187</v>
      </c>
      <c r="K9" s="163">
        <f t="shared" si="1"/>
        <v>-21.694690660303575</v>
      </c>
      <c r="L9" s="163">
        <f t="shared" si="1"/>
        <v>-22.841630423247707</v>
      </c>
      <c r="M9" s="163">
        <f t="shared" si="2"/>
        <v>-11.219680423247706</v>
      </c>
    </row>
    <row r="10" spans="1:13">
      <c r="A10" s="159">
        <v>250</v>
      </c>
      <c r="B10" s="159">
        <f t="shared" si="0"/>
        <v>523</v>
      </c>
      <c r="C10" s="162">
        <f t="shared" si="3"/>
        <v>106.97936112908468</v>
      </c>
      <c r="D10" s="162">
        <f t="shared" si="4"/>
        <v>525.77508225669396</v>
      </c>
      <c r="E10" s="162">
        <f t="shared" si="5"/>
        <v>417.63799295097363</v>
      </c>
      <c r="F10" s="159">
        <f>9.76-5075/$B10-4*LOG($B10)</f>
        <v>-10.81763964265839</v>
      </c>
      <c r="G10" s="163">
        <f t="shared" si="1"/>
        <v>-10.81763964265839</v>
      </c>
      <c r="H10" s="163">
        <f t="shared" si="1"/>
        <v>-12.894511311435886</v>
      </c>
      <c r="I10" s="163">
        <f t="shared" si="1"/>
        <v>-14.762333805387252</v>
      </c>
      <c r="J10" s="163">
        <f t="shared" si="1"/>
        <v>-18.325807474943758</v>
      </c>
      <c r="K10" s="163">
        <f t="shared" si="1"/>
        <v>-20.484028360465587</v>
      </c>
      <c r="L10" s="163">
        <f t="shared" si="1"/>
        <v>-21.109339642658391</v>
      </c>
      <c r="M10" s="163">
        <f t="shared" si="2"/>
        <v>-10.81763964265839</v>
      </c>
    </row>
    <row r="11" spans="1:13">
      <c r="A11" s="159">
        <v>275</v>
      </c>
      <c r="B11" s="159">
        <f t="shared" si="0"/>
        <v>548</v>
      </c>
      <c r="C11" s="162">
        <f t="shared" si="3"/>
        <v>57.055826387112866</v>
      </c>
      <c r="D11" s="162">
        <f t="shared" si="4"/>
        <v>234.44987201728316</v>
      </c>
      <c r="E11" s="162">
        <f t="shared" si="5"/>
        <v>188.38659650896162</v>
      </c>
      <c r="F11" s="159">
        <f>9.76-5075/$B11-4*LOG($B11)</f>
        <v>-10.456071139046966</v>
      </c>
      <c r="G11" s="163">
        <f t="shared" si="1"/>
        <v>-10.456071139046966</v>
      </c>
      <c r="H11" s="163">
        <f t="shared" si="1"/>
        <v>-12.51832143649778</v>
      </c>
      <c r="I11" s="163">
        <f t="shared" si="1"/>
        <v>-14.347289465286359</v>
      </c>
      <c r="J11" s="163">
        <f t="shared" si="1"/>
        <v>-17.590585440081654</v>
      </c>
      <c r="K11" s="163">
        <f t="shared" si="1"/>
        <v>-19.103940387281305</v>
      </c>
      <c r="L11" s="163">
        <f t="shared" si="1"/>
        <v>-19.417521139046965</v>
      </c>
      <c r="M11" s="163">
        <f t="shared" si="2"/>
        <v>-10.456071139046966</v>
      </c>
    </row>
    <row r="12" spans="1:13">
      <c r="A12" s="159">
        <v>300</v>
      </c>
      <c r="B12" s="159">
        <f t="shared" si="0"/>
        <v>573</v>
      </c>
      <c r="C12" s="162">
        <f t="shared" si="3"/>
        <v>30.429863203130687</v>
      </c>
      <c r="D12" s="162">
        <f t="shared" si="4"/>
        <v>104.54421356941471</v>
      </c>
      <c r="E12" s="162">
        <f t="shared" si="5"/>
        <v>84.976727077597261</v>
      </c>
      <c r="F12" s="159">
        <f>9.76-5075/$B12-4*LOG($B12)</f>
        <v>-10.129512030626977</v>
      </c>
      <c r="G12" s="163">
        <f t="shared" si="1"/>
        <v>-10.129512030626977</v>
      </c>
      <c r="H12" s="163">
        <f t="shared" si="1"/>
        <v>-12.162359124865398</v>
      </c>
      <c r="I12" s="163">
        <f t="shared" si="1"/>
        <v>-13.917247049515639</v>
      </c>
      <c r="J12" s="163">
        <f t="shared" si="1"/>
        <v>-16.678805384591165</v>
      </c>
      <c r="K12" s="163">
        <f t="shared" si="1"/>
        <v>-17.611976274375731</v>
      </c>
      <c r="L12" s="163">
        <f t="shared" si="1"/>
        <v>-17.760712030626976</v>
      </c>
      <c r="M12" s="163">
        <f t="shared" si="2"/>
        <v>-10.129512030626977</v>
      </c>
    </row>
    <row r="13" spans="1:13">
      <c r="A13" s="159">
        <v>325</v>
      </c>
      <c r="B13" s="159">
        <f t="shared" si="0"/>
        <v>598</v>
      </c>
      <c r="C13" s="162">
        <f t="shared" si="3"/>
        <v>16.2293079111443</v>
      </c>
      <c r="D13" s="162">
        <f t="shared" si="4"/>
        <v>46.617609541888406</v>
      </c>
      <c r="E13" s="162">
        <f t="shared" si="5"/>
        <v>38.33098680392019</v>
      </c>
      <c r="F13" s="159">
        <f>9.76-5075/$B13-4*LOG($B13)</f>
        <v>-9.8334268095322379</v>
      </c>
      <c r="G13" s="163">
        <f t="shared" si="1"/>
        <v>-9.8334268095322379</v>
      </c>
      <c r="H13" s="163">
        <f t="shared" si="1"/>
        <v>-11.807421289405006</v>
      </c>
      <c r="I13" s="163">
        <f t="shared" si="1"/>
        <v>-13.426767756165228</v>
      </c>
      <c r="J13" s="163">
        <f t="shared" si="1"/>
        <v>-15.557726807233337</v>
      </c>
      <c r="K13" s="163">
        <f t="shared" si="1"/>
        <v>-16.06623845928295</v>
      </c>
      <c r="L13" s="163">
        <f t="shared" si="1"/>
        <v>-16.134376809532238</v>
      </c>
      <c r="M13" s="163">
        <f t="shared" si="2"/>
        <v>-9.8334268095322379</v>
      </c>
    </row>
    <row r="14" spans="1:13">
      <c r="A14" s="159">
        <v>350</v>
      </c>
      <c r="B14" s="159">
        <f t="shared" si="0"/>
        <v>623</v>
      </c>
      <c r="C14" s="162">
        <f t="shared" si="3"/>
        <v>8.6556562386265696</v>
      </c>
      <c r="D14" s="162">
        <f t="shared" si="4"/>
        <v>20.787391718787124</v>
      </c>
      <c r="E14" s="162">
        <f t="shared" si="5"/>
        <v>17.290199327406771</v>
      </c>
      <c r="F14" s="159">
        <f>9.76-5075/$B14-4*LOG($B14)</f>
        <v>-9.5640196023670168</v>
      </c>
      <c r="G14" s="163">
        <f t="shared" si="1"/>
        <v>-9.5640196023670168</v>
      </c>
      <c r="H14" s="163">
        <f t="shared" si="1"/>
        <v>-11.422048218010929</v>
      </c>
      <c r="I14" s="163">
        <f t="shared" si="1"/>
        <v>-12.811499710293015</v>
      </c>
      <c r="J14" s="163">
        <f t="shared" si="1"/>
        <v>-14.25458143034415</v>
      </c>
      <c r="K14" s="163">
        <f t="shared" si="1"/>
        <v>-14.504386639947171</v>
      </c>
      <c r="L14" s="163">
        <f t="shared" si="1"/>
        <v>-14.534719602367019</v>
      </c>
      <c r="M14" s="163">
        <f t="shared" si="2"/>
        <v>-9.5640196023670168</v>
      </c>
    </row>
    <row r="15" spans="1:13">
      <c r="C15" s="162"/>
      <c r="D15" s="162"/>
      <c r="E15" s="162"/>
      <c r="G15" s="163"/>
      <c r="H15" s="163"/>
      <c r="I15" s="163"/>
      <c r="J15" s="163"/>
      <c r="K15" s="163"/>
      <c r="L15" s="163"/>
    </row>
    <row r="16" spans="1:13">
      <c r="C16" s="162"/>
      <c r="D16" s="162"/>
      <c r="E16" s="162"/>
      <c r="G16" s="163"/>
      <c r="H16" s="163"/>
      <c r="I16" s="163"/>
      <c r="J16" s="163"/>
      <c r="K16" s="163"/>
      <c r="L16" s="163"/>
    </row>
    <row r="17" spans="1:15">
      <c r="C17" s="162"/>
      <c r="D17" s="162"/>
      <c r="E17" s="162"/>
      <c r="G17" s="163"/>
      <c r="H17" s="163"/>
      <c r="I17" s="163"/>
      <c r="J17" s="163"/>
      <c r="K17" s="163"/>
      <c r="L17" s="163"/>
    </row>
    <row r="18" spans="1:15">
      <c r="C18" s="162"/>
      <c r="D18" s="162"/>
      <c r="E18" s="162"/>
      <c r="G18" s="163"/>
      <c r="H18" s="163"/>
      <c r="I18" s="163"/>
      <c r="J18" s="163"/>
      <c r="K18" s="163"/>
      <c r="L18" s="163"/>
    </row>
    <row r="19" spans="1:15">
      <c r="C19" s="162"/>
      <c r="D19" s="162"/>
      <c r="E19" s="162"/>
      <c r="G19" s="163"/>
      <c r="H19" s="163"/>
      <c r="I19" s="163"/>
      <c r="J19" s="163"/>
      <c r="K19" s="163"/>
      <c r="L19" s="163"/>
    </row>
    <row r="20" spans="1:15">
      <c r="C20" s="162"/>
      <c r="D20" s="162"/>
      <c r="E20" s="162"/>
      <c r="G20" s="163"/>
      <c r="H20" s="163"/>
      <c r="I20" s="163"/>
      <c r="J20" s="163"/>
      <c r="K20" s="163"/>
      <c r="L20" s="163"/>
    </row>
    <row r="21" spans="1:15">
      <c r="A21" s="158" t="s">
        <v>10</v>
      </c>
      <c r="O21" s="158"/>
    </row>
    <row r="22" spans="1:15">
      <c r="A22" s="159" t="s">
        <v>11</v>
      </c>
      <c r="C22" s="159" t="s">
        <v>12</v>
      </c>
    </row>
    <row r="23" spans="1:15">
      <c r="A23" s="159" t="s">
        <v>13</v>
      </c>
      <c r="C23" s="159" t="s">
        <v>126</v>
      </c>
    </row>
    <row r="24" spans="1:15">
      <c r="A24" s="159" t="s">
        <v>14</v>
      </c>
      <c r="C24" s="159" t="s">
        <v>127</v>
      </c>
    </row>
    <row r="26" spans="1:15">
      <c r="G26" s="161" t="s">
        <v>7</v>
      </c>
      <c r="H26" s="161"/>
      <c r="I26" s="161"/>
      <c r="J26" s="161"/>
      <c r="K26" s="161"/>
      <c r="L26" s="161"/>
      <c r="M26" s="164"/>
    </row>
    <row r="27" spans="1:15">
      <c r="A27" s="159" t="s">
        <v>0</v>
      </c>
      <c r="B27" s="159" t="s">
        <v>3</v>
      </c>
      <c r="C27" s="159" t="s">
        <v>128</v>
      </c>
      <c r="D27" s="159" t="s">
        <v>125</v>
      </c>
      <c r="E27" s="159" t="s">
        <v>129</v>
      </c>
      <c r="F27" s="159" t="s">
        <v>9</v>
      </c>
      <c r="G27" s="159">
        <f t="shared" ref="G27:L27" si="6">G$7</f>
        <v>1</v>
      </c>
      <c r="H27" s="159">
        <f t="shared" si="6"/>
        <v>0.3</v>
      </c>
      <c r="I27" s="159">
        <f t="shared" si="6"/>
        <v>0.1</v>
      </c>
      <c r="J27" s="159">
        <f t="shared" si="6"/>
        <v>0.01</v>
      </c>
      <c r="K27" s="159">
        <f t="shared" si="6"/>
        <v>1E-3</v>
      </c>
      <c r="L27" s="159">
        <f t="shared" si="6"/>
        <v>0</v>
      </c>
      <c r="M27" s="164"/>
    </row>
    <row r="28" spans="1:15">
      <c r="A28" s="159">
        <v>200</v>
      </c>
      <c r="B28" s="159">
        <f t="shared" ref="B28:B34" si="7">A28+273</f>
        <v>473</v>
      </c>
      <c r="C28" s="162">
        <f>10^(6.4426-0.01416*$A28)</f>
        <v>4079.4348341609571</v>
      </c>
      <c r="D28" s="162">
        <f t="shared" ref="D28:D34" si="8">10^(6.2283-0.01403*A28)</f>
        <v>2644.2346992115899</v>
      </c>
      <c r="E28" s="162">
        <f>10^(1.4113-0.00292*$A28)</f>
        <v>6.718928197763022</v>
      </c>
      <c r="F28" s="163">
        <f>5.79 - 1228/($A28+273)-2*LOG($A28+273)</f>
        <v>-2.1559167846468705</v>
      </c>
      <c r="G28" s="163">
        <f t="shared" ref="G28:L34" si="9">LOG(G$27+(1-G$27)/$C28)+3*LOG(G$27+(1-G$27)/$D28)-2*LOG(G$27+(1-G$27)/$E28)+$F28</f>
        <v>-2.1559167846468705</v>
      </c>
      <c r="H28" s="163">
        <f t="shared" si="9"/>
        <v>-3.4591909390594657</v>
      </c>
      <c r="I28" s="163">
        <f t="shared" si="9"/>
        <v>-4.888778559844317</v>
      </c>
      <c r="J28" s="163">
        <f t="shared" si="9"/>
        <v>-8.4913197576398396</v>
      </c>
      <c r="K28" s="163">
        <f t="shared" si="9"/>
        <v>-11.993578699472696</v>
      </c>
      <c r="L28" s="163">
        <f t="shared" si="9"/>
        <v>-14.378816784646872</v>
      </c>
      <c r="M28" s="163"/>
    </row>
    <row r="29" spans="1:15">
      <c r="A29" s="159">
        <v>225</v>
      </c>
      <c r="B29" s="159">
        <f t="shared" si="7"/>
        <v>498</v>
      </c>
      <c r="C29" s="162">
        <f t="shared" ref="C29:C34" si="10">10^(6.4426-0.01416*A29)</f>
        <v>1805.5104234107002</v>
      </c>
      <c r="D29" s="162">
        <f t="shared" si="8"/>
        <v>1179.0982641340704</v>
      </c>
      <c r="E29" s="162">
        <f t="shared" ref="E29:E34" si="11">10^(1.4113-0.00292*A29)</f>
        <v>5.6793678677200354</v>
      </c>
      <c r="F29" s="163">
        <f t="shared" ref="F29:F34" si="12">5.79 - 1228/B29-2*LOG(B29)</f>
        <v>-2.0703221393346962</v>
      </c>
      <c r="G29" s="163">
        <f t="shared" si="9"/>
        <v>-2.0703221393346962</v>
      </c>
      <c r="H29" s="163">
        <f t="shared" si="9"/>
        <v>-3.4119008862115314</v>
      </c>
      <c r="I29" s="163">
        <f t="shared" si="9"/>
        <v>-4.8830702961589054</v>
      </c>
      <c r="J29" s="163">
        <f t="shared" si="9"/>
        <v>-8.4732182331805621</v>
      </c>
      <c r="K29" s="163">
        <f t="shared" si="9"/>
        <v>-11.574937641477042</v>
      </c>
      <c r="L29" s="163">
        <f t="shared" si="9"/>
        <v>-13.032972139334698</v>
      </c>
      <c r="M29" s="163"/>
    </row>
    <row r="30" spans="1:15">
      <c r="A30" s="159">
        <v>250</v>
      </c>
      <c r="B30" s="159">
        <f t="shared" si="7"/>
        <v>523</v>
      </c>
      <c r="C30" s="162">
        <f t="shared" si="10"/>
        <v>799.09791958109827</v>
      </c>
      <c r="D30" s="162">
        <f t="shared" si="8"/>
        <v>525.77508225669396</v>
      </c>
      <c r="E30" s="162">
        <f t="shared" si="11"/>
        <v>4.8006495124668493</v>
      </c>
      <c r="F30" s="163">
        <f t="shared" si="12"/>
        <v>-1.9949957295509919</v>
      </c>
      <c r="G30" s="163">
        <f t="shared" si="9"/>
        <v>-1.9949957295509919</v>
      </c>
      <c r="H30" s="163">
        <f t="shared" si="9"/>
        <v>-3.3777818026647042</v>
      </c>
      <c r="I30" s="163">
        <f t="shared" si="9"/>
        <v>-4.8852173042350504</v>
      </c>
      <c r="J30" s="163">
        <f t="shared" si="9"/>
        <v>-8.3893010801810917</v>
      </c>
      <c r="K30" s="163">
        <f t="shared" si="9"/>
        <v>-10.896259977267377</v>
      </c>
      <c r="L30" s="163">
        <f t="shared" si="9"/>
        <v>-11.697395729550989</v>
      </c>
      <c r="M30" s="163"/>
    </row>
    <row r="31" spans="1:15">
      <c r="A31" s="159">
        <v>275</v>
      </c>
      <c r="B31" s="159">
        <f t="shared" si="7"/>
        <v>548</v>
      </c>
      <c r="C31" s="162">
        <f t="shared" si="10"/>
        <v>353.67144758575921</v>
      </c>
      <c r="D31" s="162">
        <f t="shared" si="8"/>
        <v>234.44987201728316</v>
      </c>
      <c r="E31" s="162">
        <f t="shared" si="11"/>
        <v>4.0578874759172878</v>
      </c>
      <c r="F31" s="163">
        <f t="shared" si="12"/>
        <v>-1.9284370293774975</v>
      </c>
      <c r="G31" s="163">
        <f t="shared" si="9"/>
        <v>-1.9284370293774975</v>
      </c>
      <c r="H31" s="163">
        <f t="shared" si="9"/>
        <v>-3.353003647964071</v>
      </c>
      <c r="I31" s="163">
        <f t="shared" si="9"/>
        <v>-4.8835908555471246</v>
      </c>
      <c r="J31" s="163">
        <f t="shared" si="9"/>
        <v>-8.1718747338289788</v>
      </c>
      <c r="K31" s="163">
        <f t="shared" si="9"/>
        <v>-9.9686821882842978</v>
      </c>
      <c r="L31" s="163">
        <f t="shared" si="9"/>
        <v>-10.370587029377496</v>
      </c>
      <c r="M31" s="163"/>
    </row>
    <row r="32" spans="1:15">
      <c r="A32" s="159">
        <v>300</v>
      </c>
      <c r="B32" s="159">
        <f t="shared" si="7"/>
        <v>573</v>
      </c>
      <c r="C32" s="162">
        <f t="shared" si="10"/>
        <v>156.53087033811511</v>
      </c>
      <c r="D32" s="162">
        <f t="shared" si="8"/>
        <v>104.54421356941471</v>
      </c>
      <c r="E32" s="162">
        <f t="shared" si="11"/>
        <v>3.430046439433768</v>
      </c>
      <c r="F32" s="163">
        <f t="shared" si="12"/>
        <v>-1.8694157011773624</v>
      </c>
      <c r="G32" s="163">
        <f t="shared" si="9"/>
        <v>-1.8694157011773624</v>
      </c>
      <c r="H32" s="163">
        <f t="shared" si="9"/>
        <v>-3.3307421861202782</v>
      </c>
      <c r="I32" s="163">
        <f t="shared" si="9"/>
        <v>-4.8558871851279539</v>
      </c>
      <c r="J32" s="163">
        <f t="shared" si="9"/>
        <v>-7.738750784424238</v>
      </c>
      <c r="K32" s="163">
        <f t="shared" si="9"/>
        <v>-8.8622730863610002</v>
      </c>
      <c r="L32" s="163">
        <f t="shared" si="9"/>
        <v>-9.0513157011773586</v>
      </c>
      <c r="M32" s="163"/>
    </row>
    <row r="33" spans="1:13">
      <c r="A33" s="159">
        <v>325</v>
      </c>
      <c r="B33" s="159">
        <f t="shared" si="7"/>
        <v>598</v>
      </c>
      <c r="C33" s="162">
        <f t="shared" si="10"/>
        <v>69.278743127451676</v>
      </c>
      <c r="D33" s="162">
        <f t="shared" si="8"/>
        <v>46.617609541888406</v>
      </c>
      <c r="E33" s="162">
        <f t="shared" si="11"/>
        <v>2.8993456931707393</v>
      </c>
      <c r="F33" s="163">
        <f t="shared" si="12"/>
        <v>-1.8169140736624403</v>
      </c>
      <c r="G33" s="163">
        <f t="shared" si="9"/>
        <v>-1.8169140736624403</v>
      </c>
      <c r="H33" s="163">
        <f t="shared" si="9"/>
        <v>-3.2975003049103746</v>
      </c>
      <c r="I33" s="163">
        <f t="shared" si="9"/>
        <v>-4.7603294364457325</v>
      </c>
      <c r="J33" s="163">
        <f t="shared" si="9"/>
        <v>-7.0392359125807129</v>
      </c>
      <c r="K33" s="163">
        <f t="shared" si="9"/>
        <v>-7.6534090067149814</v>
      </c>
      <c r="L33" s="163">
        <f t="shared" si="9"/>
        <v>-7.7385640736624399</v>
      </c>
      <c r="M33" s="163"/>
    </row>
    <row r="34" spans="1:13">
      <c r="A34" s="159">
        <v>350</v>
      </c>
      <c r="B34" s="159">
        <f t="shared" si="7"/>
        <v>623</v>
      </c>
      <c r="C34" s="162">
        <f t="shared" si="10"/>
        <v>30.66196616010733</v>
      </c>
      <c r="D34" s="162">
        <f t="shared" si="8"/>
        <v>20.787391718787124</v>
      </c>
      <c r="E34" s="162">
        <f t="shared" si="11"/>
        <v>2.4507555792438223</v>
      </c>
      <c r="F34" s="163">
        <f t="shared" si="12"/>
        <v>-1.7700836374595914</v>
      </c>
      <c r="G34" s="163">
        <f t="shared" si="9"/>
        <v>-1.7700836374595914</v>
      </c>
      <c r="H34" s="163">
        <f t="shared" si="9"/>
        <v>-3.2263831906335612</v>
      </c>
      <c r="I34" s="163">
        <f t="shared" si="9"/>
        <v>-4.528680257062037</v>
      </c>
      <c r="J34" s="163">
        <f t="shared" si="9"/>
        <v>-6.0959482806714389</v>
      </c>
      <c r="K34" s="163">
        <f t="shared" si="9"/>
        <v>-6.3945192489661595</v>
      </c>
      <c r="L34" s="163">
        <f t="shared" si="9"/>
        <v>-6.431483637459591</v>
      </c>
      <c r="M34" s="163"/>
    </row>
    <row r="35" spans="1:13">
      <c r="C35" s="162"/>
      <c r="D35" s="162"/>
      <c r="E35" s="162"/>
      <c r="F35" s="163"/>
      <c r="G35" s="163"/>
      <c r="H35" s="163"/>
      <c r="I35" s="163"/>
      <c r="J35" s="163"/>
      <c r="K35" s="163"/>
      <c r="L35" s="163"/>
      <c r="M35" s="163"/>
    </row>
    <row r="36" spans="1:13">
      <c r="C36" s="162"/>
      <c r="D36" s="162"/>
      <c r="E36" s="162"/>
      <c r="F36" s="163"/>
      <c r="G36" s="163"/>
      <c r="H36" s="163"/>
      <c r="I36" s="163"/>
      <c r="J36" s="163"/>
      <c r="K36" s="163"/>
      <c r="L36" s="163"/>
      <c r="M36" s="163"/>
    </row>
    <row r="37" spans="1:13">
      <c r="C37" s="162"/>
      <c r="D37" s="162"/>
      <c r="E37" s="162"/>
      <c r="F37" s="163"/>
      <c r="G37" s="163"/>
      <c r="H37" s="163"/>
      <c r="I37" s="163"/>
      <c r="J37" s="163"/>
      <c r="K37" s="163"/>
      <c r="L37" s="163"/>
      <c r="M37" s="163"/>
    </row>
    <row r="38" spans="1:13">
      <c r="C38" s="162"/>
      <c r="D38" s="162"/>
      <c r="E38" s="162"/>
      <c r="F38" s="163"/>
      <c r="G38" s="163"/>
      <c r="H38" s="163"/>
      <c r="I38" s="163"/>
      <c r="J38" s="163"/>
      <c r="K38" s="163"/>
      <c r="L38" s="163"/>
      <c r="M38" s="163"/>
    </row>
    <row r="39" spans="1:13">
      <c r="C39" s="162"/>
      <c r="D39" s="162"/>
      <c r="E39" s="162"/>
      <c r="F39" s="163"/>
      <c r="G39" s="163"/>
      <c r="H39" s="163"/>
      <c r="I39" s="163"/>
      <c r="J39" s="163"/>
      <c r="K39" s="163"/>
      <c r="L39" s="163"/>
      <c r="M39" s="163"/>
    </row>
    <row r="40" spans="1:13">
      <c r="C40" s="162"/>
      <c r="D40" s="162"/>
      <c r="E40" s="162"/>
      <c r="F40" s="163"/>
      <c r="G40" s="163"/>
      <c r="H40" s="163"/>
      <c r="I40" s="163"/>
      <c r="J40" s="163"/>
      <c r="K40" s="163"/>
      <c r="L40" s="163"/>
      <c r="M40" s="163"/>
    </row>
    <row r="41" spans="1:13">
      <c r="A41" s="158" t="s">
        <v>15</v>
      </c>
      <c r="C41" s="162"/>
      <c r="D41" s="162"/>
      <c r="E41" s="162"/>
      <c r="F41" s="163"/>
      <c r="G41" s="163"/>
      <c r="H41" s="163"/>
      <c r="I41" s="163"/>
      <c r="J41" s="163"/>
      <c r="K41" s="163"/>
      <c r="L41" s="163"/>
      <c r="M41" s="163"/>
    </row>
    <row r="42" spans="1:13">
      <c r="A42" s="159" t="s">
        <v>41</v>
      </c>
    </row>
    <row r="43" spans="1:13">
      <c r="C43" s="159" t="s">
        <v>130</v>
      </c>
    </row>
    <row r="46" spans="1:13">
      <c r="C46" s="162"/>
      <c r="G46" s="161" t="s">
        <v>7</v>
      </c>
      <c r="H46" s="161"/>
      <c r="I46" s="161"/>
      <c r="J46" s="161"/>
      <c r="K46" s="161"/>
      <c r="L46" s="161"/>
      <c r="M46" s="164"/>
    </row>
    <row r="47" spans="1:13">
      <c r="A47" s="159" t="s">
        <v>0</v>
      </c>
      <c r="B47" s="159" t="s">
        <v>3</v>
      </c>
      <c r="C47" s="159" t="s">
        <v>131</v>
      </c>
      <c r="F47" s="159" t="s">
        <v>9</v>
      </c>
      <c r="G47" s="159">
        <f t="shared" ref="G47:L47" si="13">G$7</f>
        <v>1</v>
      </c>
      <c r="H47" s="159">
        <f t="shared" si="13"/>
        <v>0.3</v>
      </c>
      <c r="I47" s="159">
        <f t="shared" si="13"/>
        <v>0.1</v>
      </c>
      <c r="J47" s="159">
        <f t="shared" si="13"/>
        <v>0.01</v>
      </c>
      <c r="K47" s="159">
        <f t="shared" si="13"/>
        <v>1E-3</v>
      </c>
      <c r="L47" s="159">
        <f t="shared" si="13"/>
        <v>0</v>
      </c>
      <c r="M47" s="164"/>
    </row>
    <row r="48" spans="1:13">
      <c r="A48" s="159">
        <v>200</v>
      </c>
      <c r="B48" s="159">
        <f t="shared" ref="B48:B54" si="14">A48+273</f>
        <v>473</v>
      </c>
      <c r="C48" s="162">
        <f>10^(4.0547-0.00981*$A48)</f>
        <v>123.79411516551075</v>
      </c>
      <c r="D48" s="162"/>
      <c r="E48" s="162"/>
      <c r="F48" s="163">
        <f>3.045 - 1904/($A48+273)-LOG($A48+273)</f>
        <v>-3.6552311195961629</v>
      </c>
      <c r="G48" s="163">
        <f t="shared" ref="G48:L54" si="15">LOG(G$27+(1-G$27)/$C48)+$F48</f>
        <v>-3.6552311195961629</v>
      </c>
      <c r="H48" s="163">
        <f t="shared" si="15"/>
        <v>-4.1700002546367649</v>
      </c>
      <c r="I48" s="163">
        <f t="shared" si="15"/>
        <v>-4.6247522901046354</v>
      </c>
      <c r="J48" s="163">
        <f t="shared" si="15"/>
        <v>-5.4000274043013796</v>
      </c>
      <c r="K48" s="163">
        <f t="shared" si="15"/>
        <v>-5.6976309918698185</v>
      </c>
      <c r="L48" s="163">
        <f t="shared" si="15"/>
        <v>-5.7479311195961635</v>
      </c>
      <c r="M48" s="163"/>
    </row>
    <row r="49" spans="1:13">
      <c r="A49" s="159">
        <v>225</v>
      </c>
      <c r="B49" s="159">
        <f t="shared" si="14"/>
        <v>498</v>
      </c>
      <c r="C49" s="162">
        <f t="shared" ref="C49:C54" si="16">10^(4.0547-0.00981*A49)</f>
        <v>70.380119516490552</v>
      </c>
      <c r="D49" s="162"/>
      <c r="E49" s="162"/>
      <c r="F49" s="163">
        <f t="shared" ref="F49:F54" si="17">3.045 - 1904/B49-LOG(B49)</f>
        <v>-3.4755225154504807</v>
      </c>
      <c r="G49" s="163">
        <f t="shared" si="15"/>
        <v>-3.4755225154504807</v>
      </c>
      <c r="H49" s="163">
        <f t="shared" si="15"/>
        <v>-3.9842364928161369</v>
      </c>
      <c r="I49" s="163">
        <f t="shared" si="15"/>
        <v>-4.4232607669953197</v>
      </c>
      <c r="J49" s="163">
        <f t="shared" si="15"/>
        <v>-5.094110080476808</v>
      </c>
      <c r="K49" s="163">
        <f t="shared" si="15"/>
        <v>-5.2938404094326916</v>
      </c>
      <c r="L49" s="163">
        <f t="shared" si="15"/>
        <v>-5.3229725154504814</v>
      </c>
      <c r="M49" s="163"/>
    </row>
    <row r="50" spans="1:13">
      <c r="A50" s="159">
        <v>250</v>
      </c>
      <c r="B50" s="159">
        <f t="shared" si="14"/>
        <v>523</v>
      </c>
      <c r="C50" s="162">
        <f t="shared" si="16"/>
        <v>40.01289735406997</v>
      </c>
      <c r="D50" s="162"/>
      <c r="E50" s="162"/>
      <c r="F50" s="163">
        <f t="shared" si="17"/>
        <v>-3.3140370617162227</v>
      </c>
      <c r="G50" s="163">
        <f t="shared" si="15"/>
        <v>-3.3140370617162227</v>
      </c>
      <c r="H50" s="163">
        <f t="shared" si="15"/>
        <v>-3.8123010479264097</v>
      </c>
      <c r="I50" s="163">
        <f t="shared" si="15"/>
        <v>-4.2259266855106299</v>
      </c>
      <c r="J50" s="163">
        <f t="shared" si="15"/>
        <v>-4.7731819665710562</v>
      </c>
      <c r="K50" s="163">
        <f t="shared" si="15"/>
        <v>-4.8996161231918283</v>
      </c>
      <c r="L50" s="163">
        <f t="shared" si="15"/>
        <v>-4.9162370617162239</v>
      </c>
      <c r="M50" s="163"/>
    </row>
    <row r="51" spans="1:13">
      <c r="A51" s="159">
        <v>275</v>
      </c>
      <c r="B51" s="159">
        <f t="shared" si="14"/>
        <v>548</v>
      </c>
      <c r="C51" s="162">
        <f t="shared" si="16"/>
        <v>22.748355155779553</v>
      </c>
      <c r="D51" s="162"/>
      <c r="E51" s="162"/>
      <c r="F51" s="163">
        <f t="shared" si="17"/>
        <v>-3.168233113228895</v>
      </c>
      <c r="G51" s="163">
        <f t="shared" si="15"/>
        <v>-3.168233113228895</v>
      </c>
      <c r="H51" s="163">
        <f t="shared" si="15"/>
        <v>-3.6487050888377497</v>
      </c>
      <c r="I51" s="163">
        <f t="shared" si="15"/>
        <v>-4.0234618832945372</v>
      </c>
      <c r="J51" s="163">
        <f t="shared" si="15"/>
        <v>-4.4397200107064458</v>
      </c>
      <c r="K51" s="163">
        <f t="shared" si="15"/>
        <v>-4.5158391659862911</v>
      </c>
      <c r="L51" s="163">
        <f t="shared" si="15"/>
        <v>-4.5251831132288958</v>
      </c>
      <c r="M51" s="163"/>
    </row>
    <row r="52" spans="1:13">
      <c r="A52" s="159">
        <v>300</v>
      </c>
      <c r="B52" s="159">
        <f t="shared" si="14"/>
        <v>573</v>
      </c>
      <c r="C52" s="162">
        <f t="shared" si="16"/>
        <v>12.933021513395733</v>
      </c>
      <c r="D52" s="162"/>
      <c r="E52" s="162"/>
      <c r="F52" s="163">
        <f t="shared" si="17"/>
        <v>-3.0360167511122413</v>
      </c>
      <c r="G52" s="163">
        <f t="shared" si="15"/>
        <v>-3.0360167511122413</v>
      </c>
      <c r="H52" s="163">
        <f t="shared" si="15"/>
        <v>-3.4868601436145688</v>
      </c>
      <c r="I52" s="163">
        <f t="shared" si="15"/>
        <v>-3.8066182865024878</v>
      </c>
      <c r="J52" s="163">
        <f t="shared" si="15"/>
        <v>-4.0987585238738315</v>
      </c>
      <c r="K52" s="163">
        <f t="shared" si="15"/>
        <v>-4.1425649830252382</v>
      </c>
      <c r="L52" s="163">
        <f t="shared" si="15"/>
        <v>-4.1477167511122426</v>
      </c>
      <c r="M52" s="163"/>
    </row>
    <row r="53" spans="1:13">
      <c r="A53" s="159">
        <v>325</v>
      </c>
      <c r="B53" s="159">
        <f t="shared" si="14"/>
        <v>598</v>
      </c>
      <c r="C53" s="162">
        <f t="shared" si="16"/>
        <v>7.3527533890054126</v>
      </c>
      <c r="D53" s="162"/>
      <c r="E53" s="162"/>
      <c r="F53" s="163">
        <f t="shared" si="17"/>
        <v>-2.9156476722827254</v>
      </c>
      <c r="G53" s="163">
        <f t="shared" si="15"/>
        <v>-2.9156476722827254</v>
      </c>
      <c r="H53" s="163">
        <f t="shared" si="15"/>
        <v>-3.3188280644709027</v>
      </c>
      <c r="I53" s="163">
        <f t="shared" si="15"/>
        <v>-3.5685067849514809</v>
      </c>
      <c r="J53" s="163">
        <f t="shared" si="15"/>
        <v>-3.7553489343564137</v>
      </c>
      <c r="K53" s="163">
        <f t="shared" si="15"/>
        <v>-3.7793474331164503</v>
      </c>
      <c r="L53" s="163">
        <f t="shared" si="15"/>
        <v>-3.7820976722827262</v>
      </c>
      <c r="M53" s="163"/>
    </row>
    <row r="54" spans="1:13">
      <c r="A54" s="159">
        <v>350</v>
      </c>
      <c r="B54" s="159">
        <f t="shared" si="14"/>
        <v>623</v>
      </c>
      <c r="C54" s="162">
        <f t="shared" si="16"/>
        <v>4.1802282895403335</v>
      </c>
      <c r="D54" s="162"/>
      <c r="E54" s="162"/>
      <c r="F54" s="163">
        <f t="shared" si="17"/>
        <v>-2.8056678219400686</v>
      </c>
      <c r="G54" s="163">
        <f t="shared" si="15"/>
        <v>-2.8056678219400686</v>
      </c>
      <c r="H54" s="163">
        <f t="shared" si="15"/>
        <v>-3.1359280409887087</v>
      </c>
      <c r="I54" s="163">
        <f t="shared" si="15"/>
        <v>-3.306944889373352</v>
      </c>
      <c r="J54" s="163">
        <f t="shared" si="15"/>
        <v>-3.4132713375113477</v>
      </c>
      <c r="K54" s="163">
        <f t="shared" si="15"/>
        <v>-3.4254888578925908</v>
      </c>
      <c r="L54" s="163">
        <f t="shared" si="15"/>
        <v>-3.4268678219400694</v>
      </c>
    </row>
    <row r="55" spans="1:13">
      <c r="C55" s="162"/>
      <c r="D55" s="162"/>
      <c r="E55" s="162"/>
      <c r="F55" s="163"/>
      <c r="G55" s="163"/>
      <c r="H55" s="163"/>
      <c r="I55" s="163"/>
      <c r="J55" s="163"/>
      <c r="K55" s="163"/>
      <c r="L55" s="163"/>
    </row>
    <row r="56" spans="1:13">
      <c r="C56" s="162"/>
      <c r="D56" s="162"/>
      <c r="E56" s="162"/>
      <c r="F56" s="163"/>
      <c r="G56" s="163"/>
      <c r="H56" s="163"/>
      <c r="I56" s="163"/>
      <c r="J56" s="163"/>
      <c r="K56" s="163"/>
      <c r="L56" s="163"/>
    </row>
    <row r="57" spans="1:13">
      <c r="C57" s="162"/>
      <c r="D57" s="162"/>
      <c r="E57" s="162"/>
      <c r="F57" s="163"/>
      <c r="G57" s="163"/>
      <c r="H57" s="163"/>
      <c r="I57" s="163"/>
      <c r="J57" s="163"/>
      <c r="K57" s="163"/>
      <c r="L57" s="163"/>
    </row>
    <row r="58" spans="1:13">
      <c r="C58" s="162"/>
      <c r="D58" s="162"/>
      <c r="E58" s="162"/>
      <c r="F58" s="163"/>
      <c r="G58" s="163"/>
      <c r="H58" s="163"/>
      <c r="I58" s="163"/>
      <c r="J58" s="163"/>
      <c r="K58" s="163"/>
      <c r="L58" s="163"/>
    </row>
    <row r="59" spans="1:13">
      <c r="C59" s="162"/>
      <c r="D59" s="162"/>
      <c r="E59" s="162"/>
      <c r="F59" s="163"/>
      <c r="G59" s="163"/>
      <c r="H59" s="163"/>
      <c r="I59" s="163"/>
      <c r="J59" s="163"/>
      <c r="K59" s="163"/>
      <c r="L59" s="163"/>
    </row>
    <row r="60" spans="1:13">
      <c r="C60" s="162"/>
      <c r="D60" s="162"/>
      <c r="E60" s="162"/>
      <c r="F60" s="163"/>
      <c r="G60" s="163"/>
      <c r="H60" s="163"/>
      <c r="I60" s="163"/>
      <c r="J60" s="163"/>
      <c r="K60" s="163"/>
      <c r="L60" s="163"/>
    </row>
    <row r="61" spans="1:13">
      <c r="A61" s="158" t="s">
        <v>16</v>
      </c>
      <c r="D61" s="159" t="s">
        <v>43</v>
      </c>
    </row>
    <row r="62" spans="1:13">
      <c r="A62" s="159" t="s">
        <v>17</v>
      </c>
      <c r="E62" s="159" t="s">
        <v>142</v>
      </c>
    </row>
    <row r="63" spans="1:13">
      <c r="C63" s="159" t="s">
        <v>141</v>
      </c>
      <c r="H63" s="160"/>
    </row>
    <row r="66" spans="1:13">
      <c r="C66" s="162"/>
      <c r="G66" s="161" t="s">
        <v>7</v>
      </c>
      <c r="H66" s="161"/>
      <c r="I66" s="161"/>
      <c r="J66" s="161"/>
      <c r="K66" s="161"/>
      <c r="L66" s="161"/>
      <c r="M66" s="164"/>
    </row>
    <row r="67" spans="1:13">
      <c r="A67" s="159" t="s">
        <v>0</v>
      </c>
      <c r="B67" s="159" t="s">
        <v>3</v>
      </c>
      <c r="C67" s="159" t="s">
        <v>124</v>
      </c>
      <c r="F67" s="159" t="s">
        <v>9</v>
      </c>
      <c r="G67" s="159">
        <f t="shared" ref="G67:L67" si="18">G$7</f>
        <v>1</v>
      </c>
      <c r="H67" s="159">
        <f t="shared" si="18"/>
        <v>0.3</v>
      </c>
      <c r="I67" s="159">
        <f t="shared" si="18"/>
        <v>0.1</v>
      </c>
      <c r="J67" s="159">
        <f t="shared" si="18"/>
        <v>0.01</v>
      </c>
      <c r="K67" s="159">
        <f t="shared" si="18"/>
        <v>1E-3</v>
      </c>
      <c r="L67" s="159">
        <f t="shared" si="18"/>
        <v>0</v>
      </c>
      <c r="M67" s="164"/>
    </row>
    <row r="68" spans="1:13">
      <c r="A68" s="159">
        <v>200</v>
      </c>
      <c r="B68" s="159">
        <f t="shared" ref="B68:B74" si="19">A68+273</f>
        <v>473</v>
      </c>
      <c r="C68" s="162">
        <f>10^(4.7593-0.01092*$A68)</f>
        <v>376.09711325976934</v>
      </c>
      <c r="D68" s="162"/>
      <c r="E68" s="162"/>
      <c r="F68" s="163">
        <f>-11.371+0.0168*$B68 + 2086/($B68)-LOG($B68)</f>
        <v>-1.6893131491944722</v>
      </c>
      <c r="G68" s="163">
        <f t="shared" ref="G68:L74" si="20">LOG(G$27+(1-G$27)/$C68)+$F68</f>
        <v>-1.6893131491944722</v>
      </c>
      <c r="H68" s="163">
        <f t="shared" si="20"/>
        <v>-2.2095058242095269</v>
      </c>
      <c r="I68" s="163">
        <f t="shared" si="20"/>
        <v>-2.6790428860899231</v>
      </c>
      <c r="J68" s="163">
        <f t="shared" si="20"/>
        <v>-3.5878307575863841</v>
      </c>
      <c r="K68" s="163">
        <f t="shared" si="20"/>
        <v>-4.1262797788365422</v>
      </c>
      <c r="L68" s="163">
        <f t="shared" si="20"/>
        <v>-4.2646131491944725</v>
      </c>
      <c r="M68" s="163"/>
    </row>
    <row r="69" spans="1:13">
      <c r="A69" s="159">
        <v>225</v>
      </c>
      <c r="B69" s="159">
        <f t="shared" si="19"/>
        <v>498</v>
      </c>
      <c r="C69" s="162">
        <f t="shared" ref="C69:C74" si="21">10^(4.7593-0.01092*A69)</f>
        <v>200.58571459359496</v>
      </c>
      <c r="D69" s="162"/>
      <c r="E69" s="162"/>
      <c r="F69" s="163">
        <f t="shared" ref="F69:F74" si="22">-11.371+0.0168*$B69 + 2086/($B69)-LOG($B69)</f>
        <v>-1.5130743226793983</v>
      </c>
      <c r="G69" s="163">
        <f t="shared" si="20"/>
        <v>-1.5130743226793983</v>
      </c>
      <c r="H69" s="163">
        <f t="shared" si="20"/>
        <v>-2.0309302519698562</v>
      </c>
      <c r="I69" s="163">
        <f t="shared" si="20"/>
        <v>-2.4940126449621944</v>
      </c>
      <c r="J69" s="163">
        <f t="shared" si="20"/>
        <v>-3.3388532220000613</v>
      </c>
      <c r="K69" s="163">
        <f t="shared" si="20"/>
        <v>-3.7363430374076092</v>
      </c>
      <c r="L69" s="163">
        <f t="shared" si="20"/>
        <v>-3.8153743226793986</v>
      </c>
      <c r="M69" s="163"/>
    </row>
    <row r="70" spans="1:13">
      <c r="A70" s="159">
        <v>250</v>
      </c>
      <c r="B70" s="159">
        <f t="shared" si="19"/>
        <v>523</v>
      </c>
      <c r="C70" s="162">
        <f t="shared" si="21"/>
        <v>106.97936112908468</v>
      </c>
      <c r="D70" s="162"/>
      <c r="E70" s="162"/>
      <c r="F70" s="163">
        <f t="shared" si="22"/>
        <v>-1.3145739642018839</v>
      </c>
      <c r="G70" s="163">
        <f t="shared" si="20"/>
        <v>-1.3145739642018839</v>
      </c>
      <c r="H70" s="163">
        <f t="shared" si="20"/>
        <v>-1.8280821100682292</v>
      </c>
      <c r="I70" s="163">
        <f t="shared" si="20"/>
        <v>-2.2794932520890261</v>
      </c>
      <c r="J70" s="163">
        <f t="shared" si="20"/>
        <v>-3.0300502574094015</v>
      </c>
      <c r="K70" s="163">
        <f t="shared" si="20"/>
        <v>-3.300126941601544</v>
      </c>
      <c r="L70" s="163">
        <f t="shared" si="20"/>
        <v>-3.3438739642018835</v>
      </c>
      <c r="M70" s="163"/>
    </row>
    <row r="71" spans="1:13">
      <c r="A71" s="159">
        <v>275</v>
      </c>
      <c r="B71" s="159">
        <f t="shared" si="19"/>
        <v>548</v>
      </c>
      <c r="C71" s="162">
        <f t="shared" si="21"/>
        <v>57.055826387112866</v>
      </c>
      <c r="D71" s="162"/>
      <c r="E71" s="162"/>
      <c r="F71" s="163">
        <f t="shared" si="22"/>
        <v>-1.0968112154186778</v>
      </c>
      <c r="G71" s="163">
        <f t="shared" si="20"/>
        <v>-1.0968112154186778</v>
      </c>
      <c r="H71" s="163">
        <f t="shared" si="20"/>
        <v>-1.602282780081955</v>
      </c>
      <c r="I71" s="163">
        <f t="shared" si="20"/>
        <v>-2.0332000852747174</v>
      </c>
      <c r="J71" s="163">
        <f t="shared" si="20"/>
        <v>-2.6598312276109439</v>
      </c>
      <c r="K71" s="163">
        <f t="shared" si="20"/>
        <v>-2.8294243384604476</v>
      </c>
      <c r="L71" s="163">
        <f t="shared" si="20"/>
        <v>-2.8531112154186777</v>
      </c>
      <c r="M71" s="163"/>
    </row>
    <row r="72" spans="1:13">
      <c r="A72" s="159">
        <v>300</v>
      </c>
      <c r="B72" s="159">
        <f t="shared" si="19"/>
        <v>573</v>
      </c>
      <c r="C72" s="162">
        <f t="shared" si="21"/>
        <v>30.429863203130687</v>
      </c>
      <c r="D72" s="162"/>
      <c r="E72" s="162"/>
      <c r="F72" s="163">
        <f t="shared" si="22"/>
        <v>-0.8622659657719276</v>
      </c>
      <c r="G72" s="163">
        <f t="shared" si="20"/>
        <v>-0.8622659657719276</v>
      </c>
      <c r="H72" s="163">
        <f t="shared" si="20"/>
        <v>-1.353058444019327</v>
      </c>
      <c r="I72" s="163">
        <f t="shared" si="20"/>
        <v>-1.7497406954252717</v>
      </c>
      <c r="J72" s="163">
        <f t="shared" si="20"/>
        <v>-2.2335314736123033</v>
      </c>
      <c r="K72" s="163">
        <f t="shared" si="20"/>
        <v>-2.3329692030271847</v>
      </c>
      <c r="L72" s="163">
        <f t="shared" si="20"/>
        <v>-2.3455659657719279</v>
      </c>
      <c r="M72" s="163"/>
    </row>
    <row r="73" spans="1:13">
      <c r="A73" s="159">
        <v>325</v>
      </c>
      <c r="B73" s="159">
        <f t="shared" si="19"/>
        <v>598</v>
      </c>
      <c r="C73" s="162">
        <f t="shared" si="21"/>
        <v>16.2293079111443</v>
      </c>
      <c r="D73" s="162"/>
      <c r="E73" s="162"/>
      <c r="F73" s="163">
        <f t="shared" si="22"/>
        <v>-0.61300686960714001</v>
      </c>
      <c r="G73" s="163">
        <f t="shared" si="20"/>
        <v>-0.61300686960714001</v>
      </c>
      <c r="H73" s="163">
        <f t="shared" si="20"/>
        <v>-1.0775458436355443</v>
      </c>
      <c r="I73" s="163">
        <f t="shared" si="20"/>
        <v>-1.4214015324662435</v>
      </c>
      <c r="J73" s="163">
        <f t="shared" si="20"/>
        <v>-1.7617439161686577</v>
      </c>
      <c r="K73" s="163">
        <f t="shared" si="20"/>
        <v>-1.8167427230102839</v>
      </c>
      <c r="L73" s="163">
        <f t="shared" si="20"/>
        <v>-1.8233068696071399</v>
      </c>
      <c r="M73" s="163"/>
    </row>
    <row r="74" spans="1:13">
      <c r="A74" s="159">
        <v>350</v>
      </c>
      <c r="B74" s="159">
        <f t="shared" si="19"/>
        <v>623</v>
      </c>
      <c r="C74" s="162">
        <f t="shared" si="21"/>
        <v>8.6556562386265696</v>
      </c>
      <c r="D74" s="162"/>
      <c r="E74" s="162"/>
      <c r="F74" s="163">
        <f t="shared" si="22"/>
        <v>-0.3507734399175968</v>
      </c>
      <c r="G74" s="163">
        <f t="shared" si="20"/>
        <v>-0.3507734399175968</v>
      </c>
      <c r="H74" s="163">
        <f t="shared" si="20"/>
        <v>-0.76999442393879947</v>
      </c>
      <c r="I74" s="163">
        <f t="shared" si="20"/>
        <v>-1.0411895755365945</v>
      </c>
      <c r="J74" s="163">
        <f t="shared" si="20"/>
        <v>-1.2560365872844166</v>
      </c>
      <c r="K74" s="163">
        <f t="shared" si="20"/>
        <v>-1.2847612928722101</v>
      </c>
      <c r="L74" s="163">
        <f t="shared" si="20"/>
        <v>-1.2880734399175968</v>
      </c>
    </row>
    <row r="81" spans="1:13">
      <c r="A81" s="158" t="s">
        <v>42</v>
      </c>
      <c r="C81" s="162"/>
      <c r="D81" s="162"/>
      <c r="F81" s="163"/>
      <c r="G81" s="163"/>
      <c r="H81" s="163"/>
      <c r="I81" s="163"/>
      <c r="J81" s="163"/>
      <c r="K81" s="163"/>
      <c r="L81" s="163"/>
      <c r="M81" s="163"/>
    </row>
    <row r="82" spans="1:13">
      <c r="A82" s="159" t="s">
        <v>39</v>
      </c>
    </row>
    <row r="83" spans="1:13">
      <c r="C83" s="159" t="s">
        <v>40</v>
      </c>
    </row>
    <row r="84" spans="1:13">
      <c r="C84" s="159" t="s">
        <v>132</v>
      </c>
      <c r="I84" s="162" t="s">
        <v>38</v>
      </c>
    </row>
    <row r="85" spans="1:13">
      <c r="C85" s="159" t="s">
        <v>26</v>
      </c>
    </row>
    <row r="86" spans="1:13">
      <c r="C86" s="162"/>
      <c r="G86" s="161" t="s">
        <v>7</v>
      </c>
      <c r="H86" s="161"/>
      <c r="I86" s="161"/>
      <c r="J86" s="161"/>
      <c r="K86" s="161"/>
      <c r="L86" s="161"/>
      <c r="M86" s="164"/>
    </row>
    <row r="87" spans="1:13">
      <c r="A87" s="159" t="s">
        <v>0</v>
      </c>
      <c r="B87" s="159" t="s">
        <v>3</v>
      </c>
      <c r="C87" s="159" t="s">
        <v>131</v>
      </c>
      <c r="D87" s="159" t="s">
        <v>125</v>
      </c>
      <c r="F87" s="159" t="s">
        <v>9</v>
      </c>
      <c r="G87" s="159">
        <f t="shared" ref="G87:L87" si="23">G$7</f>
        <v>1</v>
      </c>
      <c r="H87" s="159">
        <f t="shared" si="23"/>
        <v>0.3</v>
      </c>
      <c r="I87" s="159">
        <f t="shared" si="23"/>
        <v>0.1</v>
      </c>
      <c r="J87" s="159">
        <f t="shared" si="23"/>
        <v>0.01</v>
      </c>
      <c r="K87" s="159">
        <f t="shared" si="23"/>
        <v>1E-3</v>
      </c>
      <c r="L87" s="159">
        <f t="shared" si="23"/>
        <v>0</v>
      </c>
      <c r="M87" s="164"/>
    </row>
    <row r="88" spans="1:13">
      <c r="A88" s="159">
        <v>200</v>
      </c>
      <c r="B88" s="159">
        <f t="shared" ref="B88:B94" si="24">A88+273</f>
        <v>473</v>
      </c>
      <c r="C88" s="162">
        <f t="shared" ref="C88:C94" si="25">10^(4.0547-0.00981*A88)</f>
        <v>123.79411516551075</v>
      </c>
      <c r="D88" s="162">
        <f t="shared" ref="D88:D94" si="26">10^(6.2283-0.01403*A88)</f>
        <v>2644.2346992115899</v>
      </c>
      <c r="E88" s="162"/>
      <c r="F88" s="163">
        <f>9.7 - 5969/($A88+273)-2*LOG($A88+273)</f>
        <v>-8.2691725986003597</v>
      </c>
      <c r="G88" s="163">
        <f>3*LOG(G$27+(1-G$27)/$C88)-LOG(G$27+(1-G$27)/$D88)+$F88</f>
        <v>-8.2691725986003597</v>
      </c>
      <c r="H88" s="163">
        <f t="shared" ref="H88:L94" si="27">3*LOG(H$27+(1-H$27)/$C88)-LOG(H$27+(1-H$27)/$D88)+$F88</f>
        <v>-9.2909843208647462</v>
      </c>
      <c r="I88" s="163">
        <f t="shared" si="27"/>
        <v>-10.179211778526568</v>
      </c>
      <c r="J88" s="163">
        <f t="shared" si="27"/>
        <v>-11.519524418254221</v>
      </c>
      <c r="K88" s="163">
        <f t="shared" si="27"/>
        <v>-11.535559365057225</v>
      </c>
      <c r="L88" s="163">
        <f t="shared" si="27"/>
        <v>-11.124972598600364</v>
      </c>
      <c r="M88" s="163"/>
    </row>
    <row r="89" spans="1:13">
      <c r="A89" s="159">
        <v>225</v>
      </c>
      <c r="B89" s="159">
        <f t="shared" si="24"/>
        <v>498</v>
      </c>
      <c r="C89" s="162">
        <f t="shared" si="25"/>
        <v>70.380119516490552</v>
      </c>
      <c r="D89" s="162">
        <f t="shared" si="26"/>
        <v>1179.0982641340704</v>
      </c>
      <c r="E89" s="162"/>
      <c r="F89" s="163">
        <f t="shared" ref="F89:F94" si="28">9.7 - 5969/($A89+273)-2*LOG($A89+273)</f>
        <v>-7.6804024606198382</v>
      </c>
      <c r="G89" s="163">
        <f t="shared" ref="G89:G94" si="29">3*LOG(G$27+(1-G$27)/$C89)-LOG(G$27+(1-G$27)/$D89)+$F89</f>
        <v>-7.6804024606198382</v>
      </c>
      <c r="H89" s="163">
        <f t="shared" si="27"/>
        <v>-8.6845242293486393</v>
      </c>
      <c r="I89" s="163">
        <f t="shared" si="27"/>
        <v>-9.5269195766119559</v>
      </c>
      <c r="J89" s="163">
        <f t="shared" si="27"/>
        <v>-10.571179400703237</v>
      </c>
      <c r="K89" s="163">
        <f t="shared" si="27"/>
        <v>-10.401883611470403</v>
      </c>
      <c r="L89" s="163">
        <f t="shared" si="27"/>
        <v>-10.151202460619841</v>
      </c>
      <c r="M89" s="163"/>
    </row>
    <row r="90" spans="1:13">
      <c r="A90" s="159">
        <v>250</v>
      </c>
      <c r="B90" s="159">
        <f t="shared" si="24"/>
        <v>523</v>
      </c>
      <c r="C90" s="162">
        <f t="shared" si="25"/>
        <v>40.01289735406997</v>
      </c>
      <c r="D90" s="162">
        <f t="shared" si="26"/>
        <v>525.77508225669396</v>
      </c>
      <c r="E90" s="162"/>
      <c r="F90" s="163">
        <f t="shared" si="28"/>
        <v>-7.150005289780438</v>
      </c>
      <c r="G90" s="163">
        <f t="shared" si="29"/>
        <v>-7.150005289780438</v>
      </c>
      <c r="H90" s="163">
        <f t="shared" si="27"/>
        <v>-8.1238415913068849</v>
      </c>
      <c r="I90" s="163">
        <f t="shared" si="27"/>
        <v>-8.8930453243562031</v>
      </c>
      <c r="J90" s="163">
        <f t="shared" si="27"/>
        <v>-9.6023637047048762</v>
      </c>
      <c r="K90" s="163">
        <f t="shared" si="27"/>
        <v>-9.3691482603564111</v>
      </c>
      <c r="L90" s="163">
        <f t="shared" si="27"/>
        <v>-9.2358052897804406</v>
      </c>
      <c r="M90" s="163"/>
    </row>
    <row r="91" spans="1:13">
      <c r="A91" s="159">
        <v>275</v>
      </c>
      <c r="B91" s="159">
        <f t="shared" si="24"/>
        <v>548</v>
      </c>
      <c r="C91" s="162">
        <f t="shared" si="25"/>
        <v>22.748355155779553</v>
      </c>
      <c r="D91" s="162">
        <f t="shared" si="26"/>
        <v>234.44987201728316</v>
      </c>
      <c r="E91" s="162"/>
      <c r="F91" s="163">
        <f t="shared" si="28"/>
        <v>-6.6698968833920969</v>
      </c>
      <c r="G91" s="163">
        <f t="shared" si="29"/>
        <v>-6.6698968833920969</v>
      </c>
      <c r="H91" s="163">
        <f t="shared" si="27"/>
        <v>-7.5927349602771441</v>
      </c>
      <c r="I91" s="163">
        <f t="shared" si="27"/>
        <v>-8.2519427441603916</v>
      </c>
      <c r="J91" s="163">
        <f t="shared" si="27"/>
        <v>-8.6373381308911661</v>
      </c>
      <c r="K91" s="163">
        <f t="shared" si="27"/>
        <v>-8.4337865459167496</v>
      </c>
      <c r="L91" s="163">
        <f t="shared" si="27"/>
        <v>-8.3706968833920996</v>
      </c>
      <c r="M91" s="163"/>
    </row>
    <row r="92" spans="1:13">
      <c r="A92" s="159">
        <v>300</v>
      </c>
      <c r="B92" s="159">
        <f t="shared" si="24"/>
        <v>573</v>
      </c>
      <c r="C92" s="162">
        <f t="shared" si="25"/>
        <v>12.933021513395733</v>
      </c>
      <c r="D92" s="162">
        <f t="shared" si="26"/>
        <v>104.54421356941471</v>
      </c>
      <c r="E92" s="162"/>
      <c r="F92" s="163">
        <f t="shared" si="28"/>
        <v>-6.2334122107759669</v>
      </c>
      <c r="G92" s="163">
        <f t="shared" si="29"/>
        <v>-6.2334122107759669</v>
      </c>
      <c r="H92" s="163">
        <f t="shared" si="27"/>
        <v>-7.0726501201435656</v>
      </c>
      <c r="I92" s="163">
        <f t="shared" si="27"/>
        <v>-7.5810818235878328</v>
      </c>
      <c r="J92" s="163">
        <f t="shared" si="27"/>
        <v>-7.7109962896666335</v>
      </c>
      <c r="K92" s="163">
        <f t="shared" si="27"/>
        <v>-7.5765466443973697</v>
      </c>
      <c r="L92" s="163">
        <f t="shared" si="27"/>
        <v>-7.5492122107759707</v>
      </c>
      <c r="M92" s="163"/>
    </row>
    <row r="93" spans="1:13">
      <c r="A93" s="159">
        <v>325</v>
      </c>
      <c r="B93" s="159">
        <f t="shared" si="24"/>
        <v>598</v>
      </c>
      <c r="C93" s="162">
        <f t="shared" si="25"/>
        <v>7.3527533890054126</v>
      </c>
      <c r="D93" s="162">
        <f t="shared" si="26"/>
        <v>46.617609541888406</v>
      </c>
      <c r="E93" s="162"/>
      <c r="F93" s="163">
        <f t="shared" si="28"/>
        <v>-5.8350077191473906</v>
      </c>
      <c r="G93" s="163">
        <f t="shared" si="29"/>
        <v>-5.8350077191473906</v>
      </c>
      <c r="H93" s="163">
        <f t="shared" si="27"/>
        <v>-6.5428812118733406</v>
      </c>
      <c r="I93" s="163">
        <f t="shared" si="27"/>
        <v>-6.8702473760025988</v>
      </c>
      <c r="J93" s="163">
        <f t="shared" si="27"/>
        <v>-6.8487754027660257</v>
      </c>
      <c r="K93" s="163">
        <f t="shared" si="27"/>
        <v>-6.7769298903588426</v>
      </c>
      <c r="L93" s="163">
        <f t="shared" si="27"/>
        <v>-6.7658077191473938</v>
      </c>
      <c r="M93" s="163"/>
    </row>
    <row r="94" spans="1:13">
      <c r="A94" s="159">
        <v>350</v>
      </c>
      <c r="B94" s="159">
        <f t="shared" si="24"/>
        <v>623</v>
      </c>
      <c r="C94" s="162">
        <f t="shared" si="25"/>
        <v>4.1802282895403335</v>
      </c>
      <c r="D94" s="162">
        <f t="shared" si="26"/>
        <v>20.787391718787124</v>
      </c>
      <c r="E94" s="162"/>
      <c r="F94" s="163">
        <f t="shared" si="28"/>
        <v>-5.4700354833664937</v>
      </c>
      <c r="G94" s="163">
        <f t="shared" si="29"/>
        <v>-5.4700354833664937</v>
      </c>
      <c r="H94" s="163">
        <f t="shared" si="27"/>
        <v>-5.9841388444095305</v>
      </c>
      <c r="I94" s="163">
        <f t="shared" si="27"/>
        <v>-6.1300991623043233</v>
      </c>
      <c r="J94" s="163">
        <f t="shared" si="27"/>
        <v>-6.0534571386584899</v>
      </c>
      <c r="K94" s="163">
        <f t="shared" si="27"/>
        <v>-6.0202082294293469</v>
      </c>
      <c r="L94" s="163">
        <f t="shared" si="27"/>
        <v>-6.0158354833664962</v>
      </c>
    </row>
    <row r="101" spans="1:23">
      <c r="A101" s="158" t="s">
        <v>85</v>
      </c>
    </row>
    <row r="102" spans="1:23">
      <c r="A102" s="159" t="s">
        <v>45</v>
      </c>
      <c r="C102" s="159" t="s">
        <v>44</v>
      </c>
      <c r="G102" s="159" t="s">
        <v>18</v>
      </c>
      <c r="H102" s="159" t="s">
        <v>48</v>
      </c>
    </row>
    <row r="104" spans="1:23">
      <c r="G104" s="164"/>
      <c r="H104" s="164"/>
      <c r="I104" s="164"/>
      <c r="J104" s="159" t="s">
        <v>138</v>
      </c>
      <c r="K104" s="164"/>
      <c r="L104" s="164"/>
      <c r="M104" s="164"/>
      <c r="N104" s="164"/>
      <c r="O104" s="164"/>
      <c r="P104" s="164"/>
    </row>
    <row r="105" spans="1:23">
      <c r="E105" s="164" t="s">
        <v>50</v>
      </c>
      <c r="F105" s="159">
        <f>J105+4</f>
        <v>1.2000000000000002</v>
      </c>
      <c r="G105" s="159">
        <f>J105+3</f>
        <v>0.20000000000000018</v>
      </c>
      <c r="H105" s="159">
        <f>J105+2</f>
        <v>-0.79999999999999982</v>
      </c>
      <c r="I105" s="159">
        <f>J105+1</f>
        <v>-1.7999999999999998</v>
      </c>
      <c r="J105" s="165">
        <f>input!S3</f>
        <v>-2.8</v>
      </c>
      <c r="K105" s="166">
        <f>input!S3</f>
        <v>-2.8</v>
      </c>
      <c r="L105" s="159">
        <f>K105-1</f>
        <v>-3.8</v>
      </c>
      <c r="M105" s="159">
        <f>K105-2</f>
        <v>-4.8</v>
      </c>
      <c r="N105" s="159">
        <f>K105-3</f>
        <v>-5.8</v>
      </c>
      <c r="O105" s="159">
        <f>K105-5</f>
        <v>-7.8</v>
      </c>
      <c r="P105" s="159">
        <f>K105-6</f>
        <v>-8.8000000000000007</v>
      </c>
      <c r="S105" s="167"/>
      <c r="V105" s="167"/>
    </row>
    <row r="106" spans="1:23">
      <c r="F106" s="159" t="s">
        <v>54</v>
      </c>
    </row>
    <row r="107" spans="1:23">
      <c r="A107" s="164" t="s">
        <v>0</v>
      </c>
      <c r="B107" s="164" t="s">
        <v>3</v>
      </c>
      <c r="C107" s="164" t="s">
        <v>124</v>
      </c>
      <c r="D107" s="164" t="s">
        <v>46</v>
      </c>
      <c r="E107" s="164" t="s">
        <v>47</v>
      </c>
      <c r="F107" s="168" t="s">
        <v>52</v>
      </c>
      <c r="G107" s="168" t="s">
        <v>52</v>
      </c>
      <c r="H107" s="168" t="s">
        <v>52</v>
      </c>
      <c r="I107" s="168" t="s">
        <v>52</v>
      </c>
      <c r="J107" s="168" t="s">
        <v>52</v>
      </c>
      <c r="K107" s="168" t="s">
        <v>53</v>
      </c>
      <c r="L107" s="168" t="s">
        <v>53</v>
      </c>
      <c r="M107" s="168" t="s">
        <v>53</v>
      </c>
      <c r="N107" s="168" t="s">
        <v>53</v>
      </c>
      <c r="O107" s="168" t="s">
        <v>53</v>
      </c>
      <c r="P107" s="168" t="s">
        <v>53</v>
      </c>
      <c r="Q107" s="169"/>
      <c r="S107" s="169"/>
      <c r="T107" s="169"/>
      <c r="V107" s="169"/>
      <c r="W107" s="169"/>
    </row>
    <row r="108" spans="1:23">
      <c r="A108" s="159">
        <v>100</v>
      </c>
      <c r="B108" s="159">
        <f t="shared" ref="B108:B114" si="30">A108+273</f>
        <v>373</v>
      </c>
      <c r="C108" s="162">
        <f>10^(4.7593-0.01092*$A108)</f>
        <v>4648.3626185930125</v>
      </c>
      <c r="D108" s="162">
        <f>10^(6.3173-0.01388*A108)</f>
        <v>84976.727077597461</v>
      </c>
      <c r="E108" s="162">
        <f>10^(6.0783-0.01383*$A108)</f>
        <v>49579.255390630286</v>
      </c>
      <c r="F108" s="163">
        <f t="shared" ref="F108:I114" si="31">F$105+2.485-2248/$B108</f>
        <v>-2.3418096514745304</v>
      </c>
      <c r="G108" s="163">
        <f t="shared" si="31"/>
        <v>-3.3418096514745304</v>
      </c>
      <c r="H108" s="163">
        <f t="shared" si="31"/>
        <v>-4.3418096514745308</v>
      </c>
      <c r="I108" s="163">
        <f t="shared" si="31"/>
        <v>-5.3418096514745308</v>
      </c>
      <c r="J108" s="163">
        <f t="shared" ref="J108:J114" si="32">$K$105+2.485-2248/$B108</f>
        <v>-6.3418096514745308</v>
      </c>
      <c r="K108" s="163">
        <f t="shared" ref="K108:K114" si="33">J108+LOG($C108/$D108)</f>
        <v>-7.6038096514745313</v>
      </c>
      <c r="L108" s="163">
        <f t="shared" ref="L108:P114" si="34">L$105+2.485-2248/$B108+LOG($C108/$D108)</f>
        <v>-8.6038096514745313</v>
      </c>
      <c r="M108" s="163">
        <f t="shared" si="34"/>
        <v>-9.6038096514745313</v>
      </c>
      <c r="N108" s="163">
        <f t="shared" si="34"/>
        <v>-10.603809651474531</v>
      </c>
      <c r="O108" s="163">
        <f t="shared" si="34"/>
        <v>-12.603809651474531</v>
      </c>
      <c r="P108" s="163">
        <f t="shared" si="34"/>
        <v>-13.603809651474531</v>
      </c>
      <c r="Q108" s="170"/>
      <c r="S108" s="170"/>
      <c r="T108" s="170"/>
      <c r="V108" s="170"/>
      <c r="W108" s="170"/>
    </row>
    <row r="109" spans="1:23">
      <c r="A109" s="159">
        <v>150</v>
      </c>
      <c r="B109" s="159">
        <f t="shared" si="30"/>
        <v>423</v>
      </c>
      <c r="C109" s="162">
        <f t="shared" ref="C109:C114" si="35">10^(4.7593-0.01092*$A109)</f>
        <v>1322.2086681902574</v>
      </c>
      <c r="D109" s="162">
        <f t="shared" ref="D109:D114" si="36">10^(6.3173-0.01388*A109)</f>
        <v>17190.954861928891</v>
      </c>
      <c r="E109" s="162">
        <f t="shared" ref="E109:E114" si="37">10^(6.0783-0.01383*$A109)</f>
        <v>10087.882149492711</v>
      </c>
      <c r="F109" s="163">
        <f t="shared" si="31"/>
        <v>-1.6294208037825055</v>
      </c>
      <c r="G109" s="163">
        <f t="shared" si="31"/>
        <v>-2.6294208037825055</v>
      </c>
      <c r="H109" s="163">
        <f t="shared" si="31"/>
        <v>-3.6294208037825055</v>
      </c>
      <c r="I109" s="163">
        <f t="shared" si="31"/>
        <v>-4.6294208037825051</v>
      </c>
      <c r="J109" s="163">
        <f t="shared" si="32"/>
        <v>-5.6294208037825051</v>
      </c>
      <c r="K109" s="163">
        <f t="shared" si="33"/>
        <v>-6.7434208037825059</v>
      </c>
      <c r="L109" s="163">
        <f t="shared" si="34"/>
        <v>-7.7434208037825059</v>
      </c>
      <c r="M109" s="163">
        <f t="shared" si="34"/>
        <v>-8.7434208037825059</v>
      </c>
      <c r="N109" s="163">
        <f t="shared" si="34"/>
        <v>-9.7434208037825059</v>
      </c>
      <c r="O109" s="163">
        <f t="shared" si="34"/>
        <v>-11.743420803782506</v>
      </c>
      <c r="P109" s="163">
        <f t="shared" si="34"/>
        <v>-12.743420803782508</v>
      </c>
      <c r="Q109" s="170"/>
      <c r="S109" s="170"/>
      <c r="T109" s="170"/>
      <c r="V109" s="170"/>
      <c r="W109" s="170"/>
    </row>
    <row r="110" spans="1:23">
      <c r="A110" s="159">
        <v>200</v>
      </c>
      <c r="B110" s="159">
        <f t="shared" si="30"/>
        <v>473</v>
      </c>
      <c r="C110" s="162">
        <f t="shared" si="35"/>
        <v>376.09711325976934</v>
      </c>
      <c r="D110" s="162">
        <f t="shared" si="36"/>
        <v>3477.7631385474633</v>
      </c>
      <c r="E110" s="162">
        <f t="shared" si="37"/>
        <v>2052.5795609525312</v>
      </c>
      <c r="F110" s="163">
        <f t="shared" si="31"/>
        <v>-1.0676427061310778</v>
      </c>
      <c r="G110" s="163">
        <f t="shared" si="31"/>
        <v>-2.0676427061310778</v>
      </c>
      <c r="H110" s="163">
        <f t="shared" si="31"/>
        <v>-3.0676427061310778</v>
      </c>
      <c r="I110" s="163">
        <f t="shared" si="31"/>
        <v>-4.0676427061310783</v>
      </c>
      <c r="J110" s="163">
        <f t="shared" si="32"/>
        <v>-5.0676427061310783</v>
      </c>
      <c r="K110" s="163">
        <f t="shared" si="33"/>
        <v>-6.0336427061310793</v>
      </c>
      <c r="L110" s="163">
        <f t="shared" si="34"/>
        <v>-7.0336427061310793</v>
      </c>
      <c r="M110" s="163">
        <f t="shared" si="34"/>
        <v>-8.0336427061310793</v>
      </c>
      <c r="N110" s="163">
        <f t="shared" si="34"/>
        <v>-9.0336427061310793</v>
      </c>
      <c r="O110" s="163">
        <f t="shared" si="34"/>
        <v>-11.033642706131079</v>
      </c>
      <c r="P110" s="163">
        <f t="shared" si="34"/>
        <v>-12.033642706131079</v>
      </c>
      <c r="Q110" s="170"/>
      <c r="S110" s="170"/>
      <c r="T110" s="170"/>
      <c r="V110" s="170"/>
      <c r="W110" s="170"/>
    </row>
    <row r="111" spans="1:23">
      <c r="A111" s="159">
        <v>250</v>
      </c>
      <c r="B111" s="159">
        <f t="shared" si="30"/>
        <v>523</v>
      </c>
      <c r="C111" s="162">
        <f t="shared" si="35"/>
        <v>106.97936112908468</v>
      </c>
      <c r="D111" s="162">
        <f t="shared" si="36"/>
        <v>703.55815281818468</v>
      </c>
      <c r="E111" s="162">
        <f t="shared" si="37"/>
        <v>417.63799295097363</v>
      </c>
      <c r="F111" s="163">
        <f t="shared" si="31"/>
        <v>-0.61327915869980876</v>
      </c>
      <c r="G111" s="163">
        <f t="shared" si="31"/>
        <v>-1.6132791586998088</v>
      </c>
      <c r="H111" s="163">
        <f t="shared" si="31"/>
        <v>-2.6132791586998088</v>
      </c>
      <c r="I111" s="163">
        <f t="shared" si="31"/>
        <v>-3.6132791586998088</v>
      </c>
      <c r="J111" s="163">
        <f t="shared" si="32"/>
        <v>-4.6132791586998092</v>
      </c>
      <c r="K111" s="163">
        <f t="shared" si="33"/>
        <v>-5.4312791586998097</v>
      </c>
      <c r="L111" s="163">
        <f t="shared" si="34"/>
        <v>-6.4312791586998097</v>
      </c>
      <c r="M111" s="163">
        <f t="shared" si="34"/>
        <v>-7.4312791586998097</v>
      </c>
      <c r="N111" s="163">
        <f t="shared" si="34"/>
        <v>-8.4312791586998106</v>
      </c>
      <c r="O111" s="163">
        <f t="shared" si="34"/>
        <v>-10.431279158699809</v>
      </c>
      <c r="P111" s="163">
        <f t="shared" si="34"/>
        <v>-11.431279158699812</v>
      </c>
      <c r="Q111" s="170"/>
      <c r="S111" s="170"/>
      <c r="T111" s="170"/>
      <c r="V111" s="170"/>
      <c r="W111" s="170"/>
    </row>
    <row r="112" spans="1:23">
      <c r="A112" s="159">
        <v>300</v>
      </c>
      <c r="B112" s="159">
        <f t="shared" si="30"/>
        <v>573</v>
      </c>
      <c r="C112" s="162">
        <f t="shared" si="35"/>
        <v>30.429863203130687</v>
      </c>
      <c r="D112" s="162">
        <f t="shared" si="36"/>
        <v>142.33116364666475</v>
      </c>
      <c r="E112" s="162">
        <f t="shared" si="37"/>
        <v>84.976727077597261</v>
      </c>
      <c r="F112" s="163">
        <f t="shared" si="31"/>
        <v>-0.23821116928446751</v>
      </c>
      <c r="G112" s="163">
        <f t="shared" si="31"/>
        <v>-1.2382111692844675</v>
      </c>
      <c r="H112" s="163">
        <f t="shared" si="31"/>
        <v>-2.2382111692844675</v>
      </c>
      <c r="I112" s="163">
        <f t="shared" si="31"/>
        <v>-3.2382111692844675</v>
      </c>
      <c r="J112" s="163">
        <f t="shared" si="32"/>
        <v>-4.2382111692844671</v>
      </c>
      <c r="K112" s="163">
        <f t="shared" si="33"/>
        <v>-4.9082111692844679</v>
      </c>
      <c r="L112" s="163">
        <f t="shared" si="34"/>
        <v>-5.9082111692844679</v>
      </c>
      <c r="M112" s="163">
        <f t="shared" si="34"/>
        <v>-6.9082111692844679</v>
      </c>
      <c r="N112" s="163">
        <f t="shared" si="34"/>
        <v>-7.9082111692844679</v>
      </c>
      <c r="O112" s="163">
        <f t="shared" si="34"/>
        <v>-9.9082111692844688</v>
      </c>
      <c r="P112" s="163">
        <f t="shared" si="34"/>
        <v>-10.908211169284471</v>
      </c>
      <c r="Q112" s="170"/>
      <c r="S112" s="170"/>
      <c r="T112" s="170"/>
      <c r="V112" s="170"/>
      <c r="W112" s="170"/>
    </row>
    <row r="113" spans="1:23">
      <c r="A113" s="159">
        <v>350</v>
      </c>
      <c r="B113" s="159">
        <f t="shared" si="30"/>
        <v>623</v>
      </c>
      <c r="C113" s="162">
        <f t="shared" si="35"/>
        <v>8.6556562386265696</v>
      </c>
      <c r="D113" s="162">
        <f t="shared" si="36"/>
        <v>28.793867378079831</v>
      </c>
      <c r="E113" s="162">
        <f t="shared" si="37"/>
        <v>17.290199327406771</v>
      </c>
      <c r="F113" s="163">
        <f t="shared" si="31"/>
        <v>7.6653290529695273E-2</v>
      </c>
      <c r="G113" s="163">
        <f t="shared" si="31"/>
        <v>-0.92334670947030473</v>
      </c>
      <c r="H113" s="163">
        <f t="shared" si="31"/>
        <v>-1.9233467094703047</v>
      </c>
      <c r="I113" s="163">
        <f t="shared" si="31"/>
        <v>-2.9233467094703047</v>
      </c>
      <c r="J113" s="163">
        <f t="shared" si="32"/>
        <v>-3.9233467094703047</v>
      </c>
      <c r="K113" s="163">
        <f t="shared" si="33"/>
        <v>-4.4453467094703054</v>
      </c>
      <c r="L113" s="163">
        <f t="shared" si="34"/>
        <v>-5.4453467094703063</v>
      </c>
      <c r="M113" s="163">
        <f t="shared" si="34"/>
        <v>-6.4453467094703063</v>
      </c>
      <c r="N113" s="163">
        <f t="shared" si="34"/>
        <v>-7.4453467094703063</v>
      </c>
      <c r="O113" s="163">
        <f t="shared" si="34"/>
        <v>-9.4453467094703054</v>
      </c>
      <c r="P113" s="163">
        <f t="shared" si="34"/>
        <v>-10.445346709470305</v>
      </c>
      <c r="Q113" s="170"/>
      <c r="S113" s="170"/>
      <c r="T113" s="170"/>
      <c r="V113" s="170"/>
      <c r="W113" s="170"/>
    </row>
    <row r="114" spans="1:23">
      <c r="A114" s="159">
        <v>400</v>
      </c>
      <c r="B114" s="159">
        <f t="shared" si="30"/>
        <v>673</v>
      </c>
      <c r="C114" s="162">
        <f t="shared" si="35"/>
        <v>2.4620677530212198</v>
      </c>
      <c r="D114" s="162">
        <f t="shared" si="36"/>
        <v>5.8250545934174136</v>
      </c>
      <c r="E114" s="162">
        <f t="shared" si="37"/>
        <v>3.5180337377370221</v>
      </c>
      <c r="F114" s="163">
        <f t="shared" si="31"/>
        <v>0.34473254086181271</v>
      </c>
      <c r="G114" s="163">
        <f t="shared" si="31"/>
        <v>-0.65526745913818729</v>
      </c>
      <c r="H114" s="163">
        <f t="shared" si="31"/>
        <v>-1.6552674591381873</v>
      </c>
      <c r="I114" s="163">
        <f t="shared" si="31"/>
        <v>-2.6552674591381873</v>
      </c>
      <c r="J114" s="163">
        <f t="shared" si="32"/>
        <v>-3.6552674591381873</v>
      </c>
      <c r="K114" s="163">
        <f t="shared" si="33"/>
        <v>-4.0292674591381878</v>
      </c>
      <c r="L114" s="163">
        <f t="shared" si="34"/>
        <v>-5.0292674591381878</v>
      </c>
      <c r="M114" s="163">
        <f t="shared" si="34"/>
        <v>-6.0292674591381878</v>
      </c>
      <c r="N114" s="163">
        <f t="shared" si="34"/>
        <v>-7.0292674591381878</v>
      </c>
      <c r="O114" s="163">
        <f t="shared" si="34"/>
        <v>-9.0292674591381878</v>
      </c>
      <c r="P114" s="163">
        <f t="shared" si="34"/>
        <v>-10.02926745913819</v>
      </c>
      <c r="Q114" s="170"/>
      <c r="S114" s="170"/>
      <c r="T114" s="170"/>
      <c r="V114" s="170"/>
      <c r="W114" s="170"/>
    </row>
    <row r="115" spans="1:23">
      <c r="C115" s="162"/>
      <c r="D115" s="162"/>
      <c r="E115" s="162"/>
      <c r="F115" s="163"/>
      <c r="G115" s="163"/>
      <c r="H115" s="163"/>
      <c r="I115" s="163"/>
      <c r="J115" s="163"/>
      <c r="K115" s="163"/>
      <c r="L115" s="163"/>
      <c r="M115" s="163"/>
      <c r="N115" s="163"/>
      <c r="O115" s="163"/>
      <c r="P115" s="163"/>
      <c r="Q115" s="170"/>
      <c r="S115" s="170"/>
      <c r="T115" s="170"/>
      <c r="V115" s="170"/>
      <c r="W115" s="170"/>
    </row>
    <row r="116" spans="1:23">
      <c r="C116" s="162"/>
      <c r="D116" s="162"/>
      <c r="E116" s="162"/>
      <c r="F116" s="163"/>
      <c r="G116" s="163"/>
      <c r="H116" s="163"/>
      <c r="I116" s="163"/>
      <c r="J116" s="163"/>
      <c r="K116" s="163"/>
      <c r="L116" s="163"/>
      <c r="M116" s="163"/>
      <c r="N116" s="163"/>
      <c r="O116" s="163"/>
      <c r="P116" s="163"/>
      <c r="Q116" s="170"/>
      <c r="S116" s="170"/>
      <c r="T116" s="170"/>
      <c r="V116" s="170"/>
      <c r="W116" s="170"/>
    </row>
    <row r="117" spans="1:23">
      <c r="C117" s="162"/>
      <c r="D117" s="162"/>
      <c r="E117" s="162"/>
      <c r="F117" s="163"/>
      <c r="G117" s="163"/>
      <c r="H117" s="163"/>
      <c r="I117" s="163"/>
      <c r="J117" s="163"/>
      <c r="K117" s="163"/>
      <c r="L117" s="163"/>
      <c r="M117" s="163"/>
      <c r="N117" s="163"/>
      <c r="O117" s="163"/>
      <c r="P117" s="163"/>
      <c r="Q117" s="170"/>
      <c r="S117" s="170"/>
      <c r="T117" s="170"/>
      <c r="V117" s="170"/>
      <c r="W117" s="170"/>
    </row>
    <row r="118" spans="1:23">
      <c r="C118" s="162"/>
      <c r="D118" s="162"/>
      <c r="E118" s="162"/>
      <c r="F118" s="163"/>
      <c r="G118" s="163"/>
      <c r="H118" s="163"/>
      <c r="I118" s="163"/>
      <c r="J118" s="163"/>
      <c r="K118" s="163"/>
      <c r="L118" s="163"/>
      <c r="M118" s="163"/>
      <c r="N118" s="163"/>
      <c r="O118" s="163"/>
      <c r="P118" s="163"/>
      <c r="Q118" s="170"/>
      <c r="S118" s="170"/>
      <c r="T118" s="170"/>
      <c r="V118" s="170"/>
      <c r="W118" s="170"/>
    </row>
    <row r="119" spans="1:23">
      <c r="C119" s="162"/>
      <c r="D119" s="162"/>
      <c r="E119" s="162"/>
      <c r="F119" s="163"/>
      <c r="G119" s="163"/>
      <c r="H119" s="163"/>
      <c r="I119" s="163"/>
      <c r="J119" s="163"/>
      <c r="K119" s="163"/>
      <c r="L119" s="163"/>
      <c r="M119" s="163"/>
      <c r="N119" s="163"/>
      <c r="O119" s="163"/>
      <c r="P119" s="163"/>
      <c r="Q119" s="170"/>
      <c r="S119" s="170"/>
      <c r="T119" s="170"/>
      <c r="V119" s="170"/>
      <c r="W119" s="170"/>
    </row>
    <row r="120" spans="1:23">
      <c r="C120" s="162"/>
      <c r="D120" s="162"/>
      <c r="E120" s="162"/>
      <c r="F120" s="163"/>
      <c r="G120" s="163"/>
      <c r="H120" s="163"/>
      <c r="I120" s="163"/>
      <c r="J120" s="163"/>
      <c r="K120" s="163"/>
      <c r="L120" s="163"/>
      <c r="M120" s="163"/>
      <c r="N120" s="163"/>
      <c r="O120" s="163"/>
      <c r="P120" s="163"/>
      <c r="Q120" s="170"/>
      <c r="S120" s="170"/>
      <c r="T120" s="170"/>
      <c r="V120" s="170"/>
      <c r="W120" s="170"/>
    </row>
    <row r="121" spans="1:23">
      <c r="A121" s="158" t="s">
        <v>86</v>
      </c>
      <c r="Q121" s="170"/>
      <c r="S121" s="170"/>
      <c r="T121" s="170"/>
      <c r="V121" s="170"/>
      <c r="W121" s="170"/>
    </row>
    <row r="122" spans="1:23">
      <c r="A122" s="159" t="s">
        <v>45</v>
      </c>
      <c r="C122" s="159" t="s">
        <v>51</v>
      </c>
      <c r="G122" s="159" t="s">
        <v>18</v>
      </c>
      <c r="H122" s="159" t="s">
        <v>49</v>
      </c>
      <c r="Q122" s="170"/>
      <c r="S122" s="170"/>
      <c r="T122" s="170"/>
      <c r="V122" s="170"/>
      <c r="W122" s="170"/>
    </row>
    <row r="123" spans="1:23">
      <c r="Q123" s="170"/>
      <c r="S123" s="170"/>
      <c r="T123" s="170"/>
      <c r="V123" s="170"/>
      <c r="W123" s="170"/>
    </row>
    <row r="124" spans="1:23">
      <c r="G124" s="164"/>
      <c r="H124" s="164"/>
      <c r="I124" s="164"/>
      <c r="K124" s="164"/>
      <c r="L124" s="164"/>
      <c r="M124" s="164"/>
      <c r="N124" s="164"/>
      <c r="O124" s="164"/>
      <c r="P124" s="164"/>
      <c r="Q124" s="170"/>
      <c r="S124" s="170"/>
      <c r="T124" s="170"/>
      <c r="V124" s="170"/>
      <c r="W124" s="170"/>
    </row>
    <row r="125" spans="1:23">
      <c r="E125" s="164" t="s">
        <v>50</v>
      </c>
      <c r="F125" s="159">
        <f t="shared" ref="F125:P125" si="38">F105</f>
        <v>1.2000000000000002</v>
      </c>
      <c r="G125" s="159">
        <f t="shared" si="38"/>
        <v>0.20000000000000018</v>
      </c>
      <c r="H125" s="159">
        <f t="shared" si="38"/>
        <v>-0.79999999999999982</v>
      </c>
      <c r="I125" s="159">
        <f t="shared" si="38"/>
        <v>-1.7999999999999998</v>
      </c>
      <c r="J125" s="165">
        <f t="shared" si="38"/>
        <v>-2.8</v>
      </c>
      <c r="K125" s="166">
        <f t="shared" si="38"/>
        <v>-2.8</v>
      </c>
      <c r="L125" s="159">
        <f t="shared" si="38"/>
        <v>-3.8</v>
      </c>
      <c r="M125" s="159">
        <f t="shared" si="38"/>
        <v>-4.8</v>
      </c>
      <c r="N125" s="159">
        <f t="shared" si="38"/>
        <v>-5.8</v>
      </c>
      <c r="O125" s="159">
        <f t="shared" si="38"/>
        <v>-7.8</v>
      </c>
      <c r="P125" s="159">
        <f t="shared" si="38"/>
        <v>-8.8000000000000007</v>
      </c>
    </row>
    <row r="126" spans="1:23">
      <c r="F126" s="159" t="s">
        <v>55</v>
      </c>
    </row>
    <row r="127" spans="1:23">
      <c r="A127" s="164" t="s">
        <v>0</v>
      </c>
      <c r="B127" s="164" t="s">
        <v>3</v>
      </c>
      <c r="C127" s="164" t="s">
        <v>124</v>
      </c>
      <c r="D127" s="164"/>
      <c r="E127" s="164" t="s">
        <v>47</v>
      </c>
      <c r="F127" s="168" t="s">
        <v>52</v>
      </c>
      <c r="G127" s="168" t="s">
        <v>52</v>
      </c>
      <c r="H127" s="168" t="s">
        <v>52</v>
      </c>
      <c r="I127" s="168" t="s">
        <v>52</v>
      </c>
      <c r="J127" s="168" t="s">
        <v>52</v>
      </c>
      <c r="K127" s="168" t="s">
        <v>53</v>
      </c>
      <c r="L127" s="168" t="s">
        <v>53</v>
      </c>
      <c r="M127" s="168" t="s">
        <v>53</v>
      </c>
      <c r="N127" s="168" t="s">
        <v>53</v>
      </c>
      <c r="O127" s="168" t="s">
        <v>53</v>
      </c>
      <c r="P127" s="168" t="s">
        <v>53</v>
      </c>
      <c r="Q127" s="169"/>
      <c r="S127" s="169"/>
      <c r="T127" s="169"/>
      <c r="V127" s="169"/>
      <c r="W127" s="169"/>
    </row>
    <row r="128" spans="1:23">
      <c r="A128" s="159">
        <v>100</v>
      </c>
      <c r="B128" s="159">
        <f t="shared" ref="B128:B134" si="39">A128+273</f>
        <v>373</v>
      </c>
      <c r="C128" s="162">
        <f>10^(4.7593-0.01092*$A128)</f>
        <v>4648.3626185930125</v>
      </c>
      <c r="D128" s="162"/>
      <c r="E128" s="162">
        <f>10^(6.0783-0.01383*$A128)</f>
        <v>49579.255390630286</v>
      </c>
      <c r="F128" s="163">
        <f t="shared" ref="F128:G134" si="40">4*F$105+0.135+5181/$B108</f>
        <v>18.825080428954422</v>
      </c>
      <c r="G128" s="163">
        <f t="shared" si="40"/>
        <v>14.825080428954424</v>
      </c>
      <c r="H128" s="163">
        <f t="shared" ref="H128:I134" si="41">4*H$105+0.135+5181/$B108</f>
        <v>10.825080428954424</v>
      </c>
      <c r="I128" s="163">
        <f t="shared" si="41"/>
        <v>6.8250804289544238</v>
      </c>
      <c r="J128" s="163">
        <f>4*$J$125+0.135+5181/$B128</f>
        <v>2.8250804289544238</v>
      </c>
      <c r="K128" s="163">
        <f>J128+LOG($C128/$E128)</f>
        <v>1.797080428954424</v>
      </c>
      <c r="L128" s="163">
        <f t="shared" ref="L128:P134" si="42">4*L$105+0.135+5181/$B108+LOG($C108/$E108)</f>
        <v>-2.2029195710455758</v>
      </c>
      <c r="M128" s="163">
        <f t="shared" si="42"/>
        <v>-6.202919571045574</v>
      </c>
      <c r="N128" s="163">
        <f t="shared" si="42"/>
        <v>-10.202919571045575</v>
      </c>
      <c r="O128" s="163">
        <f t="shared" si="42"/>
        <v>-18.202919571045573</v>
      </c>
      <c r="P128" s="163">
        <f t="shared" si="42"/>
        <v>-22.20291957104558</v>
      </c>
      <c r="Q128" s="170"/>
      <c r="S128" s="170"/>
      <c r="T128" s="170"/>
      <c r="V128" s="170"/>
      <c r="W128" s="170"/>
    </row>
    <row r="129" spans="1:23">
      <c r="A129" s="159">
        <v>150</v>
      </c>
      <c r="B129" s="159">
        <f t="shared" si="39"/>
        <v>423</v>
      </c>
      <c r="C129" s="162">
        <f t="shared" ref="C129:C134" si="43">10^(4.7593-0.01092*$A129)</f>
        <v>1322.2086681902574</v>
      </c>
      <c r="D129" s="162"/>
      <c r="E129" s="162">
        <f t="shared" ref="E129:E134" si="44">10^(6.0783-0.01383*$A129)</f>
        <v>10087.882149492711</v>
      </c>
      <c r="F129" s="163">
        <f t="shared" si="40"/>
        <v>17.183226950354609</v>
      </c>
      <c r="G129" s="163">
        <f t="shared" si="40"/>
        <v>13.18322695035461</v>
      </c>
      <c r="H129" s="163">
        <f t="shared" si="41"/>
        <v>9.1832269503546105</v>
      </c>
      <c r="I129" s="163">
        <f t="shared" si="41"/>
        <v>5.1832269503546105</v>
      </c>
      <c r="J129" s="163">
        <f t="shared" ref="J129:J134" si="45">4*$J$125+0.135+5181/$B129</f>
        <v>1.1832269503546105</v>
      </c>
      <c r="K129" s="163">
        <f t="shared" ref="K129:K134" si="46">J129+LOG($C129/$E129)</f>
        <v>0.30072695035460995</v>
      </c>
      <c r="L129" s="163">
        <f t="shared" si="42"/>
        <v>-3.6992730496453898</v>
      </c>
      <c r="M129" s="163">
        <f t="shared" si="42"/>
        <v>-7.6992730496453881</v>
      </c>
      <c r="N129" s="163">
        <f t="shared" si="42"/>
        <v>-11.699273049645388</v>
      </c>
      <c r="O129" s="163">
        <f t="shared" si="42"/>
        <v>-19.699273049645388</v>
      </c>
      <c r="P129" s="163">
        <f t="shared" si="42"/>
        <v>-23.699273049645395</v>
      </c>
      <c r="Q129" s="170"/>
      <c r="S129" s="170"/>
      <c r="T129" s="170"/>
      <c r="V129" s="170"/>
      <c r="W129" s="170"/>
    </row>
    <row r="130" spans="1:23">
      <c r="A130" s="159">
        <v>200</v>
      </c>
      <c r="B130" s="159">
        <f t="shared" si="39"/>
        <v>473</v>
      </c>
      <c r="C130" s="162">
        <f t="shared" si="43"/>
        <v>376.09711325976934</v>
      </c>
      <c r="D130" s="162"/>
      <c r="E130" s="162">
        <f t="shared" si="44"/>
        <v>2052.5795609525312</v>
      </c>
      <c r="F130" s="163">
        <f t="shared" si="40"/>
        <v>15.888488372093024</v>
      </c>
      <c r="G130" s="163">
        <f t="shared" si="40"/>
        <v>11.888488372093024</v>
      </c>
      <c r="H130" s="163">
        <f t="shared" si="41"/>
        <v>7.8884883720930237</v>
      </c>
      <c r="I130" s="163">
        <f t="shared" si="41"/>
        <v>3.8884883720930237</v>
      </c>
      <c r="J130" s="163">
        <f t="shared" si="45"/>
        <v>-0.11151162790697633</v>
      </c>
      <c r="K130" s="163">
        <f t="shared" si="46"/>
        <v>-0.84851162790697621</v>
      </c>
      <c r="L130" s="163">
        <f t="shared" si="42"/>
        <v>-4.8485116279069764</v>
      </c>
      <c r="M130" s="163">
        <f t="shared" si="42"/>
        <v>-8.8485116279069747</v>
      </c>
      <c r="N130" s="163">
        <f t="shared" si="42"/>
        <v>-12.848511627906975</v>
      </c>
      <c r="O130" s="163">
        <f t="shared" si="42"/>
        <v>-20.848511627906973</v>
      </c>
      <c r="P130" s="163">
        <f t="shared" si="42"/>
        <v>-24.84851162790698</v>
      </c>
      <c r="Q130" s="170"/>
      <c r="S130" s="170"/>
      <c r="T130" s="170"/>
      <c r="V130" s="170"/>
      <c r="W130" s="170"/>
    </row>
    <row r="131" spans="1:23">
      <c r="A131" s="159">
        <v>250</v>
      </c>
      <c r="B131" s="159">
        <f t="shared" si="39"/>
        <v>523</v>
      </c>
      <c r="C131" s="162">
        <f t="shared" si="43"/>
        <v>106.97936112908468</v>
      </c>
      <c r="D131" s="162"/>
      <c r="E131" s="162">
        <f t="shared" si="44"/>
        <v>417.63799295097363</v>
      </c>
      <c r="F131" s="163">
        <f t="shared" si="40"/>
        <v>14.841309751434036</v>
      </c>
      <c r="G131" s="163">
        <f t="shared" si="40"/>
        <v>10.841309751434036</v>
      </c>
      <c r="H131" s="163">
        <f t="shared" si="41"/>
        <v>6.8413097514340357</v>
      </c>
      <c r="I131" s="163">
        <f t="shared" si="41"/>
        <v>2.8413097514340357</v>
      </c>
      <c r="J131" s="163">
        <f t="shared" si="45"/>
        <v>-1.1586902485659643</v>
      </c>
      <c r="K131" s="163">
        <f t="shared" si="46"/>
        <v>-1.7501902485659642</v>
      </c>
      <c r="L131" s="163">
        <f t="shared" si="42"/>
        <v>-5.7501902485659642</v>
      </c>
      <c r="M131" s="163">
        <f t="shared" si="42"/>
        <v>-9.7501902485659624</v>
      </c>
      <c r="N131" s="163">
        <f t="shared" si="42"/>
        <v>-13.750190248565962</v>
      </c>
      <c r="O131" s="163">
        <f t="shared" si="42"/>
        <v>-21.750190248565961</v>
      </c>
      <c r="P131" s="163">
        <f t="shared" si="42"/>
        <v>-25.750190248565968</v>
      </c>
      <c r="Q131" s="170"/>
      <c r="S131" s="170"/>
      <c r="T131" s="170"/>
      <c r="V131" s="170"/>
      <c r="W131" s="170"/>
    </row>
    <row r="132" spans="1:23">
      <c r="A132" s="159">
        <v>300</v>
      </c>
      <c r="B132" s="159">
        <f t="shared" si="39"/>
        <v>573</v>
      </c>
      <c r="C132" s="162">
        <f t="shared" si="43"/>
        <v>30.429863203130687</v>
      </c>
      <c r="D132" s="162"/>
      <c r="E132" s="162">
        <f t="shared" si="44"/>
        <v>84.976727077597261</v>
      </c>
      <c r="F132" s="163">
        <f t="shared" si="40"/>
        <v>13.976884816753927</v>
      </c>
      <c r="G132" s="163">
        <f t="shared" si="40"/>
        <v>9.9768848167539268</v>
      </c>
      <c r="H132" s="163">
        <f t="shared" si="41"/>
        <v>5.9768848167539268</v>
      </c>
      <c r="I132" s="163">
        <f t="shared" si="41"/>
        <v>1.9768848167539268</v>
      </c>
      <c r="J132" s="163">
        <f t="shared" si="45"/>
        <v>-2.0231151832460732</v>
      </c>
      <c r="K132" s="163">
        <f t="shared" si="46"/>
        <v>-2.4691151832460729</v>
      </c>
      <c r="L132" s="163">
        <f t="shared" si="42"/>
        <v>-6.4691151832460729</v>
      </c>
      <c r="M132" s="163">
        <f t="shared" si="42"/>
        <v>-10.469115183246071</v>
      </c>
      <c r="N132" s="163">
        <f t="shared" si="42"/>
        <v>-14.469115183246071</v>
      </c>
      <c r="O132" s="163">
        <f t="shared" si="42"/>
        <v>-22.469115183246071</v>
      </c>
      <c r="P132" s="163">
        <f t="shared" si="42"/>
        <v>-26.469115183246078</v>
      </c>
      <c r="Q132" s="170"/>
      <c r="S132" s="170"/>
      <c r="T132" s="170"/>
      <c r="V132" s="170"/>
      <c r="W132" s="170"/>
    </row>
    <row r="133" spans="1:23">
      <c r="A133" s="159">
        <v>350</v>
      </c>
      <c r="B133" s="159">
        <f t="shared" si="39"/>
        <v>623</v>
      </c>
      <c r="C133" s="162">
        <f t="shared" si="43"/>
        <v>8.6556562386265696</v>
      </c>
      <c r="D133" s="162"/>
      <c r="E133" s="162">
        <f t="shared" si="44"/>
        <v>17.290199327406771</v>
      </c>
      <c r="F133" s="163">
        <f t="shared" si="40"/>
        <v>13.251211878009631</v>
      </c>
      <c r="G133" s="163">
        <f t="shared" si="40"/>
        <v>9.2512118780096309</v>
      </c>
      <c r="H133" s="163">
        <f t="shared" si="41"/>
        <v>5.2512118780096309</v>
      </c>
      <c r="I133" s="163">
        <f t="shared" si="41"/>
        <v>1.2512118780096309</v>
      </c>
      <c r="J133" s="163">
        <f t="shared" si="45"/>
        <v>-2.7487881219903691</v>
      </c>
      <c r="K133" s="163">
        <f t="shared" si="46"/>
        <v>-3.0492881219903682</v>
      </c>
      <c r="L133" s="163">
        <f t="shared" si="42"/>
        <v>-7.0492881219903687</v>
      </c>
      <c r="M133" s="163">
        <f t="shared" si="42"/>
        <v>-11.049288121990367</v>
      </c>
      <c r="N133" s="163">
        <f t="shared" si="42"/>
        <v>-15.049288121990367</v>
      </c>
      <c r="O133" s="163">
        <f t="shared" si="42"/>
        <v>-23.049288121990365</v>
      </c>
      <c r="P133" s="163">
        <f t="shared" si="42"/>
        <v>-27.049288121990372</v>
      </c>
      <c r="Q133" s="170"/>
      <c r="S133" s="170"/>
      <c r="T133" s="170"/>
      <c r="V133" s="170"/>
      <c r="W133" s="170"/>
    </row>
    <row r="134" spans="1:23">
      <c r="A134" s="159">
        <v>400</v>
      </c>
      <c r="B134" s="159">
        <f t="shared" si="39"/>
        <v>673</v>
      </c>
      <c r="C134" s="162">
        <f t="shared" si="43"/>
        <v>2.4620677530212198</v>
      </c>
      <c r="D134" s="162"/>
      <c r="E134" s="162">
        <f t="shared" si="44"/>
        <v>3.5180337377370221</v>
      </c>
      <c r="F134" s="163">
        <f t="shared" si="40"/>
        <v>12.633365527488856</v>
      </c>
      <c r="G134" s="163">
        <f t="shared" si="40"/>
        <v>8.6333655274888574</v>
      </c>
      <c r="H134" s="163">
        <f t="shared" si="41"/>
        <v>4.6333655274888566</v>
      </c>
      <c r="I134" s="163">
        <f t="shared" si="41"/>
        <v>0.63336552748885655</v>
      </c>
      <c r="J134" s="163">
        <f t="shared" si="45"/>
        <v>-3.3666344725111434</v>
      </c>
      <c r="K134" s="163">
        <f t="shared" si="46"/>
        <v>-3.5216344725111428</v>
      </c>
      <c r="L134" s="163">
        <f t="shared" si="42"/>
        <v>-7.5216344725111428</v>
      </c>
      <c r="M134" s="163">
        <f t="shared" si="42"/>
        <v>-11.52163447251114</v>
      </c>
      <c r="N134" s="163">
        <f t="shared" si="42"/>
        <v>-15.52163447251114</v>
      </c>
      <c r="O134" s="163">
        <f t="shared" si="42"/>
        <v>-23.521634472511142</v>
      </c>
      <c r="P134" s="163">
        <f t="shared" si="42"/>
        <v>-27.521634472511149</v>
      </c>
      <c r="Q134" s="170"/>
      <c r="S134" s="170"/>
      <c r="T134" s="170"/>
      <c r="V134" s="170"/>
      <c r="W134" s="170"/>
    </row>
    <row r="135" spans="1:23">
      <c r="F135" s="163"/>
      <c r="G135" s="163"/>
      <c r="H135" s="163"/>
      <c r="I135" s="163"/>
      <c r="J135" s="163"/>
      <c r="K135" s="163"/>
      <c r="L135" s="163"/>
      <c r="M135" s="163"/>
      <c r="N135" s="163"/>
      <c r="O135" s="163"/>
      <c r="P135" s="163"/>
      <c r="Q135" s="170"/>
      <c r="S135" s="170"/>
      <c r="T135" s="170"/>
      <c r="V135" s="170"/>
      <c r="W135" s="170"/>
    </row>
    <row r="136" spans="1:23">
      <c r="F136" s="163"/>
      <c r="G136" s="163"/>
      <c r="H136" s="163"/>
      <c r="I136" s="163"/>
      <c r="J136" s="163"/>
      <c r="K136" s="163"/>
      <c r="L136" s="163"/>
      <c r="M136" s="163"/>
      <c r="N136" s="163"/>
      <c r="O136" s="163"/>
      <c r="P136" s="163"/>
      <c r="Q136" s="170"/>
      <c r="S136" s="170"/>
      <c r="T136" s="170"/>
      <c r="V136" s="170"/>
      <c r="W136" s="170"/>
    </row>
    <row r="137" spans="1:23">
      <c r="F137" s="163"/>
      <c r="G137" s="163"/>
      <c r="H137" s="163"/>
      <c r="I137" s="163"/>
      <c r="J137" s="163"/>
      <c r="K137" s="163"/>
      <c r="L137" s="163"/>
      <c r="M137" s="163"/>
      <c r="N137" s="163"/>
      <c r="O137" s="163"/>
      <c r="P137" s="163"/>
      <c r="Q137" s="170"/>
      <c r="S137" s="170"/>
      <c r="T137" s="170"/>
      <c r="V137" s="170"/>
      <c r="W137" s="170"/>
    </row>
    <row r="138" spans="1:23">
      <c r="F138" s="163"/>
      <c r="G138" s="163"/>
      <c r="H138" s="163"/>
      <c r="I138" s="163"/>
      <c r="J138" s="163"/>
      <c r="K138" s="163"/>
      <c r="L138" s="163"/>
      <c r="M138" s="163"/>
      <c r="N138" s="163"/>
      <c r="O138" s="163"/>
      <c r="P138" s="163"/>
      <c r="Q138" s="170"/>
      <c r="S138" s="170"/>
      <c r="T138" s="170"/>
      <c r="V138" s="170"/>
      <c r="W138" s="170"/>
    </row>
    <row r="139" spans="1:23">
      <c r="F139" s="163"/>
      <c r="G139" s="163"/>
      <c r="H139" s="163"/>
      <c r="I139" s="163"/>
      <c r="J139" s="163"/>
      <c r="K139" s="163"/>
      <c r="L139" s="163"/>
      <c r="M139" s="163"/>
      <c r="N139" s="163"/>
      <c r="O139" s="163"/>
      <c r="P139" s="163"/>
      <c r="Q139" s="170"/>
      <c r="S139" s="170"/>
      <c r="T139" s="170"/>
      <c r="V139" s="170"/>
      <c r="W139" s="170"/>
    </row>
    <row r="141" spans="1:23">
      <c r="A141" s="158" t="s">
        <v>139</v>
      </c>
      <c r="C141" s="160" t="s">
        <v>148</v>
      </c>
      <c r="F141" s="159" t="s">
        <v>140</v>
      </c>
    </row>
    <row r="142" spans="1:23">
      <c r="A142" s="160"/>
      <c r="B142" s="159" t="s">
        <v>51</v>
      </c>
    </row>
    <row r="143" spans="1:23">
      <c r="B143" s="160" t="s">
        <v>144</v>
      </c>
    </row>
    <row r="144" spans="1:23">
      <c r="B144" s="159" t="s">
        <v>143</v>
      </c>
      <c r="F144" s="160"/>
      <c r="G144" s="160"/>
    </row>
    <row r="145" spans="1:25">
      <c r="D145" s="164" t="s">
        <v>50</v>
      </c>
      <c r="E145" s="171">
        <f>input!J5</f>
        <v>-2.8</v>
      </c>
      <c r="N145" s="159" t="s">
        <v>153</v>
      </c>
      <c r="S145" s="167"/>
      <c r="V145" s="167"/>
    </row>
    <row r="146" spans="1:25">
      <c r="F146" s="160"/>
      <c r="G146" s="160"/>
      <c r="H146" s="250" t="s">
        <v>147</v>
      </c>
      <c r="I146" s="251"/>
      <c r="J146" s="250" t="s">
        <v>55</v>
      </c>
      <c r="K146" s="251"/>
      <c r="L146" s="252" t="s">
        <v>149</v>
      </c>
      <c r="M146" s="253"/>
      <c r="N146" s="169">
        <f>input!J2</f>
        <v>200</v>
      </c>
      <c r="O146" s="169">
        <f>input!J3</f>
        <v>1</v>
      </c>
      <c r="P146" s="169">
        <f>input!J4</f>
        <v>10</v>
      </c>
      <c r="S146" s="252" t="s">
        <v>154</v>
      </c>
      <c r="T146" s="253"/>
      <c r="U146" s="169">
        <f>N146</f>
        <v>200</v>
      </c>
      <c r="V146" s="169">
        <f>O146</f>
        <v>1</v>
      </c>
      <c r="W146" s="169">
        <f>P146</f>
        <v>10</v>
      </c>
    </row>
    <row r="147" spans="1:25">
      <c r="A147" s="164" t="s">
        <v>0</v>
      </c>
      <c r="B147" s="164" t="s">
        <v>3</v>
      </c>
      <c r="C147" s="164" t="s">
        <v>124</v>
      </c>
      <c r="D147" s="164" t="s">
        <v>131</v>
      </c>
      <c r="E147" s="164" t="s">
        <v>47</v>
      </c>
      <c r="F147" s="169" t="s">
        <v>145</v>
      </c>
      <c r="G147" s="169" t="s">
        <v>146</v>
      </c>
      <c r="H147" s="172" t="s">
        <v>52</v>
      </c>
      <c r="I147" s="173" t="s">
        <v>53</v>
      </c>
      <c r="J147" s="172" t="s">
        <v>52</v>
      </c>
      <c r="K147" s="173" t="s">
        <v>53</v>
      </c>
      <c r="L147" s="167" t="s">
        <v>22</v>
      </c>
      <c r="M147" s="167" t="s">
        <v>20</v>
      </c>
      <c r="N147" s="169" t="s">
        <v>150</v>
      </c>
      <c r="O147" s="169" t="s">
        <v>152</v>
      </c>
      <c r="P147" s="169" t="s">
        <v>151</v>
      </c>
      <c r="Q147" s="164" t="s">
        <v>92</v>
      </c>
      <c r="R147" s="164" t="s">
        <v>93</v>
      </c>
      <c r="S147" s="167" t="s">
        <v>22</v>
      </c>
      <c r="T147" s="167" t="s">
        <v>20</v>
      </c>
      <c r="U147" s="169" t="s">
        <v>150</v>
      </c>
      <c r="V147" s="169" t="s">
        <v>152</v>
      </c>
      <c r="W147" s="169" t="s">
        <v>151</v>
      </c>
      <c r="X147" s="164" t="s">
        <v>92</v>
      </c>
      <c r="Y147" s="164" t="s">
        <v>93</v>
      </c>
    </row>
    <row r="148" spans="1:25">
      <c r="A148" s="159">
        <v>200</v>
      </c>
      <c r="B148" s="159">
        <f t="shared" ref="B148:B158" si="47">A148+273</f>
        <v>473</v>
      </c>
      <c r="C148" s="162">
        <f>10^(4.7593-0.01092*$A148)</f>
        <v>376.09711325976934</v>
      </c>
      <c r="D148" s="162">
        <f>10^(4.0547-0.00981*A148)</f>
        <v>123.79411516551075</v>
      </c>
      <c r="E148" s="162">
        <f>10^(6.0783-0.01383*$A148)</f>
        <v>2052.5795609525312</v>
      </c>
      <c r="F148" s="170">
        <f>($E$145/3)+4.07-1997/B148-LOG(B148)</f>
        <v>-3.7601817890817153</v>
      </c>
      <c r="G148" s="170">
        <f>-11.371+0.0168*B148+2086/B148-LOG(B148)</f>
        <v>-1.6893131491944722</v>
      </c>
      <c r="H148" s="174">
        <f>F148-G148</f>
        <v>-2.0708686398872431</v>
      </c>
      <c r="I148" s="175">
        <f>H148+LOG($C148/$D148)</f>
        <v>-1.5882686398872439</v>
      </c>
      <c r="J148" s="174">
        <f t="shared" ref="J148:J156" si="48">(4*$E$145+0.135+5181/$B148)</f>
        <v>-0.11151162790697633</v>
      </c>
      <c r="K148" s="175">
        <f>J148+LOG($C148/$E148)</f>
        <v>-0.84851162790697621</v>
      </c>
      <c r="L148" s="176">
        <f>10^J148</f>
        <v>0.77354996728112291</v>
      </c>
      <c r="M148" s="177">
        <f>10^H148</f>
        <v>8.494373636665168E-3</v>
      </c>
      <c r="N148" s="178">
        <f>(L148*$N$146)/(L148*$N$146+$O$146+M148*$P$146)</f>
        <v>0.99303607834813357</v>
      </c>
      <c r="O148" s="178">
        <f>$O$146/(L148*$N$146+$O$146+M148*$P$146)</f>
        <v>6.4186938164994137E-3</v>
      </c>
      <c r="P148" s="178">
        <f>(M148*$P$146)/(L148*$N$146+$O$146+M148*$P$146)</f>
        <v>5.452278353669835E-4</v>
      </c>
      <c r="Q148" s="179">
        <f>0.5774*N148+1.1547*P148</f>
        <v>0.57400860621971062</v>
      </c>
      <c r="R148" s="180">
        <f>N148</f>
        <v>0.99303607834813357</v>
      </c>
      <c r="S148" s="176">
        <f t="shared" ref="S148:S156" si="49">10^K148</f>
        <v>0.14173867614739805</v>
      </c>
      <c r="T148" s="177">
        <f t="shared" ref="T148:T156" si="50">10^I148</f>
        <v>2.5806633856774071E-2</v>
      </c>
      <c r="U148" s="178">
        <f t="shared" ref="U148:U156" si="51">(S148*$N$146)/(S148*$N$146+$O$146+T148*$P$146)</f>
        <v>0.95750608759313127</v>
      </c>
      <c r="V148" s="178">
        <f t="shared" ref="V148:V156" si="52">$O$146/(S148*$N$146+$O$146+T148*$P$146)</f>
        <v>3.3777163496200351E-2</v>
      </c>
      <c r="W148" s="178">
        <f t="shared" ref="W148:W156" si="53">(T148*$P$146)/(S148*$N$146+$O$146+T148*$P$146)</f>
        <v>8.7167489106683704E-3</v>
      </c>
      <c r="X148" s="179">
        <f t="shared" ref="X148:X156" si="54">0.5774*U148+1.1547*W148</f>
        <v>0.56292924494342278</v>
      </c>
      <c r="Y148" s="180">
        <f t="shared" ref="Y148:Y156" si="55">U148</f>
        <v>0.95750608759313127</v>
      </c>
    </row>
    <row r="149" spans="1:25">
      <c r="A149" s="159">
        <v>225</v>
      </c>
      <c r="B149" s="159">
        <f t="shared" si="47"/>
        <v>498</v>
      </c>
      <c r="C149" s="162">
        <f t="shared" ref="C149:C158" si="56">10^(4.7593-0.01092*$A149)</f>
        <v>200.58571459359496</v>
      </c>
      <c r="D149" s="162">
        <f t="shared" ref="D149:D154" si="57">10^(4.0547-0.00981*A149)</f>
        <v>70.380119516490552</v>
      </c>
      <c r="E149" s="162">
        <f t="shared" ref="E149:E158" si="58">10^(6.0783-0.01383*$A149)</f>
        <v>925.8699737049501</v>
      </c>
      <c r="F149" s="170">
        <f t="shared" ref="F149:F154" si="59">($E$145/3)+4.07-1997/B149-LOG(B149)</f>
        <v>-3.5706028367356208</v>
      </c>
      <c r="G149" s="170">
        <f t="shared" ref="G149:G154" si="60">-11.371+0.0168*B149+2086/B149-LOG(B149)</f>
        <v>-1.5130743226793983</v>
      </c>
      <c r="H149" s="174">
        <f t="shared" ref="H149:H154" si="61">F149-G149</f>
        <v>-2.0575285140562225</v>
      </c>
      <c r="I149" s="175">
        <f t="shared" ref="I149:I158" si="62">H149+LOG($C149/$D149)</f>
        <v>-1.6026785140562232</v>
      </c>
      <c r="J149" s="174">
        <f t="shared" si="48"/>
        <v>-0.66138554216867362</v>
      </c>
      <c r="K149" s="175">
        <f t="shared" ref="K149:K158" si="63">J149+LOG($C149/$E149)</f>
        <v>-1.3256355421686732</v>
      </c>
      <c r="L149" s="181">
        <f t="shared" ref="L149:L154" si="64">10^J149</f>
        <v>0.21807930670614528</v>
      </c>
      <c r="M149" s="182">
        <f t="shared" ref="M149:M154" si="65">10^H149</f>
        <v>8.7593420537319857E-3</v>
      </c>
      <c r="N149" s="183">
        <f t="shared" ref="N149:N154" si="66">(L149*$N$146)/(L149*$N$146+$O$146+M149*$P$146)</f>
        <v>0.97567093133330929</v>
      </c>
      <c r="O149" s="183">
        <f t="shared" ref="O149:O154" si="67">$O$146/(L149*$N$146+$O$146+M149*$P$146)</f>
        <v>2.2369635754757644E-2</v>
      </c>
      <c r="P149" s="183">
        <f t="shared" ref="P149:P154" si="68">(M149*$P$146)/(L149*$N$146+$O$146+M149*$P$146)</f>
        <v>1.9594329119331532E-3</v>
      </c>
      <c r="Q149" s="184">
        <f t="shared" ref="Q149:Q154" si="69">0.5774*N149+1.1547*P149</f>
        <v>0.56561495293526198</v>
      </c>
      <c r="R149" s="185">
        <f t="shared" ref="R149:R154" si="70">N149</f>
        <v>0.97567093133330929</v>
      </c>
      <c r="S149" s="181">
        <f t="shared" si="49"/>
        <v>4.7245936055884924E-2</v>
      </c>
      <c r="T149" s="182">
        <f t="shared" si="50"/>
        <v>2.4964420311987142E-2</v>
      </c>
      <c r="U149" s="183">
        <f t="shared" si="51"/>
        <v>0.88319806577660709</v>
      </c>
      <c r="V149" s="183">
        <f t="shared" si="52"/>
        <v>9.3468151920190021E-2</v>
      </c>
      <c r="W149" s="183">
        <f t="shared" si="53"/>
        <v>2.3333782303202918E-2</v>
      </c>
      <c r="X149" s="184">
        <f t="shared" si="54"/>
        <v>0.53690208160492137</v>
      </c>
      <c r="Y149" s="185">
        <f t="shared" si="55"/>
        <v>0.88319806577660709</v>
      </c>
    </row>
    <row r="150" spans="1:25">
      <c r="A150" s="159">
        <v>250</v>
      </c>
      <c r="B150" s="159">
        <f t="shared" si="47"/>
        <v>523</v>
      </c>
      <c r="C150" s="162">
        <f t="shared" si="56"/>
        <v>106.97936112908468</v>
      </c>
      <c r="D150" s="162">
        <f t="shared" si="57"/>
        <v>40.01289735406997</v>
      </c>
      <c r="E150" s="162">
        <f t="shared" si="58"/>
        <v>417.63799295097363</v>
      </c>
      <c r="F150" s="170">
        <f t="shared" si="59"/>
        <v>-3.4001906627359797</v>
      </c>
      <c r="G150" s="170">
        <f t="shared" si="60"/>
        <v>-1.3145739642018839</v>
      </c>
      <c r="H150" s="174">
        <f t="shared" si="61"/>
        <v>-2.0856166985340958</v>
      </c>
      <c r="I150" s="175">
        <f t="shared" si="62"/>
        <v>-1.6585166985340969</v>
      </c>
      <c r="J150" s="174">
        <f t="shared" si="48"/>
        <v>-1.1586902485659643</v>
      </c>
      <c r="K150" s="175">
        <f t="shared" si="63"/>
        <v>-1.7501902485659642</v>
      </c>
      <c r="L150" s="181">
        <f t="shared" si="64"/>
        <v>6.9392055384800838E-2</v>
      </c>
      <c r="M150" s="182">
        <f t="shared" si="65"/>
        <v>8.2107589327780877E-3</v>
      </c>
      <c r="N150" s="183">
        <f t="shared" si="66"/>
        <v>0.9276691127182507</v>
      </c>
      <c r="O150" s="183">
        <f t="shared" si="67"/>
        <v>6.6842602339275928E-2</v>
      </c>
      <c r="P150" s="183">
        <f t="shared" si="68"/>
        <v>5.4882849424734339E-3</v>
      </c>
      <c r="Q150" s="184">
        <f t="shared" si="69"/>
        <v>0.5419734683065921</v>
      </c>
      <c r="R150" s="185">
        <f t="shared" si="70"/>
        <v>0.9276691127182507</v>
      </c>
      <c r="S150" s="181">
        <f t="shared" si="49"/>
        <v>1.7775005813160046E-2</v>
      </c>
      <c r="T150" s="182">
        <f t="shared" si="50"/>
        <v>2.1952465407361437E-2</v>
      </c>
      <c r="U150" s="183">
        <f t="shared" si="51"/>
        <v>0.74457680178278418</v>
      </c>
      <c r="V150" s="183">
        <f t="shared" si="52"/>
        <v>0.20944488277790699</v>
      </c>
      <c r="W150" s="183">
        <f t="shared" si="53"/>
        <v>4.5978315439308748E-2</v>
      </c>
      <c r="X150" s="184">
        <f t="shared" si="54"/>
        <v>0.48300980618714945</v>
      </c>
      <c r="Y150" s="185">
        <f t="shared" si="55"/>
        <v>0.74457680178278418</v>
      </c>
    </row>
    <row r="151" spans="1:25">
      <c r="A151" s="159">
        <v>275</v>
      </c>
      <c r="B151" s="159">
        <f t="shared" si="47"/>
        <v>548</v>
      </c>
      <c r="C151" s="162">
        <f t="shared" si="56"/>
        <v>57.055826387112866</v>
      </c>
      <c r="D151" s="162">
        <f t="shared" si="57"/>
        <v>22.748355155779553</v>
      </c>
      <c r="E151" s="162">
        <f t="shared" si="58"/>
        <v>188.38659650896162</v>
      </c>
      <c r="F151" s="170">
        <f t="shared" si="59"/>
        <v>-3.2462744757593081</v>
      </c>
      <c r="G151" s="170">
        <f t="shared" si="60"/>
        <v>-1.0968112154186778</v>
      </c>
      <c r="H151" s="174">
        <f t="shared" si="61"/>
        <v>-2.1494632603406303</v>
      </c>
      <c r="I151" s="175">
        <f t="shared" si="62"/>
        <v>-1.7501132603406311</v>
      </c>
      <c r="J151" s="174">
        <f t="shared" si="48"/>
        <v>-1.6106204379562037</v>
      </c>
      <c r="K151" s="175">
        <f t="shared" si="63"/>
        <v>-2.1293704379562031</v>
      </c>
      <c r="L151" s="181">
        <f t="shared" si="64"/>
        <v>2.4512045948141506E-2</v>
      </c>
      <c r="M151" s="182">
        <f t="shared" si="65"/>
        <v>7.0882126749493768E-3</v>
      </c>
      <c r="N151" s="183">
        <f t="shared" si="66"/>
        <v>0.82072159718490389</v>
      </c>
      <c r="O151" s="183">
        <f t="shared" si="67"/>
        <v>0.1674118918757842</v>
      </c>
      <c r="P151" s="183">
        <f t="shared" si="68"/>
        <v>1.186651093931188E-2</v>
      </c>
      <c r="Q151" s="184">
        <f t="shared" si="69"/>
        <v>0.48758691039618696</v>
      </c>
      <c r="R151" s="185">
        <f t="shared" si="70"/>
        <v>0.82072159718490389</v>
      </c>
      <c r="S151" s="181">
        <f t="shared" si="49"/>
        <v>7.4238563885491993E-3</v>
      </c>
      <c r="T151" s="182">
        <f t="shared" si="50"/>
        <v>1.7778157102233166E-2</v>
      </c>
      <c r="U151" s="183">
        <f t="shared" si="51"/>
        <v>0.55764950484150722</v>
      </c>
      <c r="V151" s="183">
        <f t="shared" si="52"/>
        <v>0.37557939947602176</v>
      </c>
      <c r="W151" s="183">
        <f t="shared" si="53"/>
        <v>6.6771095682471041E-2</v>
      </c>
      <c r="X151" s="184">
        <f t="shared" si="54"/>
        <v>0.39908740828003564</v>
      </c>
      <c r="Y151" s="185">
        <f t="shared" si="55"/>
        <v>0.55764950484150722</v>
      </c>
    </row>
    <row r="152" spans="1:25">
      <c r="A152" s="159">
        <v>300</v>
      </c>
      <c r="B152" s="159">
        <f t="shared" si="47"/>
        <v>573</v>
      </c>
      <c r="C152" s="162">
        <f t="shared" si="56"/>
        <v>30.429863203130687</v>
      </c>
      <c r="D152" s="162">
        <f t="shared" si="57"/>
        <v>12.933021513395733</v>
      </c>
      <c r="E152" s="162">
        <f t="shared" si="58"/>
        <v>84.976727077597261</v>
      </c>
      <c r="F152" s="170">
        <f t="shared" si="59"/>
        <v>-3.1066537493670401</v>
      </c>
      <c r="G152" s="170">
        <f t="shared" si="60"/>
        <v>-0.8622659657719276</v>
      </c>
      <c r="H152" s="174">
        <f t="shared" si="61"/>
        <v>-2.2443877835951125</v>
      </c>
      <c r="I152" s="175">
        <f t="shared" si="62"/>
        <v>-1.8727877835951134</v>
      </c>
      <c r="J152" s="174">
        <f t="shared" si="48"/>
        <v>-2.0231151832460732</v>
      </c>
      <c r="K152" s="175">
        <f t="shared" si="63"/>
        <v>-2.4691151832460729</v>
      </c>
      <c r="L152" s="181">
        <f t="shared" si="64"/>
        <v>9.4816695784424795E-3</v>
      </c>
      <c r="M152" s="182">
        <f t="shared" si="65"/>
        <v>5.696553971300887E-3</v>
      </c>
      <c r="N152" s="183">
        <f t="shared" si="66"/>
        <v>0.64210688564620577</v>
      </c>
      <c r="O152" s="183">
        <f t="shared" si="67"/>
        <v>0.3386043356257108</v>
      </c>
      <c r="P152" s="183">
        <f t="shared" si="68"/>
        <v>1.9288778728083412E-2</v>
      </c>
      <c r="Q152" s="184">
        <f t="shared" si="69"/>
        <v>0.39302526856943715</v>
      </c>
      <c r="R152" s="185">
        <f t="shared" si="70"/>
        <v>0.64210688564620577</v>
      </c>
      <c r="S152" s="181">
        <f t="shared" si="49"/>
        <v>3.3953520938247079E-3</v>
      </c>
      <c r="T152" s="182">
        <f t="shared" si="50"/>
        <v>1.3403314754900046E-2</v>
      </c>
      <c r="U152" s="183">
        <f t="shared" si="51"/>
        <v>0.37453482050421344</v>
      </c>
      <c r="V152" s="183">
        <f t="shared" si="52"/>
        <v>0.55154047379268578</v>
      </c>
      <c r="W152" s="183">
        <f t="shared" si="53"/>
        <v>7.3924705703100696E-2</v>
      </c>
      <c r="X152" s="184">
        <f t="shared" si="54"/>
        <v>0.3016172630345032</v>
      </c>
      <c r="Y152" s="185">
        <f t="shared" si="55"/>
        <v>0.37453482050421344</v>
      </c>
    </row>
    <row r="153" spans="1:25">
      <c r="A153" s="159">
        <v>325</v>
      </c>
      <c r="B153" s="159">
        <f t="shared" si="47"/>
        <v>598</v>
      </c>
      <c r="C153" s="162">
        <f t="shared" si="56"/>
        <v>16.2293079111443</v>
      </c>
      <c r="D153" s="162">
        <f t="shared" si="57"/>
        <v>7.3527533890054126</v>
      </c>
      <c r="E153" s="162">
        <f t="shared" si="58"/>
        <v>38.33098680392019</v>
      </c>
      <c r="F153" s="170">
        <f t="shared" si="59"/>
        <v>-2.9794994002648876</v>
      </c>
      <c r="G153" s="170">
        <f t="shared" si="60"/>
        <v>-0.61300686960714001</v>
      </c>
      <c r="H153" s="174">
        <f t="shared" si="61"/>
        <v>-2.3664925306577476</v>
      </c>
      <c r="I153" s="175">
        <f t="shared" si="62"/>
        <v>-2.0226425306577487</v>
      </c>
      <c r="J153" s="174">
        <f t="shared" si="48"/>
        <v>-2.401120401337792</v>
      </c>
      <c r="K153" s="175">
        <f t="shared" si="63"/>
        <v>-2.7743704013377921</v>
      </c>
      <c r="L153" s="181">
        <f t="shared" si="64"/>
        <v>3.9708144960053484E-3</v>
      </c>
      <c r="M153" s="182">
        <f t="shared" si="65"/>
        <v>4.3003862971366042E-3</v>
      </c>
      <c r="N153" s="183">
        <f t="shared" si="66"/>
        <v>0.4322758910911158</v>
      </c>
      <c r="O153" s="183">
        <f t="shared" si="67"/>
        <v>0.54431640098774026</v>
      </c>
      <c r="P153" s="183">
        <f t="shared" si="68"/>
        <v>2.3407707921143914E-2</v>
      </c>
      <c r="Q153" s="184">
        <f t="shared" si="69"/>
        <v>0.27662497985255519</v>
      </c>
      <c r="R153" s="185">
        <f t="shared" si="70"/>
        <v>0.4322758910911158</v>
      </c>
      <c r="S153" s="181">
        <f t="shared" si="49"/>
        <v>1.6812395528287135E-3</v>
      </c>
      <c r="T153" s="182">
        <f t="shared" si="50"/>
        <v>9.4919943129680093E-3</v>
      </c>
      <c r="U153" s="183">
        <f t="shared" si="51"/>
        <v>0.23494652265806276</v>
      </c>
      <c r="V153" s="183">
        <f t="shared" si="52"/>
        <v>0.69873005980248715</v>
      </c>
      <c r="W153" s="183">
        <f t="shared" si="53"/>
        <v>6.632341753945005E-2</v>
      </c>
      <c r="X153" s="184">
        <f t="shared" si="54"/>
        <v>0.21224177241556841</v>
      </c>
      <c r="Y153" s="185">
        <f t="shared" si="55"/>
        <v>0.23494652265806276</v>
      </c>
    </row>
    <row r="154" spans="1:25">
      <c r="A154" s="159">
        <v>350</v>
      </c>
      <c r="B154" s="159">
        <f t="shared" si="47"/>
        <v>623</v>
      </c>
      <c r="C154" s="162">
        <f t="shared" si="56"/>
        <v>8.6556562386265696</v>
      </c>
      <c r="D154" s="162">
        <f t="shared" si="57"/>
        <v>4.1802282895403335</v>
      </c>
      <c r="E154" s="162">
        <f t="shared" si="58"/>
        <v>17.290199327406771</v>
      </c>
      <c r="F154" s="163">
        <f t="shared" si="59"/>
        <v>-2.8632788438769325</v>
      </c>
      <c r="G154" s="163">
        <f t="shared" si="60"/>
        <v>-0.3507734399175968</v>
      </c>
      <c r="H154" s="163">
        <f t="shared" si="61"/>
        <v>-2.5125054039593357</v>
      </c>
      <c r="I154" s="163">
        <f t="shared" si="62"/>
        <v>-2.1964054039593366</v>
      </c>
      <c r="J154" s="163">
        <f t="shared" si="48"/>
        <v>-2.7487881219903691</v>
      </c>
      <c r="K154" s="163">
        <f t="shared" si="63"/>
        <v>-3.0492881219903682</v>
      </c>
      <c r="L154" s="182">
        <f t="shared" si="64"/>
        <v>1.7832485436417246E-3</v>
      </c>
      <c r="M154" s="182">
        <f t="shared" si="65"/>
        <v>3.0725191334398513E-3</v>
      </c>
      <c r="N154" s="183">
        <f t="shared" si="66"/>
        <v>0.25706801291577036</v>
      </c>
      <c r="O154" s="183">
        <f t="shared" si="67"/>
        <v>0.72078570828604116</v>
      </c>
      <c r="P154" s="183">
        <f t="shared" si="68"/>
        <v>2.2146278798188566E-2</v>
      </c>
      <c r="Q154" s="184">
        <f t="shared" si="69"/>
        <v>0.17400337878583413</v>
      </c>
      <c r="R154" s="184">
        <f t="shared" si="70"/>
        <v>0.25706801291577036</v>
      </c>
      <c r="S154" s="182">
        <f t="shared" si="49"/>
        <v>8.927130387287014E-4</v>
      </c>
      <c r="T154" s="182">
        <f t="shared" si="50"/>
        <v>6.3620136422220539E-3</v>
      </c>
      <c r="U154" s="183">
        <f t="shared" si="51"/>
        <v>0.14373527831518862</v>
      </c>
      <c r="V154" s="183">
        <f t="shared" si="52"/>
        <v>0.80504749051206737</v>
      </c>
      <c r="W154" s="183">
        <f t="shared" si="53"/>
        <v>5.1217231172744022E-2</v>
      </c>
      <c r="X154" s="184">
        <f t="shared" si="54"/>
        <v>0.14213328653435744</v>
      </c>
      <c r="Y154" s="184">
        <f t="shared" si="55"/>
        <v>0.14373527831518862</v>
      </c>
    </row>
    <row r="155" spans="1:25">
      <c r="A155" s="159">
        <v>375</v>
      </c>
      <c r="B155" s="159">
        <f t="shared" si="47"/>
        <v>648</v>
      </c>
      <c r="C155" s="162">
        <f t="shared" si="56"/>
        <v>4.6163635154046743</v>
      </c>
      <c r="D155" s="162">
        <f>10^(4.0547-0.00981*A155)</f>
        <v>2.3765666585258631</v>
      </c>
      <c r="E155" s="162">
        <f t="shared" si="58"/>
        <v>7.799198969510587</v>
      </c>
      <c r="F155" s="163">
        <f>($E$145/3)+4.07-1997/B155-LOG(B155)</f>
        <v>-2.7566984626607161</v>
      </c>
      <c r="G155" s="163">
        <f>-11.371+0.0168*B155+2086/B155-LOG(B155)</f>
        <v>-7.7039203401457979E-2</v>
      </c>
      <c r="H155" s="163">
        <f>F155-G155</f>
        <v>-2.6796592592592581</v>
      </c>
      <c r="I155" s="163">
        <f t="shared" si="62"/>
        <v>-2.3913092592592591</v>
      </c>
      <c r="J155" s="163">
        <f t="shared" si="48"/>
        <v>-3.0696296296296293</v>
      </c>
      <c r="K155" s="163">
        <f t="shared" si="63"/>
        <v>-3.2973796296296287</v>
      </c>
      <c r="L155" s="182">
        <f>10^J155</f>
        <v>8.5186420622898834E-4</v>
      </c>
      <c r="M155" s="182">
        <f>10^H155</f>
        <v>2.0909360035443825E-3</v>
      </c>
      <c r="N155" s="183">
        <f>(L155*$N$146)/(L155*$N$146+$O$146+M155*$P$146)</f>
        <v>0.14301635755370068</v>
      </c>
      <c r="O155" s="183">
        <f>$O$146/(L155*$N$146+$O$146+M155*$P$146)</f>
        <v>0.83943166356761256</v>
      </c>
      <c r="P155" s="183">
        <f>(M155*$P$146)/(L155*$N$146+$O$146+M155*$P$146)</f>
        <v>1.7551978878686765E-2</v>
      </c>
      <c r="Q155" s="184">
        <f>0.5774*N155+1.1547*P155</f>
        <v>0.10284491486272639</v>
      </c>
      <c r="R155" s="184">
        <f>N155</f>
        <v>0.14301635755370068</v>
      </c>
      <c r="S155" s="182">
        <f t="shared" si="49"/>
        <v>5.0422035097297138E-4</v>
      </c>
      <c r="T155" s="182">
        <f t="shared" si="50"/>
        <v>4.0615400561899726E-3</v>
      </c>
      <c r="U155" s="183">
        <f t="shared" si="51"/>
        <v>8.8346606058435528E-2</v>
      </c>
      <c r="V155" s="183">
        <f t="shared" si="52"/>
        <v>0.8760714029883665</v>
      </c>
      <c r="W155" s="183">
        <f t="shared" si="53"/>
        <v>3.558199095319798E-2</v>
      </c>
      <c r="X155" s="184">
        <f t="shared" si="54"/>
        <v>9.2097855291798383E-2</v>
      </c>
      <c r="Y155" s="184">
        <f t="shared" si="55"/>
        <v>8.8346606058435528E-2</v>
      </c>
    </row>
    <row r="156" spans="1:25">
      <c r="A156" s="159">
        <v>400</v>
      </c>
      <c r="B156" s="159">
        <f t="shared" si="47"/>
        <v>673</v>
      </c>
      <c r="C156" s="162">
        <f t="shared" si="56"/>
        <v>2.4620677530212198</v>
      </c>
      <c r="D156" s="162">
        <f>10^(4.0547-0.00981*A156)</f>
        <v>1.3511389070662114</v>
      </c>
      <c r="E156" s="162">
        <f t="shared" si="58"/>
        <v>3.5180337377370221</v>
      </c>
      <c r="F156" s="163">
        <f>($E$145/3)+4.07-1997/B156-LOG(B156)</f>
        <v>-2.6586589473344273</v>
      </c>
      <c r="G156" s="163">
        <f>-11.371+0.0168*B156+2086/B156-LOG(B156)</f>
        <v>0.20693917054571065</v>
      </c>
      <c r="H156" s="163">
        <f>F156-G156</f>
        <v>-2.865598117880138</v>
      </c>
      <c r="I156" s="163">
        <f t="shared" si="62"/>
        <v>-2.6049981178801387</v>
      </c>
      <c r="J156" s="163">
        <f t="shared" si="48"/>
        <v>-3.3666344725111434</v>
      </c>
      <c r="K156" s="163">
        <f t="shared" si="63"/>
        <v>-3.5216344725111428</v>
      </c>
      <c r="L156" s="182">
        <f>10^J156</f>
        <v>4.2989810177988374E-4</v>
      </c>
      <c r="M156" s="182">
        <f>10^H156</f>
        <v>1.3627051025932335E-3</v>
      </c>
      <c r="N156" s="183">
        <f>(L156*$N$146)/(L156*$N$146+$O$146+M156*$P$146)</f>
        <v>7.8191250193056339E-2</v>
      </c>
      <c r="O156" s="183">
        <f>$O$146/(L156*$N$146+$O$146+M156*$P$146)</f>
        <v>0.90941609034007542</v>
      </c>
      <c r="P156" s="183">
        <f>(M156*$P$146)/(L156*$N$146+$O$146+M156*$P$146)</f>
        <v>1.2392659466868097E-2</v>
      </c>
      <c r="Q156" s="184">
        <f>0.5774*N156+1.1547*P156</f>
        <v>5.9457431747863325E-2</v>
      </c>
      <c r="R156" s="184">
        <f>N156</f>
        <v>7.8191250193056339E-2</v>
      </c>
      <c r="S156" s="182">
        <f t="shared" si="49"/>
        <v>3.0086074562722285E-4</v>
      </c>
      <c r="T156" s="182">
        <f t="shared" si="50"/>
        <v>2.4831438665749725E-3</v>
      </c>
      <c r="U156" s="183">
        <f t="shared" si="51"/>
        <v>5.5458018574796202E-2</v>
      </c>
      <c r="V156" s="183">
        <f t="shared" si="52"/>
        <v>0.92165593851699501</v>
      </c>
      <c r="W156" s="183">
        <f t="shared" si="53"/>
        <v>2.288604290820876E-2</v>
      </c>
      <c r="X156" s="184">
        <f t="shared" si="54"/>
        <v>5.8447973671195988E-2</v>
      </c>
      <c r="Y156" s="184">
        <f t="shared" si="55"/>
        <v>5.5458018574796202E-2</v>
      </c>
    </row>
    <row r="157" spans="1:25">
      <c r="A157" s="159" t="s">
        <v>156</v>
      </c>
    </row>
    <row r="158" spans="1:25">
      <c r="A158" s="159">
        <f>input!J6</f>
        <v>200</v>
      </c>
      <c r="B158" s="159">
        <f t="shared" si="47"/>
        <v>473</v>
      </c>
      <c r="C158" s="162">
        <f t="shared" si="56"/>
        <v>376.09711325976934</v>
      </c>
      <c r="D158" s="162">
        <f>10^(4.0547-0.00981*A158)</f>
        <v>123.79411516551075</v>
      </c>
      <c r="E158" s="162">
        <f t="shared" si="58"/>
        <v>2052.5795609525312</v>
      </c>
      <c r="F158" s="163">
        <f>($E$145/3)+4.07-1997/B158-LOG(B158)</f>
        <v>-3.7601817890817153</v>
      </c>
      <c r="G158" s="163">
        <f>-11.371+0.0168*B158+2086/B158-LOG(B158)</f>
        <v>-1.6893131491944722</v>
      </c>
      <c r="H158" s="163">
        <f>F158-G158</f>
        <v>-2.0708686398872431</v>
      </c>
      <c r="I158" s="163">
        <f t="shared" si="62"/>
        <v>-1.5882686398872439</v>
      </c>
      <c r="J158" s="163">
        <f>(4*$E$145+0.135+5181/$B158)</f>
        <v>-0.11151162790697633</v>
      </c>
      <c r="K158" s="163">
        <f t="shared" si="63"/>
        <v>-0.84851162790697621</v>
      </c>
      <c r="L158" s="182">
        <f>10^J158</f>
        <v>0.77354996728112291</v>
      </c>
      <c r="M158" s="182">
        <f>10^H158</f>
        <v>8.494373636665168E-3</v>
      </c>
      <c r="N158" s="183">
        <f>(L158*$N$146)/(L158*$N$146+$O$146+M158*$P$146)</f>
        <v>0.99303607834813357</v>
      </c>
      <c r="O158" s="183">
        <f>$O$146/(L158*$N$146+$O$146+M158*$P$146)</f>
        <v>6.4186938164994137E-3</v>
      </c>
      <c r="P158" s="183">
        <f>(M158*$P$146)/(L158*$N$146+$O$146+M158*$P$146)</f>
        <v>5.452278353669835E-4</v>
      </c>
      <c r="Q158" s="184">
        <f>0.5774*N158+1.1547*P158</f>
        <v>0.57400860621971062</v>
      </c>
      <c r="R158" s="184">
        <f>N158</f>
        <v>0.99303607834813357</v>
      </c>
      <c r="S158" s="182">
        <f>10^K158</f>
        <v>0.14173867614739805</v>
      </c>
      <c r="T158" s="182">
        <f>10^I158</f>
        <v>2.5806633856774071E-2</v>
      </c>
      <c r="U158" s="183">
        <f>(S158*$N$146)/(S158*$N$146+$O$146+T158*$P$146)</f>
        <v>0.95750608759313127</v>
      </c>
      <c r="V158" s="183">
        <f>$O$146/(S158*$N$146+$O$146+T158*$P$146)</f>
        <v>3.3777163496200351E-2</v>
      </c>
      <c r="W158" s="183">
        <f>(T158*$P$146)/(S158*$N$146+$O$146+T158*$P$146)</f>
        <v>8.7167489106683704E-3</v>
      </c>
      <c r="X158" s="184">
        <f>0.5774*U158+1.1547*W158</f>
        <v>0.56292924494342278</v>
      </c>
      <c r="Y158" s="184">
        <f>U158</f>
        <v>0.95750608759313127</v>
      </c>
    </row>
    <row r="161" spans="1:18">
      <c r="A161" s="158" t="s">
        <v>34</v>
      </c>
      <c r="H161" s="158" t="s">
        <v>35</v>
      </c>
    </row>
    <row r="162" spans="1:18">
      <c r="I162" s="160"/>
      <c r="L162" s="182"/>
      <c r="M162" s="186"/>
      <c r="N162" s="187"/>
      <c r="O162" s="183"/>
      <c r="P162" s="183"/>
      <c r="Q162" s="184"/>
      <c r="R162" s="184"/>
    </row>
    <row r="163" spans="1:18">
      <c r="A163" s="159" t="s">
        <v>45</v>
      </c>
      <c r="C163" s="159" t="s">
        <v>58</v>
      </c>
      <c r="H163" s="159" t="s">
        <v>45</v>
      </c>
      <c r="I163" s="160"/>
      <c r="J163" s="159" t="s">
        <v>56</v>
      </c>
      <c r="N163" s="160"/>
      <c r="O163" s="160"/>
    </row>
    <row r="164" spans="1:18">
      <c r="A164" s="159" t="s">
        <v>18</v>
      </c>
      <c r="C164" s="159" t="s">
        <v>59</v>
      </c>
      <c r="H164" s="159" t="s">
        <v>18</v>
      </c>
      <c r="J164" s="159" t="s">
        <v>57</v>
      </c>
      <c r="N164" s="160"/>
      <c r="O164" s="160"/>
    </row>
    <row r="165" spans="1:18">
      <c r="E165" s="159">
        <f>input!R3</f>
        <v>-2.8</v>
      </c>
      <c r="F165" s="159">
        <f>input!R3</f>
        <v>-2.8</v>
      </c>
      <c r="H165" s="160"/>
      <c r="K165" s="159">
        <f>E165</f>
        <v>-2.8</v>
      </c>
      <c r="L165" s="159">
        <f>F165</f>
        <v>-2.8</v>
      </c>
      <c r="N165" s="160" t="s">
        <v>137</v>
      </c>
    </row>
    <row r="166" spans="1:18">
      <c r="A166" s="164" t="s">
        <v>0</v>
      </c>
      <c r="B166" s="164" t="s">
        <v>3</v>
      </c>
      <c r="D166" s="159" t="s">
        <v>60</v>
      </c>
      <c r="E166" s="168" t="s">
        <v>52</v>
      </c>
      <c r="F166" s="168" t="s">
        <v>53</v>
      </c>
      <c r="G166" s="168"/>
      <c r="H166" s="160"/>
      <c r="J166" s="159" t="s">
        <v>61</v>
      </c>
      <c r="K166" s="168" t="s">
        <v>52</v>
      </c>
      <c r="L166" s="168" t="s">
        <v>53</v>
      </c>
      <c r="M166" s="168"/>
      <c r="N166" s="159" t="s">
        <v>92</v>
      </c>
      <c r="O166" s="159" t="s">
        <v>93</v>
      </c>
      <c r="P166" s="168"/>
    </row>
    <row r="167" spans="1:18">
      <c r="A167" s="159">
        <v>100</v>
      </c>
      <c r="B167" s="159">
        <f t="shared" ref="B167:B177" si="71">A167+273</f>
        <v>373</v>
      </c>
      <c r="D167" s="163"/>
      <c r="E167" s="163">
        <f t="shared" ref="E167:E177" si="72">-7.36+0.0168*$B167+2048/$B167</f>
        <v>4.397016621983914</v>
      </c>
      <c r="F167" s="163">
        <f t="shared" ref="F167:F177" si="73">-15.1+0.0277*$B167+2048/$B167</f>
        <v>0.7227166219839134</v>
      </c>
      <c r="G167" s="163"/>
      <c r="H167" s="160"/>
      <c r="J167" s="163"/>
      <c r="K167" s="163">
        <f t="shared" ref="K167:K177" si="74">E$165+6.52</f>
        <v>3.7199999999999998</v>
      </c>
      <c r="L167" s="163">
        <f t="shared" ref="L167:L177" si="75">F$165-3.53+0.014*$B167</f>
        <v>-1.1079999999999997</v>
      </c>
      <c r="M167" s="163"/>
      <c r="N167" s="159">
        <v>1.07</v>
      </c>
      <c r="O167" s="160">
        <v>1.4</v>
      </c>
      <c r="P167" s="163"/>
    </row>
    <row r="168" spans="1:18">
      <c r="A168" s="159">
        <v>125</v>
      </c>
      <c r="B168" s="159">
        <f t="shared" si="71"/>
        <v>398</v>
      </c>
      <c r="D168" s="163"/>
      <c r="E168" s="163">
        <f t="shared" si="72"/>
        <v>4.4721286432160801</v>
      </c>
      <c r="F168" s="163">
        <f t="shared" si="73"/>
        <v>1.0703286432160803</v>
      </c>
      <c r="G168" s="163"/>
      <c r="H168" s="160"/>
      <c r="J168" s="163"/>
      <c r="K168" s="163">
        <f t="shared" si="74"/>
        <v>3.7199999999999998</v>
      </c>
      <c r="L168" s="163">
        <f t="shared" si="75"/>
        <v>-0.75800000000000001</v>
      </c>
      <c r="M168" s="163"/>
      <c r="N168" s="188">
        <v>1</v>
      </c>
      <c r="O168" s="160">
        <v>1.2</v>
      </c>
      <c r="P168" s="163"/>
    </row>
    <row r="169" spans="1:18">
      <c r="A169" s="159">
        <v>150</v>
      </c>
      <c r="B169" s="159">
        <f t="shared" si="71"/>
        <v>423</v>
      </c>
      <c r="D169" s="163"/>
      <c r="E169" s="163">
        <f t="shared" si="72"/>
        <v>4.5880075650118197</v>
      </c>
      <c r="F169" s="163">
        <f t="shared" si="73"/>
        <v>1.4587075650118209</v>
      </c>
      <c r="G169" s="163"/>
      <c r="H169" s="160"/>
      <c r="J169" s="163"/>
      <c r="K169" s="163">
        <f t="shared" si="74"/>
        <v>3.7199999999999998</v>
      </c>
      <c r="L169" s="163">
        <f t="shared" si="75"/>
        <v>-0.40800000000000036</v>
      </c>
      <c r="M169" s="163"/>
      <c r="N169" s="163">
        <v>1.1299999999999999</v>
      </c>
      <c r="O169" s="163">
        <v>1.2</v>
      </c>
      <c r="P169" s="163"/>
    </row>
    <row r="170" spans="1:18">
      <c r="A170" s="159">
        <v>175</v>
      </c>
      <c r="B170" s="159">
        <f t="shared" si="71"/>
        <v>448</v>
      </c>
      <c r="D170" s="163"/>
      <c r="E170" s="163">
        <f t="shared" si="72"/>
        <v>4.7378285714285706</v>
      </c>
      <c r="F170" s="163">
        <f t="shared" si="73"/>
        <v>1.8810285714285708</v>
      </c>
      <c r="G170" s="163"/>
      <c r="H170" s="160"/>
      <c r="J170" s="163"/>
      <c r="K170" s="163">
        <f t="shared" si="74"/>
        <v>3.7199999999999998</v>
      </c>
      <c r="L170" s="163">
        <f t="shared" si="75"/>
        <v>-5.7999999999999829E-2</v>
      </c>
      <c r="M170" s="163"/>
      <c r="N170" s="163">
        <v>1</v>
      </c>
      <c r="O170" s="163">
        <v>1.2</v>
      </c>
      <c r="P170" s="163"/>
    </row>
    <row r="171" spans="1:18">
      <c r="A171" s="159">
        <v>200</v>
      </c>
      <c r="B171" s="159">
        <f t="shared" si="71"/>
        <v>473</v>
      </c>
      <c r="D171" s="163"/>
      <c r="E171" s="163">
        <f t="shared" si="72"/>
        <v>4.9162097251585619</v>
      </c>
      <c r="F171" s="163">
        <f t="shared" si="73"/>
        <v>2.331909725158563</v>
      </c>
      <c r="G171" s="163"/>
      <c r="H171" s="160"/>
      <c r="J171" s="163"/>
      <c r="K171" s="163">
        <f t="shared" si="74"/>
        <v>3.7199999999999998</v>
      </c>
      <c r="L171" s="163">
        <f t="shared" si="75"/>
        <v>0.29199999999999982</v>
      </c>
      <c r="M171" s="163"/>
      <c r="N171" s="163">
        <v>2</v>
      </c>
      <c r="O171" s="163">
        <v>2.2000000000000002</v>
      </c>
      <c r="P171" s="163"/>
    </row>
    <row r="172" spans="1:18">
      <c r="A172" s="159">
        <v>225</v>
      </c>
      <c r="B172" s="159">
        <f t="shared" si="71"/>
        <v>498</v>
      </c>
      <c r="D172" s="163"/>
      <c r="E172" s="163">
        <f t="shared" si="72"/>
        <v>5.1188497991967852</v>
      </c>
      <c r="F172" s="163">
        <f t="shared" si="73"/>
        <v>2.8070497991967862</v>
      </c>
      <c r="G172" s="163"/>
      <c r="H172" s="160"/>
      <c r="J172" s="163"/>
      <c r="K172" s="163">
        <f t="shared" si="74"/>
        <v>3.7199999999999998</v>
      </c>
      <c r="L172" s="163">
        <f t="shared" si="75"/>
        <v>0.64200000000000035</v>
      </c>
      <c r="M172" s="163"/>
      <c r="N172" s="163">
        <v>1.87</v>
      </c>
      <c r="O172" s="163">
        <v>2.2000000000000002</v>
      </c>
      <c r="P172" s="163"/>
    </row>
    <row r="173" spans="1:18">
      <c r="A173" s="159">
        <v>250</v>
      </c>
      <c r="B173" s="159">
        <f t="shared" si="71"/>
        <v>523</v>
      </c>
      <c r="D173" s="163"/>
      <c r="E173" s="163">
        <f t="shared" si="72"/>
        <v>5.3422699808795393</v>
      </c>
      <c r="F173" s="163">
        <f t="shared" si="73"/>
        <v>3.3029699808795412</v>
      </c>
      <c r="G173" s="163"/>
      <c r="H173" s="160"/>
      <c r="J173" s="163"/>
      <c r="K173" s="163">
        <f t="shared" si="74"/>
        <v>3.7199999999999998</v>
      </c>
      <c r="L173" s="163">
        <f t="shared" si="75"/>
        <v>0.99199999999999999</v>
      </c>
      <c r="M173" s="163"/>
      <c r="N173" s="163">
        <v>2</v>
      </c>
      <c r="O173" s="163">
        <v>2.2000000000000002</v>
      </c>
      <c r="P173" s="163"/>
    </row>
    <row r="174" spans="1:18">
      <c r="A174" s="159">
        <v>275</v>
      </c>
      <c r="B174" s="159">
        <f t="shared" si="71"/>
        <v>548</v>
      </c>
      <c r="D174" s="163"/>
      <c r="E174" s="163">
        <f t="shared" si="72"/>
        <v>5.5836262773722609</v>
      </c>
      <c r="F174" s="163">
        <f t="shared" si="73"/>
        <v>3.8168262773722619</v>
      </c>
      <c r="G174" s="163"/>
      <c r="H174" s="160"/>
      <c r="J174" s="163"/>
      <c r="K174" s="163">
        <f t="shared" si="74"/>
        <v>3.7199999999999998</v>
      </c>
      <c r="L174" s="163">
        <f t="shared" si="75"/>
        <v>1.3420000000000005</v>
      </c>
      <c r="M174" s="163"/>
      <c r="N174" s="163">
        <v>1.97</v>
      </c>
      <c r="O174" s="163">
        <v>2</v>
      </c>
      <c r="P174" s="163"/>
    </row>
    <row r="175" spans="1:18">
      <c r="A175" s="159">
        <v>300</v>
      </c>
      <c r="B175" s="159">
        <f t="shared" si="71"/>
        <v>573</v>
      </c>
      <c r="D175" s="163"/>
      <c r="E175" s="163">
        <f t="shared" si="72"/>
        <v>5.8405710296684124</v>
      </c>
      <c r="F175" s="163">
        <f t="shared" si="73"/>
        <v>4.3462710296684115</v>
      </c>
      <c r="G175" s="163"/>
      <c r="H175" s="160"/>
      <c r="J175" s="163"/>
      <c r="K175" s="163">
        <f t="shared" si="74"/>
        <v>3.7199999999999998</v>
      </c>
      <c r="L175" s="163">
        <f t="shared" si="75"/>
        <v>1.6920000000000002</v>
      </c>
      <c r="M175" s="163"/>
      <c r="N175" s="163"/>
      <c r="O175" s="163"/>
      <c r="P175" s="163"/>
    </row>
    <row r="176" spans="1:18">
      <c r="A176" s="159">
        <v>325</v>
      </c>
      <c r="B176" s="159">
        <f t="shared" si="71"/>
        <v>598</v>
      </c>
      <c r="D176" s="163"/>
      <c r="E176" s="163">
        <f t="shared" si="72"/>
        <v>6.1111491638795989</v>
      </c>
      <c r="F176" s="163">
        <f t="shared" si="73"/>
        <v>4.8893491638795972</v>
      </c>
      <c r="G176" s="163"/>
      <c r="H176" s="160"/>
      <c r="J176" s="163"/>
      <c r="K176" s="163">
        <f t="shared" si="74"/>
        <v>3.7199999999999998</v>
      </c>
      <c r="L176" s="163">
        <f t="shared" si="75"/>
        <v>2.0419999999999998</v>
      </c>
      <c r="M176" s="163"/>
      <c r="N176" s="163"/>
      <c r="O176" s="163"/>
      <c r="P176" s="163"/>
    </row>
    <row r="177" spans="1:16">
      <c r="A177" s="159">
        <v>350</v>
      </c>
      <c r="B177" s="159">
        <f t="shared" si="71"/>
        <v>623</v>
      </c>
      <c r="D177" s="163"/>
      <c r="E177" s="163">
        <f t="shared" si="72"/>
        <v>6.3937194221508822</v>
      </c>
      <c r="F177" s="163">
        <f t="shared" si="73"/>
        <v>5.4444194221508813</v>
      </c>
      <c r="G177" s="163"/>
      <c r="H177" s="160"/>
      <c r="J177" s="163"/>
      <c r="K177" s="163">
        <f t="shared" si="74"/>
        <v>3.7199999999999998</v>
      </c>
      <c r="L177" s="163">
        <f t="shared" si="75"/>
        <v>2.3919999999999995</v>
      </c>
      <c r="M177" s="163"/>
      <c r="N177" s="163"/>
      <c r="O177" s="163"/>
      <c r="P177" s="163"/>
    </row>
    <row r="178" spans="1:16">
      <c r="J178" s="163"/>
      <c r="K178" s="163"/>
      <c r="L178" s="163"/>
    </row>
    <row r="179" spans="1:16">
      <c r="J179" s="163"/>
      <c r="K179" s="163"/>
      <c r="L179" s="163"/>
    </row>
    <row r="180" spans="1:16">
      <c r="J180" s="163"/>
      <c r="K180" s="163"/>
      <c r="L180" s="163"/>
    </row>
    <row r="181" spans="1:16">
      <c r="A181" s="160"/>
    </row>
    <row r="182" spans="1:16">
      <c r="A182" s="160"/>
      <c r="C182" s="160"/>
      <c r="D182" s="160"/>
      <c r="E182" s="160"/>
      <c r="F182" s="160"/>
      <c r="G182" s="160"/>
      <c r="H182" s="160"/>
    </row>
    <row r="183" spans="1:16">
      <c r="A183" s="160"/>
      <c r="C183" s="160"/>
      <c r="D183" s="160"/>
      <c r="E183" s="160"/>
      <c r="F183" s="160"/>
    </row>
    <row r="184" spans="1:16">
      <c r="C184" s="160"/>
      <c r="D184" s="160"/>
      <c r="E184" s="160"/>
      <c r="F184" s="160"/>
      <c r="I184" s="160"/>
      <c r="J184" s="160"/>
      <c r="K184" s="160"/>
    </row>
    <row r="185" spans="1:16">
      <c r="C185" s="160"/>
      <c r="D185" s="160"/>
      <c r="E185" s="160"/>
      <c r="F185" s="160"/>
      <c r="I185" s="160"/>
      <c r="J185" s="160"/>
      <c r="K185" s="160"/>
    </row>
    <row r="186" spans="1:16">
      <c r="A186" s="164"/>
      <c r="B186" s="164"/>
      <c r="C186" s="160"/>
      <c r="D186" s="160"/>
      <c r="E186" s="160"/>
      <c r="F186" s="160"/>
      <c r="G186" s="168"/>
      <c r="H186" s="168"/>
      <c r="I186" s="160"/>
      <c r="J186" s="160"/>
      <c r="K186" s="160"/>
      <c r="L186" s="168"/>
      <c r="M186" s="168"/>
      <c r="N186" s="168"/>
      <c r="O186" s="168"/>
      <c r="P186" s="168"/>
    </row>
    <row r="187" spans="1:16">
      <c r="C187" s="160"/>
      <c r="D187" s="160"/>
      <c r="E187" s="160"/>
      <c r="F187" s="160"/>
      <c r="G187" s="163"/>
      <c r="H187" s="163"/>
      <c r="I187" s="160"/>
      <c r="J187" s="160"/>
      <c r="K187" s="160"/>
      <c r="L187" s="163"/>
      <c r="M187" s="163"/>
      <c r="N187" s="163"/>
      <c r="O187" s="163"/>
      <c r="P187" s="163"/>
    </row>
    <row r="188" spans="1:16">
      <c r="C188" s="160"/>
      <c r="D188" s="160"/>
      <c r="E188" s="160"/>
      <c r="F188" s="160"/>
      <c r="G188" s="163"/>
      <c r="H188" s="163"/>
      <c r="I188" s="160"/>
      <c r="J188" s="160"/>
      <c r="K188" s="160"/>
      <c r="L188" s="163"/>
      <c r="M188" s="163"/>
      <c r="N188" s="163"/>
      <c r="O188" s="163"/>
      <c r="P188" s="163"/>
    </row>
    <row r="189" spans="1:16">
      <c r="C189" s="160"/>
      <c r="D189" s="160"/>
      <c r="E189" s="160"/>
      <c r="F189" s="160"/>
      <c r="G189" s="163"/>
      <c r="H189" s="163"/>
      <c r="I189" s="160"/>
      <c r="J189" s="160"/>
      <c r="K189" s="160"/>
      <c r="L189" s="163"/>
      <c r="M189" s="163"/>
      <c r="N189" s="163"/>
      <c r="O189" s="163"/>
      <c r="P189" s="163"/>
    </row>
    <row r="190" spans="1:16">
      <c r="C190" s="160"/>
      <c r="D190" s="160"/>
      <c r="E190" s="160"/>
      <c r="F190" s="160"/>
      <c r="G190" s="163"/>
      <c r="H190" s="163"/>
      <c r="I190" s="160"/>
      <c r="J190" s="160"/>
      <c r="K190" s="160"/>
      <c r="L190" s="163"/>
      <c r="M190" s="163"/>
      <c r="N190" s="163"/>
      <c r="O190" s="163"/>
      <c r="P190" s="163"/>
    </row>
    <row r="191" spans="1:16">
      <c r="C191" s="160"/>
      <c r="D191" s="160"/>
      <c r="E191" s="160"/>
      <c r="F191" s="160"/>
      <c r="G191" s="163"/>
      <c r="H191" s="163"/>
      <c r="I191" s="160"/>
      <c r="J191" s="160"/>
      <c r="K191" s="160"/>
      <c r="L191" s="163"/>
      <c r="M191" s="163"/>
      <c r="N191" s="163"/>
      <c r="O191" s="163"/>
      <c r="P191" s="163"/>
    </row>
    <row r="192" spans="1:16">
      <c r="C192" s="160"/>
      <c r="D192" s="160"/>
      <c r="E192" s="160"/>
      <c r="F192" s="160"/>
      <c r="G192" s="163"/>
      <c r="H192" s="163"/>
      <c r="I192" s="160"/>
      <c r="J192" s="160"/>
      <c r="K192" s="160"/>
      <c r="L192" s="163"/>
      <c r="M192" s="163"/>
      <c r="N192" s="163"/>
      <c r="O192" s="163"/>
      <c r="P192" s="163"/>
    </row>
    <row r="193" spans="3:16">
      <c r="C193" s="160"/>
      <c r="D193" s="160"/>
      <c r="E193" s="160"/>
      <c r="F193" s="160"/>
      <c r="G193" s="163"/>
      <c r="H193" s="163"/>
      <c r="I193" s="160"/>
      <c r="J193" s="160"/>
      <c r="K193" s="160"/>
      <c r="L193" s="163"/>
      <c r="M193" s="163"/>
      <c r="N193" s="163"/>
      <c r="O193" s="163"/>
      <c r="P193" s="163"/>
    </row>
    <row r="194" spans="3:16">
      <c r="C194" s="160"/>
      <c r="D194" s="160"/>
      <c r="E194" s="160"/>
      <c r="F194" s="160"/>
      <c r="G194" s="163"/>
      <c r="H194" s="163"/>
      <c r="I194" s="160"/>
      <c r="J194" s="160"/>
      <c r="K194" s="160"/>
      <c r="L194" s="163"/>
      <c r="M194" s="163"/>
      <c r="N194" s="163"/>
      <c r="O194" s="163"/>
      <c r="P194" s="163"/>
    </row>
    <row r="195" spans="3:16">
      <c r="C195" s="160"/>
      <c r="D195" s="160"/>
      <c r="E195" s="160"/>
      <c r="F195" s="160"/>
      <c r="G195" s="163"/>
      <c r="H195" s="163"/>
      <c r="I195" s="160"/>
      <c r="J195" s="160"/>
      <c r="K195" s="160"/>
      <c r="L195" s="163"/>
      <c r="M195" s="163"/>
      <c r="N195" s="163"/>
      <c r="O195" s="163"/>
      <c r="P195" s="163"/>
    </row>
    <row r="196" spans="3:16">
      <c r="C196" s="160"/>
      <c r="D196" s="160"/>
      <c r="E196" s="160"/>
      <c r="F196" s="160"/>
      <c r="G196" s="163"/>
      <c r="H196" s="163"/>
      <c r="I196" s="160"/>
      <c r="J196" s="160"/>
      <c r="K196" s="160"/>
      <c r="L196" s="163"/>
      <c r="M196" s="163"/>
      <c r="N196" s="163"/>
      <c r="O196" s="163"/>
      <c r="P196" s="163"/>
    </row>
    <row r="197" spans="3:16">
      <c r="C197" s="160"/>
      <c r="D197" s="160"/>
      <c r="E197" s="160"/>
      <c r="F197" s="160"/>
      <c r="G197" s="163"/>
      <c r="H197" s="163"/>
      <c r="I197" s="160"/>
      <c r="J197" s="160"/>
      <c r="K197" s="160"/>
      <c r="L197" s="163"/>
      <c r="M197" s="163"/>
      <c r="N197" s="163"/>
      <c r="O197" s="163"/>
      <c r="P197" s="163"/>
    </row>
  </sheetData>
  <mergeCells count="4">
    <mergeCell ref="J146:K146"/>
    <mergeCell ref="H146:I146"/>
    <mergeCell ref="L146:M146"/>
    <mergeCell ref="S146:T146"/>
  </mergeCells>
  <phoneticPr fontId="0" type="noConversion"/>
  <printOptions gridLines="1" gridLinesSet="0"/>
  <pageMargins left="0.75" right="0.75" top="1" bottom="1" header="0.5" footer="0.5"/>
  <pageSetup paperSize="275" orientation="landscape" horizontalDpi="300" verticalDpi="300"/>
  <headerFooter alignWithMargins="0">
    <oddHeader>&amp;A</oddHeader>
    <oddFooter>Page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E1" zoomScale="75" workbookViewId="0">
      <selection activeCell="M9" sqref="M9"/>
    </sheetView>
  </sheetViews>
  <sheetFormatPr baseColWidth="10" defaultColWidth="8.83203125" defaultRowHeight="12" x14ac:dyDescent="0"/>
  <cols>
    <col min="1" max="17" width="9.1640625" style="55" customWidth="1"/>
    <col min="18" max="18" width="9.1640625" style="60" customWidth="1"/>
  </cols>
  <sheetData>
    <row r="1" spans="1:17">
      <c r="A1" s="55" t="s">
        <v>95</v>
      </c>
    </row>
    <row r="3" spans="1:17">
      <c r="A3" s="254" t="s">
        <v>96</v>
      </c>
      <c r="B3" s="254"/>
      <c r="D3" s="254" t="s">
        <v>97</v>
      </c>
      <c r="E3" s="254"/>
      <c r="F3" s="254"/>
      <c r="G3" s="254"/>
      <c r="I3" s="254" t="s">
        <v>98</v>
      </c>
      <c r="J3" s="254"/>
      <c r="K3" s="254"/>
      <c r="L3" s="254"/>
      <c r="N3" s="254" t="s">
        <v>99</v>
      </c>
      <c r="O3" s="254"/>
      <c r="P3" s="254"/>
      <c r="Q3" s="254"/>
    </row>
    <row r="4" spans="1:17">
      <c r="A4" s="54" t="s">
        <v>100</v>
      </c>
      <c r="B4" s="54" t="s">
        <v>93</v>
      </c>
      <c r="D4" s="54" t="s">
        <v>101</v>
      </c>
      <c r="E4" s="54" t="s">
        <v>102</v>
      </c>
      <c r="F4" s="54" t="s">
        <v>92</v>
      </c>
      <c r="G4" s="54" t="s">
        <v>93</v>
      </c>
      <c r="I4" s="54" t="s">
        <v>101</v>
      </c>
      <c r="J4" s="54" t="s">
        <v>102</v>
      </c>
      <c r="K4" s="54" t="s">
        <v>92</v>
      </c>
      <c r="L4" s="54" t="s">
        <v>93</v>
      </c>
      <c r="N4" s="54" t="s">
        <v>101</v>
      </c>
      <c r="O4" s="54" t="s">
        <v>102</v>
      </c>
      <c r="P4" s="54" t="s">
        <v>92</v>
      </c>
      <c r="Q4" s="54" t="s">
        <v>93</v>
      </c>
    </row>
    <row r="5" spans="1:17">
      <c r="A5" s="55">
        <v>0</v>
      </c>
      <c r="B5" s="55">
        <v>0</v>
      </c>
      <c r="D5" s="59">
        <v>0.1</v>
      </c>
      <c r="E5" s="59">
        <v>0</v>
      </c>
      <c r="F5" s="55">
        <f t="shared" ref="F5:F22" si="0">0.5774*D5+1.1547*E5</f>
        <v>5.7740000000000007E-2</v>
      </c>
      <c r="G5" s="61">
        <f t="shared" ref="G5:G22" si="1">D5</f>
        <v>0.1</v>
      </c>
      <c r="I5" s="59">
        <v>0</v>
      </c>
      <c r="J5" s="59">
        <v>0.1</v>
      </c>
      <c r="K5" s="55">
        <f t="shared" ref="K5:K22" si="2">0.5774*I5+1.1547*(J5)</f>
        <v>0.11547000000000002</v>
      </c>
      <c r="L5" s="62">
        <f t="shared" ref="L5:L22" si="3">I5</f>
        <v>0</v>
      </c>
      <c r="N5" s="59">
        <v>0</v>
      </c>
      <c r="O5" s="59">
        <v>0.1</v>
      </c>
      <c r="P5" s="55">
        <f>0.5774*N5+1.1547*(O5)</f>
        <v>0.11547000000000002</v>
      </c>
      <c r="Q5" s="62">
        <f t="shared" ref="Q5:Q22" si="4">N5</f>
        <v>0</v>
      </c>
    </row>
    <row r="6" spans="1:17">
      <c r="A6" s="55">
        <v>0.57740000000000002</v>
      </c>
      <c r="B6" s="55">
        <v>1</v>
      </c>
      <c r="D6" s="59">
        <v>0.1</v>
      </c>
      <c r="E6" s="59">
        <v>0.9</v>
      </c>
      <c r="F6" s="55">
        <f t="shared" si="0"/>
        <v>1.09697</v>
      </c>
      <c r="G6" s="61">
        <f t="shared" si="1"/>
        <v>0.1</v>
      </c>
      <c r="I6" s="59">
        <v>0.1</v>
      </c>
      <c r="J6" s="59">
        <v>0</v>
      </c>
      <c r="K6" s="55">
        <f t="shared" si="2"/>
        <v>5.7740000000000007E-2</v>
      </c>
      <c r="L6" s="62">
        <f t="shared" si="3"/>
        <v>0.1</v>
      </c>
      <c r="N6" s="59">
        <v>0.9</v>
      </c>
      <c r="O6" s="59">
        <v>0.1</v>
      </c>
      <c r="P6" s="55">
        <f t="shared" ref="P6:P22" si="5">0.5774*N6+1.1547*(O6)</f>
        <v>0.63512999999999997</v>
      </c>
      <c r="Q6" s="62">
        <f t="shared" si="4"/>
        <v>0.9</v>
      </c>
    </row>
    <row r="7" spans="1:17">
      <c r="A7" s="55">
        <v>1.1547000000000001</v>
      </c>
      <c r="B7" s="55">
        <v>0</v>
      </c>
      <c r="D7" s="59">
        <v>0.2</v>
      </c>
      <c r="E7" s="59">
        <v>0.8</v>
      </c>
      <c r="F7" s="55">
        <f t="shared" si="0"/>
        <v>1.0392400000000002</v>
      </c>
      <c r="G7" s="61">
        <f t="shared" si="1"/>
        <v>0.2</v>
      </c>
      <c r="I7" s="59">
        <v>0.2</v>
      </c>
      <c r="J7" s="59">
        <v>0</v>
      </c>
      <c r="K7" s="55">
        <f t="shared" si="2"/>
        <v>0.11548000000000001</v>
      </c>
      <c r="L7" s="62">
        <f t="shared" si="3"/>
        <v>0.2</v>
      </c>
      <c r="N7" s="59">
        <v>0.8</v>
      </c>
      <c r="O7" s="59">
        <v>0.2</v>
      </c>
      <c r="P7" s="55">
        <f t="shared" si="5"/>
        <v>0.69286000000000003</v>
      </c>
      <c r="Q7" s="62">
        <f t="shared" si="4"/>
        <v>0.8</v>
      </c>
    </row>
    <row r="8" spans="1:17">
      <c r="A8" s="55">
        <v>0</v>
      </c>
      <c r="B8" s="55">
        <v>0</v>
      </c>
      <c r="D8" s="59">
        <v>0.2</v>
      </c>
      <c r="E8" s="59">
        <v>0</v>
      </c>
      <c r="F8" s="55">
        <f t="shared" si="0"/>
        <v>0.11548000000000001</v>
      </c>
      <c r="G8" s="61">
        <f t="shared" si="1"/>
        <v>0.2</v>
      </c>
      <c r="I8" s="59">
        <v>0</v>
      </c>
      <c r="J8" s="59">
        <v>0.2</v>
      </c>
      <c r="K8" s="55">
        <f t="shared" si="2"/>
        <v>0.23094000000000003</v>
      </c>
      <c r="L8" s="62">
        <f t="shared" si="3"/>
        <v>0</v>
      </c>
      <c r="N8" s="59">
        <v>0</v>
      </c>
      <c r="O8" s="59">
        <v>0.2</v>
      </c>
      <c r="P8" s="55">
        <f t="shared" si="5"/>
        <v>0.23094000000000003</v>
      </c>
      <c r="Q8" s="62">
        <f t="shared" si="4"/>
        <v>0</v>
      </c>
    </row>
    <row r="9" spans="1:17">
      <c r="D9" s="59">
        <v>0.3</v>
      </c>
      <c r="E9" s="59">
        <v>0</v>
      </c>
      <c r="F9" s="55">
        <f t="shared" si="0"/>
        <v>0.17322000000000001</v>
      </c>
      <c r="G9" s="61">
        <f t="shared" si="1"/>
        <v>0.3</v>
      </c>
      <c r="I9" s="59">
        <v>0</v>
      </c>
      <c r="J9" s="59">
        <v>0.3</v>
      </c>
      <c r="K9" s="55">
        <f t="shared" si="2"/>
        <v>0.34641</v>
      </c>
      <c r="L9" s="62">
        <f t="shared" si="3"/>
        <v>0</v>
      </c>
      <c r="N9" s="59">
        <v>0</v>
      </c>
      <c r="O9" s="59">
        <v>0.3</v>
      </c>
      <c r="P9" s="55">
        <f t="shared" si="5"/>
        <v>0.34641</v>
      </c>
      <c r="Q9" s="62">
        <f t="shared" si="4"/>
        <v>0</v>
      </c>
    </row>
    <row r="10" spans="1:17">
      <c r="D10" s="59">
        <v>0.3</v>
      </c>
      <c r="E10" s="59">
        <v>0.7</v>
      </c>
      <c r="F10" s="55">
        <f t="shared" si="0"/>
        <v>0.98150999999999999</v>
      </c>
      <c r="G10" s="61">
        <f t="shared" si="1"/>
        <v>0.3</v>
      </c>
      <c r="I10" s="59">
        <v>0.3</v>
      </c>
      <c r="J10" s="59">
        <v>0</v>
      </c>
      <c r="K10" s="55">
        <f t="shared" si="2"/>
        <v>0.17322000000000001</v>
      </c>
      <c r="L10" s="62">
        <f t="shared" si="3"/>
        <v>0.3</v>
      </c>
      <c r="N10" s="59">
        <v>0.7</v>
      </c>
      <c r="O10" s="59">
        <v>0.3</v>
      </c>
      <c r="P10" s="55">
        <f t="shared" si="5"/>
        <v>0.75058999999999998</v>
      </c>
      <c r="Q10" s="62">
        <f t="shared" si="4"/>
        <v>0.7</v>
      </c>
    </row>
    <row r="11" spans="1:17">
      <c r="D11" s="59">
        <v>0.4</v>
      </c>
      <c r="E11" s="59">
        <v>0.6</v>
      </c>
      <c r="F11" s="55">
        <f t="shared" si="0"/>
        <v>0.92378000000000005</v>
      </c>
      <c r="G11" s="61">
        <f t="shared" si="1"/>
        <v>0.4</v>
      </c>
      <c r="I11" s="59">
        <v>0.4</v>
      </c>
      <c r="J11" s="59">
        <v>0</v>
      </c>
      <c r="K11" s="55">
        <f t="shared" si="2"/>
        <v>0.23096000000000003</v>
      </c>
      <c r="L11" s="62">
        <f t="shared" si="3"/>
        <v>0.4</v>
      </c>
      <c r="N11" s="59">
        <v>0.6</v>
      </c>
      <c r="O11" s="59">
        <v>0.4</v>
      </c>
      <c r="P11" s="55">
        <f t="shared" si="5"/>
        <v>0.80832000000000015</v>
      </c>
      <c r="Q11" s="62">
        <f t="shared" si="4"/>
        <v>0.6</v>
      </c>
    </row>
    <row r="12" spans="1:17">
      <c r="D12" s="59">
        <v>0.4</v>
      </c>
      <c r="E12" s="59">
        <v>0</v>
      </c>
      <c r="F12" s="55">
        <f t="shared" si="0"/>
        <v>0.23096000000000003</v>
      </c>
      <c r="G12" s="61">
        <f t="shared" si="1"/>
        <v>0.4</v>
      </c>
      <c r="I12" s="59">
        <v>0</v>
      </c>
      <c r="J12" s="59">
        <v>0.4</v>
      </c>
      <c r="K12" s="55">
        <f t="shared" si="2"/>
        <v>0.46188000000000007</v>
      </c>
      <c r="L12" s="62">
        <f t="shared" si="3"/>
        <v>0</v>
      </c>
      <c r="N12" s="59">
        <v>0</v>
      </c>
      <c r="O12" s="59">
        <v>0.4</v>
      </c>
      <c r="P12" s="55">
        <f t="shared" si="5"/>
        <v>0.46188000000000007</v>
      </c>
      <c r="Q12" s="62">
        <f t="shared" si="4"/>
        <v>0</v>
      </c>
    </row>
    <row r="13" spans="1:17">
      <c r="D13" s="59">
        <v>0.5</v>
      </c>
      <c r="E13" s="59">
        <v>0</v>
      </c>
      <c r="F13" s="55">
        <f t="shared" si="0"/>
        <v>0.28870000000000001</v>
      </c>
      <c r="G13" s="61">
        <f t="shared" si="1"/>
        <v>0.5</v>
      </c>
      <c r="I13" s="59">
        <v>0</v>
      </c>
      <c r="J13" s="59">
        <v>0.5</v>
      </c>
      <c r="K13" s="55">
        <f t="shared" si="2"/>
        <v>0.57735000000000003</v>
      </c>
      <c r="L13" s="62">
        <f t="shared" si="3"/>
        <v>0</v>
      </c>
      <c r="N13" s="59">
        <v>0</v>
      </c>
      <c r="O13" s="59">
        <v>0.5</v>
      </c>
      <c r="P13" s="55">
        <f t="shared" si="5"/>
        <v>0.57735000000000003</v>
      </c>
      <c r="Q13" s="62">
        <f t="shared" si="4"/>
        <v>0</v>
      </c>
    </row>
    <row r="14" spans="1:17">
      <c r="D14" s="59">
        <v>0.5</v>
      </c>
      <c r="E14" s="59">
        <v>0.5</v>
      </c>
      <c r="F14" s="55">
        <f t="shared" si="0"/>
        <v>0.86604999999999999</v>
      </c>
      <c r="G14" s="61">
        <f t="shared" si="1"/>
        <v>0.5</v>
      </c>
      <c r="I14" s="59">
        <v>0.5</v>
      </c>
      <c r="J14" s="59">
        <v>0</v>
      </c>
      <c r="K14" s="55">
        <f t="shared" si="2"/>
        <v>0.28870000000000001</v>
      </c>
      <c r="L14" s="62">
        <f t="shared" si="3"/>
        <v>0.5</v>
      </c>
      <c r="N14" s="59">
        <v>0.5</v>
      </c>
      <c r="O14" s="59">
        <v>0.5</v>
      </c>
      <c r="P14" s="55">
        <f t="shared" si="5"/>
        <v>0.86604999999999999</v>
      </c>
      <c r="Q14" s="62">
        <f t="shared" si="4"/>
        <v>0.5</v>
      </c>
    </row>
    <row r="15" spans="1:17">
      <c r="D15" s="59">
        <v>0.6</v>
      </c>
      <c r="E15" s="59">
        <v>0.4</v>
      </c>
      <c r="F15" s="55">
        <f t="shared" si="0"/>
        <v>0.80832000000000015</v>
      </c>
      <c r="G15" s="61">
        <f t="shared" si="1"/>
        <v>0.6</v>
      </c>
      <c r="I15" s="59">
        <v>0.6</v>
      </c>
      <c r="J15" s="59">
        <v>0</v>
      </c>
      <c r="K15" s="55">
        <f t="shared" si="2"/>
        <v>0.34644000000000003</v>
      </c>
      <c r="L15" s="62">
        <f t="shared" si="3"/>
        <v>0.6</v>
      </c>
      <c r="N15" s="59">
        <v>0.4</v>
      </c>
      <c r="O15" s="59">
        <v>0.6</v>
      </c>
      <c r="P15" s="55">
        <f t="shared" si="5"/>
        <v>0.92378000000000005</v>
      </c>
      <c r="Q15" s="62">
        <f t="shared" si="4"/>
        <v>0.4</v>
      </c>
    </row>
    <row r="16" spans="1:17">
      <c r="D16" s="59">
        <v>0.6</v>
      </c>
      <c r="E16" s="59">
        <v>0</v>
      </c>
      <c r="F16" s="55">
        <f t="shared" si="0"/>
        <v>0.34644000000000003</v>
      </c>
      <c r="G16" s="61">
        <f t="shared" si="1"/>
        <v>0.6</v>
      </c>
      <c r="I16" s="59">
        <v>0</v>
      </c>
      <c r="J16" s="59">
        <v>0.6</v>
      </c>
      <c r="K16" s="55">
        <f t="shared" si="2"/>
        <v>0.69281999999999999</v>
      </c>
      <c r="L16" s="62">
        <f t="shared" si="3"/>
        <v>0</v>
      </c>
      <c r="N16" s="59">
        <v>0</v>
      </c>
      <c r="O16" s="59">
        <v>0.6</v>
      </c>
      <c r="P16" s="55">
        <f t="shared" si="5"/>
        <v>0.69281999999999999</v>
      </c>
      <c r="Q16" s="62">
        <f t="shared" si="4"/>
        <v>0</v>
      </c>
    </row>
    <row r="17" spans="4:17">
      <c r="D17" s="59">
        <v>0.7</v>
      </c>
      <c r="E17" s="59">
        <v>0</v>
      </c>
      <c r="F17" s="55">
        <f t="shared" si="0"/>
        <v>0.40417999999999998</v>
      </c>
      <c r="G17" s="61">
        <f t="shared" si="1"/>
        <v>0.7</v>
      </c>
      <c r="I17" s="59">
        <v>0</v>
      </c>
      <c r="J17" s="59">
        <v>0.7</v>
      </c>
      <c r="K17" s="55">
        <f t="shared" si="2"/>
        <v>0.80828999999999995</v>
      </c>
      <c r="L17" s="62">
        <f t="shared" si="3"/>
        <v>0</v>
      </c>
      <c r="N17" s="59">
        <v>0</v>
      </c>
      <c r="O17" s="59">
        <v>0.7</v>
      </c>
      <c r="P17" s="55">
        <f t="shared" si="5"/>
        <v>0.80828999999999995</v>
      </c>
      <c r="Q17" s="62">
        <f t="shared" si="4"/>
        <v>0</v>
      </c>
    </row>
    <row r="18" spans="4:17">
      <c r="D18" s="59">
        <v>0.7</v>
      </c>
      <c r="E18" s="59">
        <v>0.3</v>
      </c>
      <c r="F18" s="55">
        <f t="shared" si="0"/>
        <v>0.75058999999999998</v>
      </c>
      <c r="G18" s="61">
        <f t="shared" si="1"/>
        <v>0.7</v>
      </c>
      <c r="I18" s="59">
        <v>0.7</v>
      </c>
      <c r="J18" s="59">
        <v>0</v>
      </c>
      <c r="K18" s="55">
        <f t="shared" si="2"/>
        <v>0.40417999999999998</v>
      </c>
      <c r="L18" s="62">
        <f t="shared" si="3"/>
        <v>0.7</v>
      </c>
      <c r="N18" s="59">
        <v>0.3</v>
      </c>
      <c r="O18" s="59">
        <v>0.7</v>
      </c>
      <c r="P18" s="55">
        <f t="shared" si="5"/>
        <v>0.98150999999999999</v>
      </c>
      <c r="Q18" s="62">
        <f t="shared" si="4"/>
        <v>0.3</v>
      </c>
    </row>
    <row r="19" spans="4:17">
      <c r="D19" s="59">
        <v>0.8</v>
      </c>
      <c r="E19" s="59">
        <v>0.2</v>
      </c>
      <c r="F19" s="55">
        <f t="shared" si="0"/>
        <v>0.69286000000000003</v>
      </c>
      <c r="G19" s="61">
        <f t="shared" si="1"/>
        <v>0.8</v>
      </c>
      <c r="I19" s="59">
        <v>0.8</v>
      </c>
      <c r="J19" s="59">
        <v>0</v>
      </c>
      <c r="K19" s="55">
        <f t="shared" si="2"/>
        <v>0.46192000000000005</v>
      </c>
      <c r="L19" s="62">
        <f t="shared" si="3"/>
        <v>0.8</v>
      </c>
      <c r="N19" s="59">
        <v>0.2</v>
      </c>
      <c r="O19" s="59">
        <v>0.8</v>
      </c>
      <c r="P19" s="55">
        <f t="shared" si="5"/>
        <v>1.0392400000000002</v>
      </c>
      <c r="Q19" s="62">
        <f t="shared" si="4"/>
        <v>0.2</v>
      </c>
    </row>
    <row r="20" spans="4:17">
      <c r="D20" s="59">
        <v>0.8</v>
      </c>
      <c r="E20" s="59">
        <v>0</v>
      </c>
      <c r="F20" s="55">
        <f t="shared" si="0"/>
        <v>0.46192000000000005</v>
      </c>
      <c r="G20" s="61">
        <f t="shared" si="1"/>
        <v>0.8</v>
      </c>
      <c r="I20" s="59">
        <v>0</v>
      </c>
      <c r="J20" s="59">
        <v>0.8</v>
      </c>
      <c r="K20" s="55">
        <f t="shared" si="2"/>
        <v>0.92376000000000014</v>
      </c>
      <c r="L20" s="62">
        <f t="shared" si="3"/>
        <v>0</v>
      </c>
      <c r="N20" s="59">
        <v>0</v>
      </c>
      <c r="O20" s="59">
        <v>0.8</v>
      </c>
      <c r="P20" s="55">
        <f t="shared" si="5"/>
        <v>0.92376000000000014</v>
      </c>
      <c r="Q20" s="62">
        <f t="shared" si="4"/>
        <v>0</v>
      </c>
    </row>
    <row r="21" spans="4:17">
      <c r="D21" s="59">
        <v>0.9</v>
      </c>
      <c r="E21" s="59">
        <v>0</v>
      </c>
      <c r="F21" s="55">
        <f t="shared" si="0"/>
        <v>0.51966000000000001</v>
      </c>
      <c r="G21" s="61">
        <f t="shared" si="1"/>
        <v>0.9</v>
      </c>
      <c r="I21" s="59">
        <v>0</v>
      </c>
      <c r="J21" s="59">
        <v>0.9</v>
      </c>
      <c r="K21" s="55">
        <f t="shared" si="2"/>
        <v>1.0392300000000001</v>
      </c>
      <c r="L21" s="62">
        <f t="shared" si="3"/>
        <v>0</v>
      </c>
      <c r="N21" s="59">
        <v>0</v>
      </c>
      <c r="O21" s="59">
        <v>0.9</v>
      </c>
      <c r="P21" s="55">
        <f t="shared" si="5"/>
        <v>1.0392300000000001</v>
      </c>
      <c r="Q21" s="62">
        <f t="shared" si="4"/>
        <v>0</v>
      </c>
    </row>
    <row r="22" spans="4:17">
      <c r="D22" s="59">
        <v>0.9</v>
      </c>
      <c r="E22" s="59">
        <v>0.1</v>
      </c>
      <c r="F22" s="55">
        <f t="shared" si="0"/>
        <v>0.63512999999999997</v>
      </c>
      <c r="G22" s="61">
        <f t="shared" si="1"/>
        <v>0.9</v>
      </c>
      <c r="I22" s="59">
        <v>0.9</v>
      </c>
      <c r="J22" s="59">
        <v>0</v>
      </c>
      <c r="K22" s="55">
        <f t="shared" si="2"/>
        <v>0.51966000000000001</v>
      </c>
      <c r="L22" s="62">
        <f t="shared" si="3"/>
        <v>0.9</v>
      </c>
      <c r="N22" s="59">
        <v>0.1</v>
      </c>
      <c r="O22" s="59">
        <v>0.9</v>
      </c>
      <c r="P22" s="55">
        <f t="shared" si="5"/>
        <v>1.09697</v>
      </c>
      <c r="Q22" s="62">
        <f t="shared" si="4"/>
        <v>0.1</v>
      </c>
    </row>
  </sheetData>
  <mergeCells count="4">
    <mergeCell ref="A3:B3"/>
    <mergeCell ref="D3:G3"/>
    <mergeCell ref="I3:L3"/>
    <mergeCell ref="N3:Q3"/>
  </mergeCells>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topLeftCell="A13" zoomScale="75" workbookViewId="0">
      <selection activeCell="R17" sqref="R17"/>
    </sheetView>
  </sheetViews>
  <sheetFormatPr baseColWidth="10" defaultColWidth="9.1640625" defaultRowHeight="12" x14ac:dyDescent="0"/>
  <cols>
    <col min="1" max="1" width="10.1640625" style="136" customWidth="1"/>
    <col min="2" max="2" width="10.5" style="136" customWidth="1"/>
    <col min="3" max="3" width="9.33203125" style="136" customWidth="1"/>
    <col min="4" max="4" width="9.1640625" style="136"/>
    <col min="5" max="5" width="9.33203125" style="136" customWidth="1"/>
    <col min="6" max="9" width="9.1640625" style="136"/>
    <col min="10" max="10" width="10.33203125" style="136" customWidth="1"/>
    <col min="11" max="16384" width="9.1640625" style="136"/>
  </cols>
  <sheetData>
    <row r="1" spans="1:34">
      <c r="A1" s="136" t="s">
        <v>191</v>
      </c>
    </row>
    <row r="2" spans="1:34">
      <c r="A2" s="136" t="s">
        <v>103</v>
      </c>
      <c r="G2" s="136" t="s">
        <v>115</v>
      </c>
      <c r="I2" s="136">
        <v>100</v>
      </c>
      <c r="J2" s="137" t="s">
        <v>117</v>
      </c>
      <c r="M2" s="135"/>
      <c r="N2" s="135"/>
      <c r="R2" s="135"/>
      <c r="S2" s="135"/>
      <c r="T2" s="135"/>
    </row>
    <row r="3" spans="1:34">
      <c r="B3" s="136" t="s">
        <v>104</v>
      </c>
      <c r="C3" s="136" t="s">
        <v>19</v>
      </c>
      <c r="D3" s="136" t="s">
        <v>25</v>
      </c>
      <c r="H3" s="136" t="s">
        <v>104</v>
      </c>
      <c r="I3" s="136" t="s">
        <v>29</v>
      </c>
      <c r="J3" s="136" t="s">
        <v>25</v>
      </c>
      <c r="O3" s="135"/>
      <c r="P3" s="135"/>
      <c r="Q3" s="135"/>
      <c r="U3" s="135"/>
      <c r="V3" s="135"/>
    </row>
    <row r="4" spans="1:34">
      <c r="A4" s="135" t="s">
        <v>105</v>
      </c>
      <c r="B4" s="136">
        <f>input!BV9</f>
        <v>100</v>
      </c>
      <c r="C4" s="136">
        <f>input!BW9</f>
        <v>1</v>
      </c>
      <c r="D4" s="136">
        <f>input!BX9</f>
        <v>10000</v>
      </c>
      <c r="E4" s="135" t="s">
        <v>92</v>
      </c>
      <c r="F4" s="135" t="s">
        <v>93</v>
      </c>
      <c r="G4" s="135" t="s">
        <v>105</v>
      </c>
      <c r="H4" s="136">
        <f>input!CA9</f>
        <v>1</v>
      </c>
      <c r="I4" s="136">
        <f>input!CB9</f>
        <v>1000</v>
      </c>
      <c r="J4" s="136">
        <f>input!CC9</f>
        <v>100</v>
      </c>
      <c r="K4" s="135" t="s">
        <v>92</v>
      </c>
      <c r="L4" s="135" t="s">
        <v>93</v>
      </c>
      <c r="M4" s="139"/>
      <c r="N4" s="139"/>
      <c r="O4" s="138"/>
      <c r="P4" s="138"/>
      <c r="R4" s="139"/>
      <c r="S4" s="139"/>
      <c r="T4" s="139"/>
      <c r="U4" s="138"/>
      <c r="V4" s="138"/>
    </row>
    <row r="5" spans="1:34">
      <c r="A5" s="135" t="s">
        <v>106</v>
      </c>
      <c r="B5" s="139">
        <f>($B$4*38)/($B$4*38+$D$4)</f>
        <v>0.27536231884057971</v>
      </c>
      <c r="C5" s="139">
        <v>0</v>
      </c>
      <c r="D5" s="139">
        <f>$D$4/ ($B$4*38+D4)</f>
        <v>0.72463768115942029</v>
      </c>
      <c r="E5" s="138">
        <f t="shared" ref="E5:E10" si="0">0.5774*B5+1.1547*D5</f>
        <v>0.99573333333333336</v>
      </c>
      <c r="F5" s="138">
        <f t="shared" ref="F5:F10" si="1">B5</f>
        <v>0.27536231884057971</v>
      </c>
      <c r="G5" s="135" t="s">
        <v>106</v>
      </c>
      <c r="H5" s="139">
        <f>(H$4*38)/(H$4*38+J$4)</f>
        <v>0.27536231884057971</v>
      </c>
      <c r="I5" s="139">
        <v>0</v>
      </c>
      <c r="J5" s="139">
        <f>J$4/ (H$4*38+J$4)</f>
        <v>0.72463768115942029</v>
      </c>
      <c r="K5" s="138">
        <f t="shared" ref="K5:K10" si="2">0.5774*H5+1.1547*J5</f>
        <v>0.99573333333333336</v>
      </c>
      <c r="L5" s="138">
        <f t="shared" ref="L5:L10" si="3">H5</f>
        <v>0.27536231884057971</v>
      </c>
      <c r="M5" s="139"/>
      <c r="N5" s="139"/>
      <c r="O5" s="138"/>
      <c r="P5" s="138"/>
      <c r="R5" s="139"/>
      <c r="S5" s="139"/>
      <c r="T5" s="139"/>
      <c r="U5" s="138"/>
      <c r="V5" s="138"/>
    </row>
    <row r="6" spans="1:34">
      <c r="A6" s="135" t="s">
        <v>107</v>
      </c>
      <c r="B6" s="139">
        <f>($B$4*84)/($B$4*84+$D$4)</f>
        <v>0.45652173913043476</v>
      </c>
      <c r="C6" s="139">
        <v>0</v>
      </c>
      <c r="D6" s="139">
        <f>$D$4/ ($B$4*84+$D$4)</f>
        <v>0.54347826086956519</v>
      </c>
      <c r="E6" s="138">
        <f t="shared" si="0"/>
        <v>0.89115000000000011</v>
      </c>
      <c r="F6" s="138">
        <f t="shared" si="1"/>
        <v>0.45652173913043476</v>
      </c>
      <c r="G6" s="135" t="s">
        <v>107</v>
      </c>
      <c r="H6" s="139">
        <f>(H4*84)/(H4*84+J4)</f>
        <v>0.45652173913043476</v>
      </c>
      <c r="I6" s="139">
        <v>0</v>
      </c>
      <c r="J6" s="139">
        <f>J4/ (H4*84+J4)</f>
        <v>0.54347826086956519</v>
      </c>
      <c r="K6" s="138">
        <f t="shared" si="2"/>
        <v>0.89115000000000011</v>
      </c>
      <c r="L6" s="138">
        <f t="shared" si="3"/>
        <v>0.45652173913043476</v>
      </c>
      <c r="M6" s="139"/>
      <c r="N6" s="139"/>
      <c r="O6" s="138"/>
      <c r="P6" s="138"/>
      <c r="R6" s="139"/>
      <c r="S6" s="139"/>
      <c r="T6" s="139"/>
      <c r="U6" s="138"/>
      <c r="V6" s="138"/>
    </row>
    <row r="7" spans="1:34">
      <c r="A7" s="135" t="s">
        <v>108</v>
      </c>
      <c r="B7" s="139">
        <f>($B$4*800)/($B$4*800+$D$4)</f>
        <v>0.88888888888888884</v>
      </c>
      <c r="C7" s="139">
        <v>0</v>
      </c>
      <c r="D7" s="139">
        <f>$D$4/ ($B$4*800+$D$4)</f>
        <v>0.1111111111111111</v>
      </c>
      <c r="E7" s="138">
        <f t="shared" si="0"/>
        <v>0.64154444444444436</v>
      </c>
      <c r="F7" s="138">
        <f t="shared" si="1"/>
        <v>0.88888888888888884</v>
      </c>
      <c r="G7" s="140" t="s">
        <v>29</v>
      </c>
      <c r="H7" s="139">
        <v>0</v>
      </c>
      <c r="I7" s="139">
        <v>1</v>
      </c>
      <c r="J7" s="139">
        <v>0</v>
      </c>
      <c r="K7" s="138">
        <f t="shared" si="2"/>
        <v>0</v>
      </c>
      <c r="L7" s="138">
        <f t="shared" si="3"/>
        <v>0</v>
      </c>
      <c r="M7" s="139"/>
      <c r="N7" s="139"/>
      <c r="O7" s="138"/>
      <c r="P7" s="138"/>
      <c r="R7" s="139"/>
      <c r="S7" s="139"/>
      <c r="T7" s="139"/>
      <c r="U7" s="138"/>
      <c r="V7" s="138"/>
    </row>
    <row r="8" spans="1:34">
      <c r="A8" s="135" t="s">
        <v>116</v>
      </c>
      <c r="B8" s="139">
        <v>0</v>
      </c>
      <c r="C8" s="139">
        <v>1</v>
      </c>
      <c r="D8" s="139">
        <v>0</v>
      </c>
      <c r="E8" s="138">
        <f t="shared" si="0"/>
        <v>0</v>
      </c>
      <c r="F8" s="138">
        <f t="shared" si="1"/>
        <v>0</v>
      </c>
      <c r="G8" s="135" t="s">
        <v>108</v>
      </c>
      <c r="H8" s="139">
        <f>(H$4*80)/(H$4*80+I4*0.01+J$4*0.1)</f>
        <v>0.8</v>
      </c>
      <c r="I8" s="139">
        <f>(I4*0.01)/(H$4*80+I4*0.01+J$4*0.1)</f>
        <v>0.1</v>
      </c>
      <c r="J8" s="139">
        <f>J$4*0.1/ (H$4*80+I4*0.01+J$4*0.1)</f>
        <v>0.1</v>
      </c>
      <c r="K8" s="138">
        <f t="shared" si="2"/>
        <v>0.57739000000000007</v>
      </c>
      <c r="L8" s="138">
        <f t="shared" si="3"/>
        <v>0.8</v>
      </c>
      <c r="M8" s="139"/>
      <c r="N8" s="139"/>
      <c r="O8" s="138"/>
      <c r="P8" s="138"/>
      <c r="R8" s="139"/>
      <c r="S8" s="139"/>
      <c r="T8" s="139"/>
      <c r="U8" s="138"/>
      <c r="V8" s="138"/>
    </row>
    <row r="9" spans="1:34">
      <c r="A9" s="135" t="s">
        <v>25</v>
      </c>
      <c r="B9" s="139">
        <v>0</v>
      </c>
      <c r="C9" s="139">
        <v>0</v>
      </c>
      <c r="D9" s="139">
        <v>1</v>
      </c>
      <c r="E9" s="138">
        <f t="shared" si="0"/>
        <v>1.1547000000000001</v>
      </c>
      <c r="F9" s="138">
        <f t="shared" si="1"/>
        <v>0</v>
      </c>
      <c r="G9" s="135" t="s">
        <v>106</v>
      </c>
      <c r="H9" s="139">
        <f>(H$4*38)/(H$4*38+J$4)</f>
        <v>0.27536231884057971</v>
      </c>
      <c r="I9" s="139">
        <v>0</v>
      </c>
      <c r="J9" s="139">
        <f>J$4/ (H$4*38+J$4)</f>
        <v>0.72463768115942029</v>
      </c>
      <c r="K9" s="138">
        <f t="shared" si="2"/>
        <v>0.99573333333333336</v>
      </c>
      <c r="L9" s="138">
        <f t="shared" si="3"/>
        <v>0.27536231884057971</v>
      </c>
      <c r="M9" s="139"/>
      <c r="N9" s="139"/>
      <c r="O9" s="138"/>
      <c r="P9" s="138"/>
      <c r="R9" s="139"/>
      <c r="S9" s="139"/>
      <c r="T9" s="139"/>
      <c r="U9" s="138"/>
      <c r="V9" s="138"/>
    </row>
    <row r="10" spans="1:34">
      <c r="A10" s="135" t="s">
        <v>118</v>
      </c>
      <c r="B10" s="139">
        <f>($B$4)/($B$4+C4*200)</f>
        <v>0.33333333333333331</v>
      </c>
      <c r="C10" s="139">
        <f>(C4*200)/($B$4+C4*200)</f>
        <v>0.66666666666666663</v>
      </c>
      <c r="D10" s="139">
        <v>0</v>
      </c>
      <c r="E10" s="138">
        <f t="shared" si="0"/>
        <v>0.19246666666666667</v>
      </c>
      <c r="F10" s="138">
        <f t="shared" si="1"/>
        <v>0.33333333333333331</v>
      </c>
      <c r="G10" s="140" t="s">
        <v>29</v>
      </c>
      <c r="H10" s="139">
        <v>0</v>
      </c>
      <c r="I10" s="139">
        <v>1</v>
      </c>
      <c r="J10" s="139">
        <v>0</v>
      </c>
      <c r="K10" s="138">
        <f t="shared" si="2"/>
        <v>0</v>
      </c>
      <c r="L10" s="138">
        <f t="shared" si="3"/>
        <v>0</v>
      </c>
      <c r="M10" s="139"/>
      <c r="N10" s="139"/>
      <c r="O10" s="138"/>
      <c r="P10" s="138"/>
      <c r="R10" s="139"/>
      <c r="S10" s="139"/>
      <c r="T10" s="139"/>
      <c r="U10" s="138"/>
      <c r="V10" s="138"/>
      <c r="AC10" s="135"/>
      <c r="AD10" s="139"/>
      <c r="AE10" s="139"/>
      <c r="AF10" s="139"/>
      <c r="AG10" s="138"/>
      <c r="AH10" s="138"/>
    </row>
    <row r="11" spans="1:34">
      <c r="B11" s="141"/>
      <c r="C11" s="141"/>
    </row>
    <row r="12" spans="1:34">
      <c r="A12" s="136" t="s">
        <v>221</v>
      </c>
    </row>
    <row r="13" spans="1:34">
      <c r="A13" s="144"/>
      <c r="B13" s="145" t="s">
        <v>19</v>
      </c>
      <c r="C13" s="145" t="s">
        <v>20</v>
      </c>
      <c r="D13" s="145" t="s">
        <v>21</v>
      </c>
      <c r="E13" s="145" t="s">
        <v>22</v>
      </c>
      <c r="F13" s="145" t="s">
        <v>23</v>
      </c>
      <c r="G13" s="146" t="s">
        <v>24</v>
      </c>
      <c r="I13" s="144"/>
      <c r="J13" s="145" t="s">
        <v>19</v>
      </c>
      <c r="K13" s="145" t="s">
        <v>20</v>
      </c>
      <c r="L13" s="145" t="s">
        <v>21</v>
      </c>
      <c r="M13" s="145" t="s">
        <v>22</v>
      </c>
      <c r="N13" s="145" t="s">
        <v>23</v>
      </c>
      <c r="O13" s="146" t="s">
        <v>24</v>
      </c>
      <c r="Q13" s="144"/>
      <c r="R13" s="145" t="s">
        <v>19</v>
      </c>
      <c r="S13" s="145" t="s">
        <v>20</v>
      </c>
      <c r="T13" s="145" t="s">
        <v>21</v>
      </c>
      <c r="U13" s="145" t="s">
        <v>22</v>
      </c>
      <c r="V13" s="145" t="s">
        <v>23</v>
      </c>
      <c r="W13" s="146" t="s">
        <v>24</v>
      </c>
    </row>
    <row r="14" spans="1:34">
      <c r="A14" s="147"/>
      <c r="B14" s="141"/>
      <c r="C14" s="141"/>
      <c r="D14" s="141"/>
      <c r="E14" s="141"/>
      <c r="F14" s="141"/>
      <c r="G14" s="148"/>
      <c r="I14" s="147"/>
      <c r="J14" s="141"/>
      <c r="K14" s="141"/>
      <c r="L14" s="141"/>
      <c r="M14" s="141"/>
      <c r="N14" s="141"/>
      <c r="O14" s="148"/>
      <c r="Q14" s="147"/>
      <c r="R14" s="141"/>
      <c r="S14" s="141"/>
      <c r="T14" s="141"/>
      <c r="U14" s="141"/>
      <c r="V14" s="141"/>
      <c r="W14" s="148"/>
    </row>
    <row r="15" spans="1:34">
      <c r="A15" s="147" t="s">
        <v>109</v>
      </c>
      <c r="B15" s="141">
        <v>1000</v>
      </c>
      <c r="C15" s="142">
        <f>1000*Ggrid!$T$158</f>
        <v>25.80663385677407</v>
      </c>
      <c r="D15" s="143"/>
      <c r="E15" s="142">
        <f>1000*Ggrid!$S$158</f>
        <v>141.73867614739805</v>
      </c>
      <c r="F15" s="143"/>
      <c r="G15" s="148"/>
      <c r="I15" s="147" t="s">
        <v>109</v>
      </c>
      <c r="J15" s="141">
        <v>1000</v>
      </c>
      <c r="K15" s="142">
        <f>1000*Ggrid!$T$158</f>
        <v>25.80663385677407</v>
      </c>
      <c r="L15" s="143"/>
      <c r="M15" s="142">
        <f>1000*Ggrid!$S$158</f>
        <v>141.73867614739805</v>
      </c>
      <c r="N15" s="143"/>
      <c r="O15" s="148"/>
      <c r="Q15" s="147" t="s">
        <v>109</v>
      </c>
      <c r="R15" s="141">
        <v>1000</v>
      </c>
      <c r="S15" s="142">
        <f>1000*Ggrid!$T$158</f>
        <v>25.80663385677407</v>
      </c>
      <c r="T15" s="143"/>
      <c r="U15" s="142">
        <f>1000*Ggrid!$S$158</f>
        <v>141.73867614739805</v>
      </c>
      <c r="V15" s="143"/>
      <c r="W15" s="148"/>
    </row>
    <row r="16" spans="1:34">
      <c r="A16" s="147" t="s">
        <v>110</v>
      </c>
      <c r="B16" s="141">
        <f>10^(4.7593-0.01092*A17)</f>
        <v>4648.3626185930125</v>
      </c>
      <c r="C16" s="142">
        <f>10^(4.0547-0.00981*A17)</f>
        <v>1184.94993097618</v>
      </c>
      <c r="D16" s="141">
        <f>10^(6.2283-0.01403*A17)</f>
        <v>66880.575268492568</v>
      </c>
      <c r="E16" s="141">
        <f>10^(6.0783-0.01383*A17)</f>
        <v>49579.255390630286</v>
      </c>
      <c r="F16" s="141">
        <f>10^(6.4426-0.01416*A17)</f>
        <v>106316.33575037729</v>
      </c>
      <c r="G16" s="148">
        <f>10^(1.4113-0.00292*A17)</f>
        <v>13.161336711857297</v>
      </c>
      <c r="I16" s="147" t="s">
        <v>110</v>
      </c>
      <c r="J16" s="141">
        <f>10^(4.7593-0.01092*I17)</f>
        <v>1322.2086681902574</v>
      </c>
      <c r="K16" s="142">
        <f>10^(4.0547-0.00981*I17)</f>
        <v>383.00108122644917</v>
      </c>
      <c r="L16" s="141">
        <f>10^(6.2283-0.01403*I17)</f>
        <v>13298.418621331621</v>
      </c>
      <c r="M16" s="141">
        <f>10^(6.0783-0.01383*I17)</f>
        <v>10087.882149492711</v>
      </c>
      <c r="N16" s="141">
        <f>10^(6.4426-0.01416*I17)</f>
        <v>20825.718799130122</v>
      </c>
      <c r="O16" s="148">
        <f>10^(1.4113-0.00292*I17)</f>
        <v>9.4037267268648144</v>
      </c>
      <c r="Q16" s="147" t="s">
        <v>110</v>
      </c>
      <c r="R16" s="141">
        <f>10^(4.7593-0.01092*Q17)</f>
        <v>376.09711325976934</v>
      </c>
      <c r="S16" s="142">
        <f>10^(4.0547-0.00981*Q17)</f>
        <v>123.79411516551075</v>
      </c>
      <c r="T16" s="141">
        <f>10^(6.2283-0.01403*Q17)</f>
        <v>2644.2346992115899</v>
      </c>
      <c r="U16" s="141">
        <f>10^(6.0783-0.01383*Q17)</f>
        <v>2052.5795609525312</v>
      </c>
      <c r="V16" s="141">
        <f>10^(6.4426-0.01416*Q17)</f>
        <v>4079.4348341609571</v>
      </c>
      <c r="W16" s="148">
        <f>10^(1.4113-0.00292*Q17)</f>
        <v>6.718928197763022</v>
      </c>
    </row>
    <row r="17" spans="1:23">
      <c r="A17" s="189">
        <v>100</v>
      </c>
      <c r="B17" s="141"/>
      <c r="C17" s="142"/>
      <c r="D17" s="141"/>
      <c r="E17" s="141"/>
      <c r="F17" s="141"/>
      <c r="G17" s="148"/>
      <c r="I17" s="189">
        <v>150</v>
      </c>
      <c r="J17" s="141"/>
      <c r="K17" s="142"/>
      <c r="L17" s="141"/>
      <c r="M17" s="141"/>
      <c r="N17" s="141"/>
      <c r="O17" s="148"/>
      <c r="Q17" s="189">
        <v>200</v>
      </c>
      <c r="R17" s="141"/>
      <c r="S17" s="142"/>
      <c r="T17" s="141"/>
      <c r="U17" s="141"/>
      <c r="V17" s="141"/>
      <c r="W17" s="148"/>
    </row>
    <row r="18" spans="1:23">
      <c r="A18" s="147" t="s">
        <v>111</v>
      </c>
      <c r="B18" s="149">
        <v>0.01</v>
      </c>
      <c r="G18" s="150"/>
      <c r="I18" s="147" t="s">
        <v>111</v>
      </c>
      <c r="J18" s="149">
        <f>B18</f>
        <v>0.01</v>
      </c>
      <c r="O18" s="150"/>
      <c r="Q18" s="147" t="s">
        <v>111</v>
      </c>
      <c r="R18" s="149">
        <f>J18</f>
        <v>0.01</v>
      </c>
      <c r="W18" s="150"/>
    </row>
    <row r="19" spans="1:23">
      <c r="A19" s="147" t="s">
        <v>112</v>
      </c>
      <c r="B19" s="141">
        <f>B15/(1+$B$18*(B$16-1))</f>
        <v>21.06432729792974</v>
      </c>
      <c r="C19" s="141">
        <f>C15/(1+B$18*(C$16-1))</f>
        <v>2.0099408266764289</v>
      </c>
      <c r="D19" s="143">
        <f>D15/(1+B$18*(D$16-1))</f>
        <v>0</v>
      </c>
      <c r="E19" s="143">
        <f>E15/(1+B$18*(E$16-1))</f>
        <v>0.28531331270165955</v>
      </c>
      <c r="F19" s="143">
        <f>F15/(1+B$18*(F$16-1))</f>
        <v>0</v>
      </c>
      <c r="G19" s="148">
        <f>G15/(1+B$18*(G$16-1))</f>
        <v>0</v>
      </c>
      <c r="I19" s="147" t="s">
        <v>112</v>
      </c>
      <c r="J19" s="141">
        <f>J15/(1+$B$18*(J$16-1))</f>
        <v>70.362644302851223</v>
      </c>
      <c r="K19" s="141">
        <f>K15/(1+J$18*(K$16-1))</f>
        <v>5.3540614039929588</v>
      </c>
      <c r="L19" s="143">
        <f>L15/(1+J$18*(L$16-1))</f>
        <v>0</v>
      </c>
      <c r="M19" s="143">
        <f>M15/(1+J$18*(M$16-1))</f>
        <v>1.3913842731012296</v>
      </c>
      <c r="N19" s="143">
        <f>N15/(1+J$18*(N$16-1))</f>
        <v>0</v>
      </c>
      <c r="O19" s="148">
        <f>O15/(1+J$18*(O$16-1))</f>
        <v>0</v>
      </c>
      <c r="Q19" s="147" t="s">
        <v>112</v>
      </c>
      <c r="R19" s="141">
        <f>R15/(1+$B$18*(R$16-1))</f>
        <v>210.48328269955809</v>
      </c>
      <c r="S19" s="141">
        <f>S15/(1+R$18*(S$16-1))</f>
        <v>11.583175721496355</v>
      </c>
      <c r="T19" s="143">
        <f>T15/(1+R$18*(T$16-1))</f>
        <v>0</v>
      </c>
      <c r="U19" s="143">
        <f>U15/(1+R$18*(U$16-1))</f>
        <v>6.5876567485447097</v>
      </c>
      <c r="V19" s="143">
        <f>V15/(1+R$18*(V$16-1))</f>
        <v>0</v>
      </c>
      <c r="W19" s="148">
        <f>W15/(1+R$18*(W$16-1))</f>
        <v>0</v>
      </c>
    </row>
    <row r="20" spans="1:23">
      <c r="A20" s="147" t="s">
        <v>113</v>
      </c>
      <c r="B20" s="141">
        <f t="shared" ref="B20:G20" si="4">B19*B$16</f>
        <v>97914.631597504966</v>
      </c>
      <c r="C20" s="141">
        <f t="shared" si="4"/>
        <v>2381.6792438364405</v>
      </c>
      <c r="D20" s="141">
        <f t="shared" si="4"/>
        <v>0</v>
      </c>
      <c r="E20" s="141">
        <f t="shared" si="4"/>
        <v>14145.621596782339</v>
      </c>
      <c r="F20" s="141">
        <f t="shared" si="4"/>
        <v>0</v>
      </c>
      <c r="G20" s="151">
        <f t="shared" si="4"/>
        <v>0</v>
      </c>
      <c r="I20" s="147" t="s">
        <v>113</v>
      </c>
      <c r="J20" s="141">
        <f t="shared" ref="J20:O20" si="5">J19*J$16</f>
        <v>93034.098214017722</v>
      </c>
      <c r="K20" s="141">
        <f t="shared" si="5"/>
        <v>2050.6113066821035</v>
      </c>
      <c r="L20" s="141">
        <f t="shared" si="5"/>
        <v>0</v>
      </c>
      <c r="M20" s="141">
        <f t="shared" si="5"/>
        <v>14036.120571702784</v>
      </c>
      <c r="N20" s="141">
        <f t="shared" si="5"/>
        <v>0</v>
      </c>
      <c r="O20" s="151">
        <f t="shared" si="5"/>
        <v>0</v>
      </c>
      <c r="Q20" s="147" t="s">
        <v>113</v>
      </c>
      <c r="R20" s="141">
        <f t="shared" ref="R20:W20" si="6">R19*R$16</f>
        <v>79162.155012743751</v>
      </c>
      <c r="S20" s="141">
        <f t="shared" si="6"/>
        <v>1433.9289892492677</v>
      </c>
      <c r="T20" s="141">
        <f t="shared" si="6"/>
        <v>0</v>
      </c>
      <c r="U20" s="141">
        <f t="shared" si="6"/>
        <v>13521.68959663388</v>
      </c>
      <c r="V20" s="141">
        <f t="shared" si="6"/>
        <v>0</v>
      </c>
      <c r="W20" s="151">
        <f t="shared" si="6"/>
        <v>0</v>
      </c>
    </row>
    <row r="21" spans="1:23">
      <c r="A21" s="147"/>
      <c r="G21" s="150"/>
      <c r="I21" s="147"/>
      <c r="O21" s="150"/>
      <c r="Q21" s="147"/>
      <c r="W21" s="150"/>
    </row>
    <row r="22" spans="1:23">
      <c r="A22" s="147" t="s">
        <v>112</v>
      </c>
      <c r="B22" s="141">
        <f>B19/(1+B$18*(B$16-1))</f>
        <v>0.44370588451430804</v>
      </c>
      <c r="C22" s="143">
        <f>C19/(1+B$18*(C$16-1))</f>
        <v>0.1565435519084675</v>
      </c>
      <c r="D22" s="143">
        <f>D19/(1+B$18*(D$16-1))</f>
        <v>0</v>
      </c>
      <c r="E22" s="143">
        <f>E19/(1+B$18*(E$16-1))</f>
        <v>5.7432232766264153E-4</v>
      </c>
      <c r="F22" s="143">
        <f>F19/(1+B$18*(F$16-1))</f>
        <v>0</v>
      </c>
      <c r="G22" s="148">
        <f>G19/(1+B$18*(G$16-1))</f>
        <v>0</v>
      </c>
      <c r="I22" s="147" t="s">
        <v>112</v>
      </c>
      <c r="J22" s="141">
        <f>J19/(1+J$18*(J$16-1))</f>
        <v>4.9509017132895616</v>
      </c>
      <c r="K22" s="143">
        <f>K19/(1+J$18*(K$16-1))</f>
        <v>1.1107986294075478</v>
      </c>
      <c r="L22" s="143">
        <f>L19/(1+J$18*(L$16-1))</f>
        <v>0</v>
      </c>
      <c r="M22" s="143">
        <f>M19/(1+J$18*(M$16-1))</f>
        <v>1.3658588100683173E-2</v>
      </c>
      <c r="N22" s="143">
        <f>N19/(1+J$18*(N$16-1))</f>
        <v>0</v>
      </c>
      <c r="O22" s="148">
        <f>O19/(1+J$18*(O$16-1))</f>
        <v>0</v>
      </c>
      <c r="Q22" s="147" t="s">
        <v>112</v>
      </c>
      <c r="R22" s="141">
        <f>R19/(1+R$18*(R$16-1))</f>
        <v>44.303212295982092</v>
      </c>
      <c r="S22" s="143">
        <f>S19/(1+R$18*(S$16-1))</f>
        <v>5.1990492266330151</v>
      </c>
      <c r="T22" s="143">
        <f>T19/(1+R$18*(T$16-1))</f>
        <v>0</v>
      </c>
      <c r="U22" s="143">
        <f>U19/(1+R$18*(U$16-1))</f>
        <v>0.30617769698594233</v>
      </c>
      <c r="V22" s="143">
        <f>V19/(1+R$18*(V$16-1))</f>
        <v>0</v>
      </c>
      <c r="W22" s="148">
        <f>W19/(1+R$18*(W$16-1))</f>
        <v>0</v>
      </c>
    </row>
    <row r="23" spans="1:23">
      <c r="A23" s="147" t="s">
        <v>113</v>
      </c>
      <c r="B23" s="141">
        <f t="shared" ref="B23:G23" si="7">B22*B$16</f>
        <v>2062.5058472260575</v>
      </c>
      <c r="C23" s="141">
        <f t="shared" si="7"/>
        <v>185.4962710287046</v>
      </c>
      <c r="D23" s="141">
        <f t="shared" si="7"/>
        <v>0</v>
      </c>
      <c r="E23" s="141">
        <f t="shared" si="7"/>
        <v>28.474473359727355</v>
      </c>
      <c r="F23" s="141">
        <f t="shared" si="7"/>
        <v>0</v>
      </c>
      <c r="G23" s="151">
        <f t="shared" si="7"/>
        <v>0</v>
      </c>
      <c r="I23" s="147" t="s">
        <v>113</v>
      </c>
      <c r="J23" s="141">
        <f t="shared" ref="J23:O23" si="8">J22*J$16</f>
        <v>6546.125160669455</v>
      </c>
      <c r="K23" s="141">
        <f t="shared" si="8"/>
        <v>425.43707608794864</v>
      </c>
      <c r="L23" s="141">
        <f t="shared" si="8"/>
        <v>0</v>
      </c>
      <c r="M23" s="141">
        <f t="shared" si="8"/>
        <v>137.78622708815533</v>
      </c>
      <c r="N23" s="141">
        <f t="shared" si="8"/>
        <v>0</v>
      </c>
      <c r="O23" s="151">
        <f t="shared" si="8"/>
        <v>0</v>
      </c>
      <c r="Q23" s="147" t="s">
        <v>113</v>
      </c>
      <c r="R23" s="141">
        <f t="shared" ref="R23:W23" si="9">R22*R$16</f>
        <v>16662.310252653584</v>
      </c>
      <c r="S23" s="141">
        <f t="shared" si="9"/>
        <v>643.61169871296704</v>
      </c>
      <c r="T23" s="141">
        <f t="shared" si="9"/>
        <v>0</v>
      </c>
      <c r="U23" s="141">
        <f t="shared" si="9"/>
        <v>628.4540828528626</v>
      </c>
      <c r="V23" s="141">
        <f t="shared" si="9"/>
        <v>0</v>
      </c>
      <c r="W23" s="151">
        <f t="shared" si="9"/>
        <v>0</v>
      </c>
    </row>
    <row r="24" spans="1:23">
      <c r="A24" s="147"/>
      <c r="B24" s="141"/>
      <c r="C24" s="141"/>
      <c r="D24" s="141"/>
      <c r="E24" s="141"/>
      <c r="F24" s="141"/>
      <c r="G24" s="151"/>
      <c r="I24" s="147"/>
      <c r="J24" s="141"/>
      <c r="K24" s="141"/>
      <c r="L24" s="141"/>
      <c r="M24" s="141"/>
      <c r="N24" s="141"/>
      <c r="O24" s="151"/>
      <c r="Q24" s="147"/>
      <c r="R24" s="141"/>
      <c r="S24" s="141"/>
      <c r="T24" s="141"/>
      <c r="U24" s="141"/>
      <c r="V24" s="141"/>
      <c r="W24" s="151"/>
    </row>
    <row r="25" spans="1:23">
      <c r="A25" s="147" t="s">
        <v>112</v>
      </c>
      <c r="B25" s="141">
        <f>B22/(1+B$18*(B$16-1))</f>
        <v>9.3463659754267989E-3</v>
      </c>
      <c r="C25" s="143">
        <f>C22/(1+B$18*(C$16-1))</f>
        <v>1.2192340848482176E-2</v>
      </c>
      <c r="D25" s="143">
        <f>D22/(1+B$18*(D$16-1))</f>
        <v>0</v>
      </c>
      <c r="E25" s="143">
        <f>E22/(1+B$18*(E$16-1))</f>
        <v>1.1560839307794276E-6</v>
      </c>
      <c r="F25" s="143">
        <f>F22/(1+B$18*(F$16-1))</f>
        <v>0</v>
      </c>
      <c r="G25" s="148">
        <f>G22/(1+B$18*(G$16-1))</f>
        <v>0</v>
      </c>
      <c r="I25" s="147" t="s">
        <v>112</v>
      </c>
      <c r="J25" s="141">
        <f>J22/(1+J$18*(J$16-1))</f>
        <v>0.34835853623057017</v>
      </c>
      <c r="K25" s="143">
        <f>K22/(1+J$18*(K$16-1))</f>
        <v>0.23045563021998344</v>
      </c>
      <c r="L25" s="143">
        <f>L22/(1+J$18*(L$16-1))</f>
        <v>0</v>
      </c>
      <c r="M25" s="143">
        <f>M22/(1+J$18*(M$16-1))</f>
        <v>1.340801621167606E-4</v>
      </c>
      <c r="N25" s="143">
        <f>N22/(1+J$18*(N$16-1))</f>
        <v>0</v>
      </c>
      <c r="O25" s="148">
        <f>O22/(1+J$18*(O$16-1))</f>
        <v>0</v>
      </c>
      <c r="Q25" s="147" t="s">
        <v>112</v>
      </c>
      <c r="R25" s="141">
        <f>R22/(1+R$18*(R$16-1))</f>
        <v>9.3250855581937362</v>
      </c>
      <c r="S25" s="143">
        <f>S22/(1+R$18*(S$16-1))</f>
        <v>2.3335666755698243</v>
      </c>
      <c r="T25" s="143">
        <f>T22/(1+R$18*(T$16-1))</f>
        <v>0</v>
      </c>
      <c r="U25" s="143">
        <f>U22/(1+R$18*(U$16-1))</f>
        <v>1.4230368355534741E-2</v>
      </c>
      <c r="V25" s="143">
        <f>V22/(1+R$18*(V$16-1))</f>
        <v>0</v>
      </c>
      <c r="W25" s="148">
        <f>W22/(1+R$18*(W$16-1))</f>
        <v>0</v>
      </c>
    </row>
    <row r="26" spans="1:23">
      <c r="A26" s="147" t="s">
        <v>113</v>
      </c>
      <c r="B26" s="141">
        <f t="shared" ref="B26:G26" si="10">B25*B$16</f>
        <v>43.445298219863552</v>
      </c>
      <c r="C26" s="141">
        <f t="shared" si="10"/>
        <v>14.447313446847014</v>
      </c>
      <c r="D26" s="141">
        <f t="shared" si="10"/>
        <v>0</v>
      </c>
      <c r="E26" s="141">
        <f t="shared" si="10"/>
        <v>5.7317780457116989E-2</v>
      </c>
      <c r="F26" s="141">
        <f t="shared" si="10"/>
        <v>0</v>
      </c>
      <c r="G26" s="151">
        <f t="shared" si="10"/>
        <v>0</v>
      </c>
      <c r="I26" s="147" t="s">
        <v>113</v>
      </c>
      <c r="J26" s="141">
        <f t="shared" ref="J26:O26" si="11">J25*J$16</f>
        <v>460.60267624212975</v>
      </c>
      <c r="K26" s="141">
        <f t="shared" si="11"/>
        <v>88.26475554897641</v>
      </c>
      <c r="L26" s="141">
        <f t="shared" si="11"/>
        <v>0</v>
      </c>
      <c r="M26" s="141">
        <f t="shared" si="11"/>
        <v>1.352584874018758</v>
      </c>
      <c r="N26" s="141">
        <f t="shared" si="11"/>
        <v>0</v>
      </c>
      <c r="O26" s="151">
        <f t="shared" si="11"/>
        <v>0</v>
      </c>
      <c r="Q26" s="147" t="s">
        <v>113</v>
      </c>
      <c r="R26" s="141">
        <f t="shared" ref="R26:W26" si="12">R25*R$16</f>
        <v>3507.1377593370289</v>
      </c>
      <c r="S26" s="141">
        <f t="shared" si="12"/>
        <v>288.8818217818889</v>
      </c>
      <c r="T26" s="141">
        <f t="shared" si="12"/>
        <v>0</v>
      </c>
      <c r="U26" s="141">
        <f t="shared" si="12"/>
        <v>29.208963231396293</v>
      </c>
      <c r="V26" s="141">
        <f t="shared" si="12"/>
        <v>0</v>
      </c>
      <c r="W26" s="151">
        <f t="shared" si="12"/>
        <v>0</v>
      </c>
    </row>
    <row r="27" spans="1:23">
      <c r="A27" s="147"/>
      <c r="G27" s="150"/>
      <c r="I27" s="147"/>
      <c r="O27" s="150"/>
      <c r="Q27" s="147"/>
      <c r="W27" s="150"/>
    </row>
    <row r="28" spans="1:23">
      <c r="A28" s="147" t="s">
        <v>112</v>
      </c>
      <c r="B28" s="141">
        <f>B25/(1+B$18*(B$16-1))</f>
        <v>1.9687491195262443E-4</v>
      </c>
      <c r="C28" s="143">
        <f>C25/(1+B$18*(C$16-1))</f>
        <v>9.4959628520813167E-4</v>
      </c>
      <c r="D28" s="143">
        <f>D25/(1+B$18*(D$16-1))</f>
        <v>0</v>
      </c>
      <c r="E28" s="143">
        <f>E25/(1+B$18*(E$16-1))</f>
        <v>2.3271427744169013E-9</v>
      </c>
      <c r="F28" s="143">
        <f>F25/(1+B$18*(F$16-1))</f>
        <v>0</v>
      </c>
      <c r="G28" s="148">
        <f>G25/(1+B$18*(G$16-1))</f>
        <v>0</v>
      </c>
      <c r="I28" s="147" t="s">
        <v>112</v>
      </c>
      <c r="J28" s="141">
        <f>J25/(1+J$18*(J$16-1))</f>
        <v>2.4511427774653521E-2</v>
      </c>
      <c r="K28" s="143">
        <f>K25/(1+J$18*(K$16-1))</f>
        <v>4.7812264162061691E-2</v>
      </c>
      <c r="L28" s="143">
        <f>L25/(1+J$18*(L$16-1))</f>
        <v>0</v>
      </c>
      <c r="M28" s="143">
        <f>M25/(1+J$18*(M$16-1))</f>
        <v>1.3162041157356233E-6</v>
      </c>
      <c r="N28" s="143">
        <f>N25/(1+J$18*(N$16-1))</f>
        <v>0</v>
      </c>
      <c r="O28" s="148">
        <f>O25/(1+J$18*(O$16-1))</f>
        <v>0</v>
      </c>
      <c r="Q28" s="147" t="s">
        <v>112</v>
      </c>
      <c r="R28" s="141">
        <f>R25/(1+R$18*(R$16-1))</f>
        <v>1.9627746197428586</v>
      </c>
      <c r="S28" s="143">
        <f>S25/(1+R$18*(S$16-1))</f>
        <v>1.047409476608594</v>
      </c>
      <c r="T28" s="143">
        <f>T25/(1+R$18*(T$16-1))</f>
        <v>0</v>
      </c>
      <c r="U28" s="143">
        <f>U25/(1+R$18*(U$16-1))</f>
        <v>6.6139168700946288E-4</v>
      </c>
      <c r="V28" s="143">
        <f>V25/(1+R$18*(V$16-1))</f>
        <v>0</v>
      </c>
      <c r="W28" s="148">
        <f>W25/(1+R$18*(W$16-1))</f>
        <v>0</v>
      </c>
    </row>
    <row r="29" spans="1:23">
      <c r="A29" s="147" t="s">
        <v>113</v>
      </c>
      <c r="B29" s="141">
        <f t="shared" ref="B29:G29" si="13">B28*B$16</f>
        <v>0.91514598125937008</v>
      </c>
      <c r="C29" s="141">
        <f t="shared" si="13"/>
        <v>1.1252240526126125</v>
      </c>
      <c r="D29" s="143">
        <f t="shared" si="13"/>
        <v>0</v>
      </c>
      <c r="E29" s="143">
        <f t="shared" si="13"/>
        <v>1.1537800594327547E-4</v>
      </c>
      <c r="F29" s="143">
        <f t="shared" si="13"/>
        <v>0</v>
      </c>
      <c r="G29" s="151">
        <f t="shared" si="13"/>
        <v>0</v>
      </c>
      <c r="I29" s="147" t="s">
        <v>113</v>
      </c>
      <c r="J29" s="141">
        <f t="shared" ref="J29:O29" si="14">J28*J$16</f>
        <v>32.409222273366318</v>
      </c>
      <c r="K29" s="141">
        <f t="shared" si="14"/>
        <v>18.312148869954235</v>
      </c>
      <c r="L29" s="143">
        <f t="shared" si="14"/>
        <v>0</v>
      </c>
      <c r="M29" s="143">
        <f t="shared" si="14"/>
        <v>1.3277712004218232E-2</v>
      </c>
      <c r="N29" s="143">
        <f t="shared" si="14"/>
        <v>0</v>
      </c>
      <c r="O29" s="151">
        <f t="shared" si="14"/>
        <v>0</v>
      </c>
      <c r="Q29" s="147" t="s">
        <v>113</v>
      </c>
      <c r="R29" s="141">
        <f t="shared" ref="R29:W29" si="15">R28*R$16</f>
        <v>738.19386846483064</v>
      </c>
      <c r="S29" s="141">
        <f t="shared" si="15"/>
        <v>129.66312937273162</v>
      </c>
      <c r="T29" s="143">
        <f t="shared" si="15"/>
        <v>0</v>
      </c>
      <c r="U29" s="143">
        <f t="shared" si="15"/>
        <v>1.3575590585395372</v>
      </c>
      <c r="V29" s="143">
        <f t="shared" si="15"/>
        <v>0</v>
      </c>
      <c r="W29" s="151">
        <f t="shared" si="15"/>
        <v>0</v>
      </c>
    </row>
    <row r="30" spans="1:23">
      <c r="A30" s="147"/>
      <c r="B30" s="141"/>
      <c r="C30" s="141"/>
      <c r="D30" s="143"/>
      <c r="E30" s="143"/>
      <c r="F30" s="143"/>
      <c r="G30" s="151"/>
      <c r="I30" s="147"/>
      <c r="J30" s="141"/>
      <c r="K30" s="141"/>
      <c r="L30" s="143"/>
      <c r="M30" s="143"/>
      <c r="N30" s="143"/>
      <c r="O30" s="151"/>
      <c r="Q30" s="147"/>
      <c r="R30" s="141"/>
      <c r="S30" s="141"/>
      <c r="T30" s="143"/>
      <c r="U30" s="143"/>
      <c r="V30" s="143"/>
      <c r="W30" s="151"/>
    </row>
    <row r="31" spans="1:23">
      <c r="A31" s="147" t="s">
        <v>112</v>
      </c>
      <c r="B31" s="141">
        <f>B28/(1+B$18*(B$16-1))</f>
        <v>4.1470375821211812E-6</v>
      </c>
      <c r="C31" s="143">
        <f>C28/(1+B$18*(C$16-1))</f>
        <v>7.3958980977253448E-5</v>
      </c>
      <c r="D31" s="143">
        <f>D28/(1+B$18*(D$16-1))</f>
        <v>0</v>
      </c>
      <c r="E31" s="143">
        <f>E28/(1+B$18*(E$16-1))</f>
        <v>4.6844293466388894E-12</v>
      </c>
      <c r="F31" s="143">
        <f>F28/(1+B$18*(F$16-1))</f>
        <v>0</v>
      </c>
      <c r="G31" s="148">
        <f>G28/(1+B$18*(G$16-1))</f>
        <v>0</v>
      </c>
      <c r="I31" s="147" t="s">
        <v>112</v>
      </c>
      <c r="J31" s="141">
        <f>J28/(1+J$18*(J$16-1))</f>
        <v>1.724688873862974E-3</v>
      </c>
      <c r="K31" s="143">
        <f>K28/(1+J$18*(K$16-1))</f>
        <v>9.9195346285123748E-3</v>
      </c>
      <c r="L31" s="143">
        <f>L28/(1+J$18*(L$16-1))</f>
        <v>0</v>
      </c>
      <c r="M31" s="143">
        <f>M28/(1+J$18*(M$16-1))</f>
        <v>1.2920578607078203E-8</v>
      </c>
      <c r="N31" s="143">
        <f>N28/(1+J$18*(N$16-1))</f>
        <v>0</v>
      </c>
      <c r="O31" s="148">
        <f>O28/(1+J$18*(O$16-1))</f>
        <v>0</v>
      </c>
      <c r="Q31" s="147" t="s">
        <v>112</v>
      </c>
      <c r="R31" s="141">
        <f>R28/(1+R$18*(R$16-1))</f>
        <v>0.41313124516285371</v>
      </c>
      <c r="S31" s="143">
        <f>S28/(1+R$18*(S$16-1))</f>
        <v>0.47012439077687823</v>
      </c>
      <c r="T31" s="143">
        <f>T28/(1+R$18*(T$16-1))</f>
        <v>0</v>
      </c>
      <c r="U31" s="143">
        <f>U28/(1+R$18*(U$16-1))</f>
        <v>3.073982013087429E-5</v>
      </c>
      <c r="V31" s="143">
        <f>V28/(1+R$18*(V$16-1))</f>
        <v>0</v>
      </c>
      <c r="W31" s="148">
        <f>W28/(1+R$18*(W$16-1))</f>
        <v>0</v>
      </c>
    </row>
    <row r="32" spans="1:23">
      <c r="A32" s="147" t="s">
        <v>113</v>
      </c>
      <c r="B32" s="141">
        <f t="shared" ref="B32:G32" si="16">B31*B$16</f>
        <v>1.927693447463245E-2</v>
      </c>
      <c r="C32" s="141">
        <f t="shared" si="16"/>
        <v>8.7637689404065078E-2</v>
      </c>
      <c r="D32" s="143">
        <f t="shared" si="16"/>
        <v>0</v>
      </c>
      <c r="E32" s="143">
        <f t="shared" si="16"/>
        <v>2.3225051893637285E-7</v>
      </c>
      <c r="F32" s="143">
        <f t="shared" si="16"/>
        <v>0</v>
      </c>
      <c r="G32" s="151">
        <f t="shared" si="16"/>
        <v>0</v>
      </c>
      <c r="I32" s="147" t="s">
        <v>113</v>
      </c>
      <c r="J32" s="141">
        <f t="shared" ref="J32:O32" si="17">J31*J$16</f>
        <v>2.2803985789529175</v>
      </c>
      <c r="K32" s="141">
        <f t="shared" si="17"/>
        <v>3.7991924879834436</v>
      </c>
      <c r="L32" s="143">
        <f t="shared" si="17"/>
        <v>0</v>
      </c>
      <c r="M32" s="143">
        <f t="shared" si="17"/>
        <v>1.3034127429146161E-4</v>
      </c>
      <c r="N32" s="143">
        <f t="shared" si="17"/>
        <v>0</v>
      </c>
      <c r="O32" s="151">
        <f t="shared" si="17"/>
        <v>0</v>
      </c>
      <c r="Q32" s="147" t="s">
        <v>113</v>
      </c>
      <c r="R32" s="141">
        <f t="shared" ref="R32:W32" si="18">R31*R$16</f>
        <v>155.37746870316332</v>
      </c>
      <c r="S32" s="141">
        <f t="shared" si="18"/>
        <v>58.198632973948442</v>
      </c>
      <c r="T32" s="143">
        <f t="shared" si="18"/>
        <v>0</v>
      </c>
      <c r="U32" s="143">
        <f t="shared" si="18"/>
        <v>6.309592650798973E-2</v>
      </c>
      <c r="V32" s="143">
        <f t="shared" si="18"/>
        <v>0</v>
      </c>
      <c r="W32" s="151">
        <f t="shared" si="18"/>
        <v>0</v>
      </c>
    </row>
    <row r="33" spans="1:23">
      <c r="A33" s="147"/>
      <c r="B33" s="141"/>
      <c r="C33" s="141"/>
      <c r="D33" s="143"/>
      <c r="E33" s="143"/>
      <c r="F33" s="143"/>
      <c r="G33" s="151"/>
      <c r="I33" s="147"/>
      <c r="J33" s="141"/>
      <c r="K33" s="141"/>
      <c r="L33" s="143"/>
      <c r="M33" s="143"/>
      <c r="N33" s="143"/>
      <c r="O33" s="151"/>
      <c r="Q33" s="147"/>
      <c r="R33" s="141"/>
      <c r="S33" s="141"/>
      <c r="T33" s="143"/>
      <c r="U33" s="143"/>
      <c r="V33" s="143"/>
      <c r="W33" s="151"/>
    </row>
    <row r="34" spans="1:23">
      <c r="A34" s="147" t="s">
        <v>112</v>
      </c>
      <c r="B34" s="141">
        <f>B31/(1+B$18*(B$16-1))</f>
        <v>8.7354556946615747E-8</v>
      </c>
      <c r="C34" s="143">
        <f>C31/(1+B$18*(C$16-1))</f>
        <v>5.7602698666779663E-6</v>
      </c>
      <c r="D34" s="143">
        <f>D31/(1+B$18*(D$16-1))</f>
        <v>0</v>
      </c>
      <c r="E34" s="143">
        <f>E31/(1+B$18*(E$16-1))</f>
        <v>9.4295367456128704E-15</v>
      </c>
      <c r="F34" s="143">
        <f>F31/(1+B$18*(F$16-1))</f>
        <v>0</v>
      </c>
      <c r="G34" s="148">
        <f>G31/(1+B$18*(G$16-1))</f>
        <v>0</v>
      </c>
      <c r="I34" s="147" t="s">
        <v>112</v>
      </c>
      <c r="J34" s="141">
        <f>J31/(1+J$18*(J$16-1))</f>
        <v>1.2135366976470549E-4</v>
      </c>
      <c r="K34" s="143">
        <f>K31/(1+J$18*(K$16-1))</f>
        <v>2.0579901197051616E-3</v>
      </c>
      <c r="L34" s="143">
        <f>L31/(1+J$18*(L$16-1))</f>
        <v>0</v>
      </c>
      <c r="M34" s="143">
        <f>M31/(1+J$18*(M$16-1))</f>
        <v>1.2683545777273595E-10</v>
      </c>
      <c r="N34" s="143">
        <f>N31/(1+J$18*(N$16-1))</f>
        <v>0</v>
      </c>
      <c r="O34" s="148">
        <f>O31/(1+J$18*(O$16-1))</f>
        <v>0</v>
      </c>
      <c r="Q34" s="147" t="s">
        <v>112</v>
      </c>
      <c r="R34" s="141">
        <f>R31/(1+R$18*(R$16-1))</f>
        <v>8.6957220667633381E-2</v>
      </c>
      <c r="S34" s="143">
        <f>S31/(1+R$18*(S$16-1))</f>
        <v>0.21101293022377596</v>
      </c>
      <c r="T34" s="143">
        <f>T31/(1+R$18*(T$16-1))</f>
        <v>0</v>
      </c>
      <c r="U34" s="143">
        <f>U31/(1+R$18*(U$16-1))</f>
        <v>1.4287094323049521E-6</v>
      </c>
      <c r="V34" s="143">
        <f>V31/(1+R$18*(V$16-1))</f>
        <v>0</v>
      </c>
      <c r="W34" s="148">
        <f>W31/(1+R$18*(W$16-1))</f>
        <v>0</v>
      </c>
    </row>
    <row r="35" spans="1:23">
      <c r="A35" s="147" t="s">
        <v>113</v>
      </c>
      <c r="B35" s="141">
        <f t="shared" ref="B35:G35" si="19">B34*B$16</f>
        <v>4.0605565707440319E-4</v>
      </c>
      <c r="C35" s="141">
        <f t="shared" si="19"/>
        <v>6.8256313809242257E-3</v>
      </c>
      <c r="D35" s="143">
        <f t="shared" si="19"/>
        <v>0</v>
      </c>
      <c r="E35" s="143">
        <f t="shared" si="19"/>
        <v>4.6750941052607325E-10</v>
      </c>
      <c r="F35" s="143">
        <f t="shared" si="19"/>
        <v>0</v>
      </c>
      <c r="G35" s="151">
        <f t="shared" si="19"/>
        <v>0</v>
      </c>
      <c r="I35" s="147" t="s">
        <v>113</v>
      </c>
      <c r="J35" s="141">
        <f t="shared" ref="J35:O35" si="20">J34*J$16</f>
        <v>0.16045487407959155</v>
      </c>
      <c r="K35" s="141">
        <f t="shared" si="20"/>
        <v>0.78821244100042642</v>
      </c>
      <c r="L35" s="143">
        <f t="shared" si="20"/>
        <v>0</v>
      </c>
      <c r="M35" s="143">
        <f t="shared" si="20"/>
        <v>1.2795011503883194E-6</v>
      </c>
      <c r="N35" s="143">
        <f t="shared" si="20"/>
        <v>0</v>
      </c>
      <c r="O35" s="151">
        <f t="shared" si="20"/>
        <v>0</v>
      </c>
      <c r="Q35" s="147" t="s">
        <v>113</v>
      </c>
      <c r="R35" s="141">
        <f t="shared" ref="R35:W35" si="21">R34*R$16</f>
        <v>32.704359670189667</v>
      </c>
      <c r="S35" s="141">
        <f t="shared" si="21"/>
        <v>26.122158985534004</v>
      </c>
      <c r="T35" s="143">
        <f t="shared" si="21"/>
        <v>0</v>
      </c>
      <c r="U35" s="143">
        <f t="shared" si="21"/>
        <v>2.9325397792892387E-3</v>
      </c>
      <c r="V35" s="143">
        <f t="shared" si="21"/>
        <v>0</v>
      </c>
      <c r="W35" s="151">
        <f t="shared" si="21"/>
        <v>0</v>
      </c>
    </row>
    <row r="36" spans="1:23">
      <c r="A36" s="147"/>
      <c r="B36" s="141"/>
      <c r="C36" s="141"/>
      <c r="D36" s="143"/>
      <c r="E36" s="143"/>
      <c r="F36" s="143"/>
      <c r="G36" s="151"/>
      <c r="I36" s="147"/>
      <c r="J36" s="141"/>
      <c r="K36" s="141"/>
      <c r="L36" s="143"/>
      <c r="M36" s="143"/>
      <c r="N36" s="143"/>
      <c r="O36" s="151"/>
      <c r="Q36" s="147"/>
      <c r="R36" s="141"/>
      <c r="S36" s="141"/>
      <c r="T36" s="143"/>
      <c r="U36" s="143"/>
      <c r="V36" s="143"/>
      <c r="W36" s="151"/>
    </row>
    <row r="37" spans="1:23">
      <c r="A37" s="147" t="s">
        <v>112</v>
      </c>
      <c r="B37" s="141">
        <f>B34/(1+B$18*(B$16-1))</f>
        <v>1.8400649784891561E-9</v>
      </c>
      <c r="C37" s="143">
        <f>C34/(1+B$18*(C$16-1))</f>
        <v>4.4863664288672573E-7</v>
      </c>
      <c r="D37" s="143">
        <f>D34/(1+B$18*(D$16-1))</f>
        <v>0</v>
      </c>
      <c r="E37" s="143">
        <f>E34/(1+B$18*(E$16-1))</f>
        <v>1.8981215566984977E-17</v>
      </c>
      <c r="F37" s="143">
        <f>F34/(1+B$18*(F$16-1))</f>
        <v>0</v>
      </c>
      <c r="G37" s="148">
        <f>G34/(1+B$18*(G$16-1))</f>
        <v>0</v>
      </c>
      <c r="I37" s="147" t="s">
        <v>112</v>
      </c>
      <c r="J37" s="141">
        <f>J34/(1+J$18*(J$16-1))</f>
        <v>8.5387651004996439E-6</v>
      </c>
      <c r="K37" s="143">
        <f>K34/(1+J$18*(K$16-1))</f>
        <v>4.2696794672506059E-4</v>
      </c>
      <c r="L37" s="143">
        <f>L34/(1+J$18*(L$16-1))</f>
        <v>0</v>
      </c>
      <c r="M37" s="143">
        <f>M34/(1+J$18*(M$16-1))</f>
        <v>1.245086140306945E-12</v>
      </c>
      <c r="N37" s="143">
        <f>N34/(1+J$18*(N$16-1))</f>
        <v>0</v>
      </c>
      <c r="O37" s="148">
        <f>O34/(1+J$18*(O$16-1))</f>
        <v>0</v>
      </c>
      <c r="Q37" s="147" t="s">
        <v>112</v>
      </c>
      <c r="R37" s="141">
        <f>R34/(1+R$18*(R$16-1))</f>
        <v>1.8303041260553331E-2</v>
      </c>
      <c r="S37" s="143">
        <f>S34/(1+R$18*(S$16-1))</f>
        <v>9.4712075346791491E-2</v>
      </c>
      <c r="T37" s="143">
        <f>T34/(1+R$18*(T$16-1))</f>
        <v>0</v>
      </c>
      <c r="U37" s="143">
        <f>U34/(1+R$18*(U$16-1))</f>
        <v>6.6402816713523928E-8</v>
      </c>
      <c r="V37" s="143">
        <f>V34/(1+R$18*(V$16-1))</f>
        <v>0</v>
      </c>
      <c r="W37" s="148">
        <f>W34/(1+R$18*(W$16-1))</f>
        <v>0</v>
      </c>
    </row>
    <row r="38" spans="1:23">
      <c r="A38" s="147" t="s">
        <v>113</v>
      </c>
      <c r="B38" s="141">
        <f t="shared" ref="B38:G38" si="22">B37*B$16</f>
        <v>8.5532892617911481E-6</v>
      </c>
      <c r="C38" s="141">
        <f t="shared" si="22"/>
        <v>5.3161195902201076E-4</v>
      </c>
      <c r="D38" s="143">
        <f t="shared" si="22"/>
        <v>0</v>
      </c>
      <c r="E38" s="143">
        <f t="shared" si="22"/>
        <v>9.4107453422015551E-13</v>
      </c>
      <c r="F38" s="143">
        <f t="shared" si="22"/>
        <v>0</v>
      </c>
      <c r="G38" s="151">
        <f t="shared" si="22"/>
        <v>0</v>
      </c>
      <c r="I38" s="147" t="s">
        <v>113</v>
      </c>
      <c r="J38" s="141">
        <f t="shared" ref="J38:O38" si="23">J37*J$16</f>
        <v>1.1290029231521084E-2</v>
      </c>
      <c r="K38" s="141">
        <f t="shared" si="23"/>
        <v>0.16352918524473514</v>
      </c>
      <c r="L38" s="143">
        <f t="shared" si="23"/>
        <v>0</v>
      </c>
      <c r="M38" s="143">
        <f t="shared" si="23"/>
        <v>1.2560282249383207E-8</v>
      </c>
      <c r="N38" s="143">
        <f t="shared" si="23"/>
        <v>0</v>
      </c>
      <c r="O38" s="151">
        <f t="shared" si="23"/>
        <v>0</v>
      </c>
      <c r="Q38" s="147" t="s">
        <v>113</v>
      </c>
      <c r="R38" s="141">
        <f t="shared" ref="R38:W38" si="24">R37*R$16</f>
        <v>6.8837209819685574</v>
      </c>
      <c r="S38" s="141">
        <f t="shared" si="24"/>
        <v>11.724797563045238</v>
      </c>
      <c r="T38" s="143">
        <f t="shared" si="24"/>
        <v>0</v>
      </c>
      <c r="U38" s="143">
        <f t="shared" si="24"/>
        <v>1.3629706437585636E-4</v>
      </c>
      <c r="V38" s="143">
        <f t="shared" si="24"/>
        <v>0</v>
      </c>
      <c r="W38" s="151">
        <f t="shared" si="24"/>
        <v>0</v>
      </c>
    </row>
    <row r="39" spans="1:23">
      <c r="A39" s="147"/>
      <c r="B39" s="141"/>
      <c r="C39" s="141"/>
      <c r="D39" s="143"/>
      <c r="E39" s="143"/>
      <c r="F39" s="143"/>
      <c r="G39" s="151"/>
      <c r="I39" s="147"/>
      <c r="J39" s="141"/>
      <c r="K39" s="141"/>
      <c r="L39" s="143"/>
      <c r="M39" s="143"/>
      <c r="N39" s="143"/>
      <c r="O39" s="151"/>
      <c r="Q39" s="147"/>
      <c r="R39" s="141"/>
      <c r="S39" s="141"/>
      <c r="T39" s="143"/>
      <c r="U39" s="143"/>
      <c r="V39" s="143"/>
      <c r="W39" s="151"/>
    </row>
    <row r="40" spans="1:23">
      <c r="A40" s="147" t="s">
        <v>112</v>
      </c>
      <c r="B40" s="141">
        <f>B37/(1+B$18*(B$16-1))</f>
        <v>3.8759730956353631E-11</v>
      </c>
      <c r="C40" s="143">
        <f>C37/(1+B$18*(C$16-1))</f>
        <v>3.4941911056113363E-8</v>
      </c>
      <c r="D40" s="143">
        <f>D37/(1+B$18*(D$16-1))</f>
        <v>0</v>
      </c>
      <c r="E40" s="143">
        <f>E37/(1+B$18*(E$16-1))</f>
        <v>3.8208297408457273E-20</v>
      </c>
      <c r="F40" s="143">
        <f>F37/(1+B$18*(F$16-1))</f>
        <v>0</v>
      </c>
      <c r="G40" s="148">
        <f>G37/(1+B$18*(G$16-1))</f>
        <v>0</v>
      </c>
      <c r="I40" s="147" t="s">
        <v>112</v>
      </c>
      <c r="J40" s="141">
        <f>J37/(1+J$18*(J$16-1))</f>
        <v>6.0081009155205616E-7</v>
      </c>
      <c r="K40" s="143">
        <f>K37/(1+J$18*(K$16-1))</f>
        <v>8.8582362852515368E-5</v>
      </c>
      <c r="L40" s="143">
        <f>L37/(1+J$18*(L$16-1))</f>
        <v>0</v>
      </c>
      <c r="M40" s="143">
        <f>M37/(1+J$18*(M$16-1))</f>
        <v>1.2222445710427191E-14</v>
      </c>
      <c r="N40" s="143">
        <f>N37/(1+J$18*(N$16-1))</f>
        <v>0</v>
      </c>
      <c r="O40" s="148">
        <f>O37/(1+J$18*(O$16-1))</f>
        <v>0</v>
      </c>
      <c r="Q40" s="147" t="s">
        <v>112</v>
      </c>
      <c r="R40" s="141">
        <f>R37/(1+R$18*(R$16-1))</f>
        <v>3.8524842079067229E-3</v>
      </c>
      <c r="S40" s="143">
        <f>S37/(1+R$18*(S$16-1))</f>
        <v>4.2511030992192576E-2</v>
      </c>
      <c r="T40" s="143">
        <f>T37/(1+R$18*(T$16-1))</f>
        <v>0</v>
      </c>
      <c r="U40" s="143">
        <f>U37/(1+R$18*(U$16-1))</f>
        <v>3.0862357088076522E-9</v>
      </c>
      <c r="V40" s="143">
        <f>V37/(1+R$18*(V$16-1))</f>
        <v>0</v>
      </c>
      <c r="W40" s="148">
        <f>W37/(1+R$18*(W$16-1))</f>
        <v>0</v>
      </c>
    </row>
    <row r="41" spans="1:23">
      <c r="A41" s="147" t="s">
        <v>113</v>
      </c>
      <c r="B41" s="141">
        <f t="shared" ref="B41:G41" si="25">B40*B$16</f>
        <v>1.8016928448423661E-7</v>
      </c>
      <c r="C41" s="141">
        <f t="shared" si="25"/>
        <v>4.1404415094117348E-5</v>
      </c>
      <c r="D41" s="143">
        <f t="shared" si="25"/>
        <v>0</v>
      </c>
      <c r="E41" s="143">
        <f t="shared" si="25"/>
        <v>1.8943389352550605E-15</v>
      </c>
      <c r="F41" s="143">
        <f t="shared" si="25"/>
        <v>0</v>
      </c>
      <c r="G41" s="151">
        <f t="shared" si="25"/>
        <v>0</v>
      </c>
      <c r="I41" s="147" t="s">
        <v>113</v>
      </c>
      <c r="J41" s="141">
        <f t="shared" ref="J41:O41" si="26">J40*J$16</f>
        <v>7.9439631098631076E-4</v>
      </c>
      <c r="K41" s="141">
        <f t="shared" si="26"/>
        <v>3.3927140750107034E-2</v>
      </c>
      <c r="L41" s="143">
        <f t="shared" si="26"/>
        <v>0</v>
      </c>
      <c r="M41" s="143">
        <f t="shared" si="26"/>
        <v>1.2329859190536221E-10</v>
      </c>
      <c r="N41" s="143">
        <f t="shared" si="26"/>
        <v>0</v>
      </c>
      <c r="O41" s="151">
        <f t="shared" si="26"/>
        <v>0</v>
      </c>
      <c r="Q41" s="147" t="s">
        <v>113</v>
      </c>
      <c r="R41" s="141">
        <f t="shared" ref="R41:W41" si="27">R40*R$16</f>
        <v>1.4489081894725675</v>
      </c>
      <c r="S41" s="141">
        <f t="shared" si="27"/>
        <v>5.2626154664520843</v>
      </c>
      <c r="T41" s="143">
        <f t="shared" si="27"/>
        <v>0</v>
      </c>
      <c r="U41" s="143">
        <f t="shared" si="27"/>
        <v>6.3347443361804345E-6</v>
      </c>
      <c r="V41" s="143">
        <f t="shared" si="27"/>
        <v>0</v>
      </c>
      <c r="W41" s="151">
        <f t="shared" si="27"/>
        <v>0</v>
      </c>
    </row>
    <row r="42" spans="1:23">
      <c r="A42" s="147"/>
      <c r="G42" s="150"/>
      <c r="I42" s="147"/>
      <c r="O42" s="150"/>
      <c r="Q42" s="147"/>
      <c r="W42" s="150"/>
    </row>
    <row r="43" spans="1:23">
      <c r="A43" s="147" t="s">
        <v>114</v>
      </c>
      <c r="G43" s="150"/>
      <c r="I43" s="147" t="s">
        <v>114</v>
      </c>
      <c r="O43" s="150"/>
      <c r="Q43" s="147" t="s">
        <v>114</v>
      </c>
      <c r="W43" s="150"/>
    </row>
    <row r="44" spans="1:23">
      <c r="A44" s="147" t="s">
        <v>119</v>
      </c>
      <c r="B44" s="135" t="s">
        <v>19</v>
      </c>
      <c r="C44" s="135" t="s">
        <v>20</v>
      </c>
      <c r="D44" s="135" t="s">
        <v>21</v>
      </c>
      <c r="E44" s="135" t="s">
        <v>22</v>
      </c>
      <c r="F44" s="135" t="s">
        <v>23</v>
      </c>
      <c r="G44" s="152" t="s">
        <v>24</v>
      </c>
      <c r="I44" s="147" t="s">
        <v>119</v>
      </c>
      <c r="J44" s="135" t="s">
        <v>19</v>
      </c>
      <c r="K44" s="135" t="s">
        <v>20</v>
      </c>
      <c r="L44" s="135" t="s">
        <v>21</v>
      </c>
      <c r="M44" s="135" t="s">
        <v>22</v>
      </c>
      <c r="N44" s="135" t="s">
        <v>23</v>
      </c>
      <c r="O44" s="152" t="s">
        <v>24</v>
      </c>
      <c r="P44" s="147"/>
      <c r="Q44" s="147" t="s">
        <v>119</v>
      </c>
      <c r="R44" s="135" t="s">
        <v>19</v>
      </c>
      <c r="S44" s="135" t="s">
        <v>20</v>
      </c>
      <c r="T44" s="135" t="s">
        <v>21</v>
      </c>
      <c r="U44" s="135" t="s">
        <v>22</v>
      </c>
      <c r="V44" s="135" t="s">
        <v>23</v>
      </c>
      <c r="W44" s="152" t="s">
        <v>24</v>
      </c>
    </row>
    <row r="45" spans="1:23">
      <c r="A45" s="147">
        <v>1</v>
      </c>
      <c r="B45" s="141">
        <f t="shared" ref="B45:G45" si="28">B20</f>
        <v>97914.631597504966</v>
      </c>
      <c r="C45" s="141">
        <f t="shared" si="28"/>
        <v>2381.6792438364405</v>
      </c>
      <c r="D45" s="141">
        <f t="shared" si="28"/>
        <v>0</v>
      </c>
      <c r="E45" s="141">
        <f t="shared" si="28"/>
        <v>14145.621596782339</v>
      </c>
      <c r="F45" s="141">
        <f t="shared" si="28"/>
        <v>0</v>
      </c>
      <c r="G45" s="151">
        <f t="shared" si="28"/>
        <v>0</v>
      </c>
      <c r="I45" s="147">
        <v>1</v>
      </c>
      <c r="J45" s="141">
        <f t="shared" ref="J45:O45" si="29">J20</f>
        <v>93034.098214017722</v>
      </c>
      <c r="K45" s="141">
        <f t="shared" si="29"/>
        <v>2050.6113066821035</v>
      </c>
      <c r="L45" s="141">
        <f t="shared" si="29"/>
        <v>0</v>
      </c>
      <c r="M45" s="141">
        <f t="shared" si="29"/>
        <v>14036.120571702784</v>
      </c>
      <c r="N45" s="141">
        <f t="shared" si="29"/>
        <v>0</v>
      </c>
      <c r="O45" s="151">
        <f t="shared" si="29"/>
        <v>0</v>
      </c>
      <c r="P45" s="147"/>
      <c r="Q45" s="147">
        <v>1</v>
      </c>
      <c r="R45" s="141">
        <f t="shared" ref="R45:W45" si="30">R20</f>
        <v>79162.155012743751</v>
      </c>
      <c r="S45" s="141">
        <f t="shared" si="30"/>
        <v>1433.9289892492677</v>
      </c>
      <c r="T45" s="141">
        <f t="shared" si="30"/>
        <v>0</v>
      </c>
      <c r="U45" s="141">
        <f t="shared" si="30"/>
        <v>13521.68959663388</v>
      </c>
      <c r="V45" s="141">
        <f t="shared" si="30"/>
        <v>0</v>
      </c>
      <c r="W45" s="151">
        <f t="shared" si="30"/>
        <v>0</v>
      </c>
    </row>
    <row r="46" spans="1:23">
      <c r="A46" s="147">
        <v>2</v>
      </c>
      <c r="B46" s="141">
        <f t="shared" ref="B46:G46" si="31">B23</f>
        <v>2062.5058472260575</v>
      </c>
      <c r="C46" s="141">
        <f t="shared" si="31"/>
        <v>185.4962710287046</v>
      </c>
      <c r="D46" s="142">
        <f t="shared" si="31"/>
        <v>0</v>
      </c>
      <c r="E46" s="142">
        <f t="shared" si="31"/>
        <v>28.474473359727355</v>
      </c>
      <c r="F46" s="142">
        <f t="shared" si="31"/>
        <v>0</v>
      </c>
      <c r="G46" s="153">
        <f t="shared" si="31"/>
        <v>0</v>
      </c>
      <c r="I46" s="147">
        <v>2</v>
      </c>
      <c r="J46" s="141">
        <f t="shared" ref="J46:O46" si="32">J23</f>
        <v>6546.125160669455</v>
      </c>
      <c r="K46" s="141">
        <f t="shared" si="32"/>
        <v>425.43707608794864</v>
      </c>
      <c r="L46" s="142">
        <f t="shared" si="32"/>
        <v>0</v>
      </c>
      <c r="M46" s="142">
        <f t="shared" si="32"/>
        <v>137.78622708815533</v>
      </c>
      <c r="N46" s="142">
        <f t="shared" si="32"/>
        <v>0</v>
      </c>
      <c r="O46" s="153">
        <f t="shared" si="32"/>
        <v>0</v>
      </c>
      <c r="P46" s="147"/>
      <c r="Q46" s="147">
        <v>2</v>
      </c>
      <c r="R46" s="141">
        <f t="shared" ref="R46:W46" si="33">R23</f>
        <v>16662.310252653584</v>
      </c>
      <c r="S46" s="141">
        <f t="shared" si="33"/>
        <v>643.61169871296704</v>
      </c>
      <c r="T46" s="142">
        <f t="shared" si="33"/>
        <v>0</v>
      </c>
      <c r="U46" s="142">
        <f t="shared" si="33"/>
        <v>628.4540828528626</v>
      </c>
      <c r="V46" s="142">
        <f t="shared" si="33"/>
        <v>0</v>
      </c>
      <c r="W46" s="153">
        <f t="shared" si="33"/>
        <v>0</v>
      </c>
    </row>
    <row r="47" spans="1:23">
      <c r="A47" s="147">
        <v>3</v>
      </c>
      <c r="B47" s="141">
        <f t="shared" ref="B47:G47" si="34">B26</f>
        <v>43.445298219863552</v>
      </c>
      <c r="C47" s="141">
        <f t="shared" si="34"/>
        <v>14.447313446847014</v>
      </c>
      <c r="D47" s="143">
        <f t="shared" si="34"/>
        <v>0</v>
      </c>
      <c r="E47" s="143">
        <f t="shared" si="34"/>
        <v>5.7317780457116989E-2</v>
      </c>
      <c r="F47" s="143">
        <f t="shared" si="34"/>
        <v>0</v>
      </c>
      <c r="G47" s="148">
        <f t="shared" si="34"/>
        <v>0</v>
      </c>
      <c r="I47" s="147">
        <v>3</v>
      </c>
      <c r="J47" s="141">
        <f t="shared" ref="J47:O47" si="35">J26</f>
        <v>460.60267624212975</v>
      </c>
      <c r="K47" s="141">
        <f t="shared" si="35"/>
        <v>88.26475554897641</v>
      </c>
      <c r="L47" s="143">
        <f t="shared" si="35"/>
        <v>0</v>
      </c>
      <c r="M47" s="143">
        <f t="shared" si="35"/>
        <v>1.352584874018758</v>
      </c>
      <c r="N47" s="143">
        <f t="shared" si="35"/>
        <v>0</v>
      </c>
      <c r="O47" s="148">
        <f t="shared" si="35"/>
        <v>0</v>
      </c>
      <c r="P47" s="147"/>
      <c r="Q47" s="147">
        <v>3</v>
      </c>
      <c r="R47" s="141">
        <f t="shared" ref="R47:W47" si="36">R26</f>
        <v>3507.1377593370289</v>
      </c>
      <c r="S47" s="141">
        <f t="shared" si="36"/>
        <v>288.8818217818889</v>
      </c>
      <c r="T47" s="143">
        <f t="shared" si="36"/>
        <v>0</v>
      </c>
      <c r="U47" s="143">
        <f t="shared" si="36"/>
        <v>29.208963231396293</v>
      </c>
      <c r="V47" s="143">
        <f t="shared" si="36"/>
        <v>0</v>
      </c>
      <c r="W47" s="148">
        <f t="shared" si="36"/>
        <v>0</v>
      </c>
    </row>
    <row r="48" spans="1:23">
      <c r="A48" s="147">
        <v>4</v>
      </c>
      <c r="B48" s="141">
        <f t="shared" ref="B48:G48" si="37">B29</f>
        <v>0.91514598125937008</v>
      </c>
      <c r="C48" s="141">
        <f t="shared" si="37"/>
        <v>1.1252240526126125</v>
      </c>
      <c r="D48" s="143">
        <f t="shared" si="37"/>
        <v>0</v>
      </c>
      <c r="E48" s="143">
        <f t="shared" si="37"/>
        <v>1.1537800594327547E-4</v>
      </c>
      <c r="F48" s="143">
        <f t="shared" si="37"/>
        <v>0</v>
      </c>
      <c r="G48" s="148">
        <f t="shared" si="37"/>
        <v>0</v>
      </c>
      <c r="I48" s="147">
        <v>4</v>
      </c>
      <c r="J48" s="141">
        <f t="shared" ref="J48:O48" si="38">J29</f>
        <v>32.409222273366318</v>
      </c>
      <c r="K48" s="141">
        <f t="shared" si="38"/>
        <v>18.312148869954235</v>
      </c>
      <c r="L48" s="143">
        <f t="shared" si="38"/>
        <v>0</v>
      </c>
      <c r="M48" s="143">
        <f t="shared" si="38"/>
        <v>1.3277712004218232E-2</v>
      </c>
      <c r="N48" s="143">
        <f t="shared" si="38"/>
        <v>0</v>
      </c>
      <c r="O48" s="148">
        <f t="shared" si="38"/>
        <v>0</v>
      </c>
      <c r="P48" s="147"/>
      <c r="Q48" s="147">
        <v>4</v>
      </c>
      <c r="R48" s="141">
        <f t="shared" ref="R48:W48" si="39">R29</f>
        <v>738.19386846483064</v>
      </c>
      <c r="S48" s="141">
        <f t="shared" si="39"/>
        <v>129.66312937273162</v>
      </c>
      <c r="T48" s="143">
        <f t="shared" si="39"/>
        <v>0</v>
      </c>
      <c r="U48" s="143">
        <f t="shared" si="39"/>
        <v>1.3575590585395372</v>
      </c>
      <c r="V48" s="143">
        <f t="shared" si="39"/>
        <v>0</v>
      </c>
      <c r="W48" s="148">
        <f t="shared" si="39"/>
        <v>0</v>
      </c>
    </row>
    <row r="49" spans="1:23">
      <c r="A49" s="147">
        <v>5</v>
      </c>
      <c r="B49" s="141">
        <f t="shared" ref="B49:G49" si="40">B32</f>
        <v>1.927693447463245E-2</v>
      </c>
      <c r="C49" s="141">
        <f t="shared" si="40"/>
        <v>8.7637689404065078E-2</v>
      </c>
      <c r="D49" s="138">
        <f t="shared" si="40"/>
        <v>0</v>
      </c>
      <c r="E49" s="138">
        <f t="shared" si="40"/>
        <v>2.3225051893637285E-7</v>
      </c>
      <c r="F49" s="138">
        <f t="shared" si="40"/>
        <v>0</v>
      </c>
      <c r="G49" s="151">
        <f t="shared" si="40"/>
        <v>0</v>
      </c>
      <c r="I49" s="147">
        <v>5</v>
      </c>
      <c r="J49" s="141">
        <f t="shared" ref="J49:O49" si="41">J32</f>
        <v>2.2803985789529175</v>
      </c>
      <c r="K49" s="141">
        <f t="shared" si="41"/>
        <v>3.7991924879834436</v>
      </c>
      <c r="L49" s="138">
        <f t="shared" si="41"/>
        <v>0</v>
      </c>
      <c r="M49" s="154">
        <f t="shared" si="41"/>
        <v>1.3034127429146161E-4</v>
      </c>
      <c r="N49" s="138">
        <f t="shared" si="41"/>
        <v>0</v>
      </c>
      <c r="O49" s="151">
        <f t="shared" si="41"/>
        <v>0</v>
      </c>
      <c r="P49" s="147"/>
      <c r="Q49" s="147">
        <v>5</v>
      </c>
      <c r="R49" s="141">
        <f t="shared" ref="R49:W49" si="42">R32</f>
        <v>155.37746870316332</v>
      </c>
      <c r="S49" s="141">
        <f t="shared" si="42"/>
        <v>58.198632973948442</v>
      </c>
      <c r="T49" s="138">
        <f t="shared" si="42"/>
        <v>0</v>
      </c>
      <c r="U49" s="138">
        <f t="shared" si="42"/>
        <v>6.309592650798973E-2</v>
      </c>
      <c r="V49" s="138">
        <f t="shared" si="42"/>
        <v>0</v>
      </c>
      <c r="W49" s="151">
        <f t="shared" si="42"/>
        <v>0</v>
      </c>
    </row>
    <row r="50" spans="1:23">
      <c r="A50" s="147">
        <v>6</v>
      </c>
      <c r="B50" s="141">
        <f t="shared" ref="B50:G50" si="43">B35</f>
        <v>4.0605565707440319E-4</v>
      </c>
      <c r="C50" s="141">
        <f t="shared" si="43"/>
        <v>6.8256313809242257E-3</v>
      </c>
      <c r="D50" s="138">
        <f t="shared" si="43"/>
        <v>0</v>
      </c>
      <c r="E50" s="138">
        <f t="shared" si="43"/>
        <v>4.6750941052607325E-10</v>
      </c>
      <c r="F50" s="138">
        <f t="shared" si="43"/>
        <v>0</v>
      </c>
      <c r="G50" s="151">
        <f t="shared" si="43"/>
        <v>0</v>
      </c>
      <c r="I50" s="147">
        <v>6</v>
      </c>
      <c r="J50" s="141">
        <f t="shared" ref="J50:O50" si="44">J35</f>
        <v>0.16045487407959155</v>
      </c>
      <c r="K50" s="141">
        <f t="shared" si="44"/>
        <v>0.78821244100042642</v>
      </c>
      <c r="L50" s="138">
        <f t="shared" si="44"/>
        <v>0</v>
      </c>
      <c r="M50" s="154">
        <f t="shared" si="44"/>
        <v>1.2795011503883194E-6</v>
      </c>
      <c r="N50" s="138">
        <f t="shared" si="44"/>
        <v>0</v>
      </c>
      <c r="O50" s="151">
        <f t="shared" si="44"/>
        <v>0</v>
      </c>
      <c r="P50" s="147"/>
      <c r="Q50" s="147">
        <v>6</v>
      </c>
      <c r="R50" s="141">
        <f t="shared" ref="R50:W50" si="45">R35</f>
        <v>32.704359670189667</v>
      </c>
      <c r="S50" s="141">
        <f t="shared" si="45"/>
        <v>26.122158985534004</v>
      </c>
      <c r="T50" s="138">
        <f t="shared" si="45"/>
        <v>0</v>
      </c>
      <c r="U50" s="138">
        <f t="shared" si="45"/>
        <v>2.9325397792892387E-3</v>
      </c>
      <c r="V50" s="138">
        <f t="shared" si="45"/>
        <v>0</v>
      </c>
      <c r="W50" s="151">
        <f t="shared" si="45"/>
        <v>0</v>
      </c>
    </row>
    <row r="51" spans="1:23">
      <c r="A51" s="147">
        <v>7</v>
      </c>
      <c r="B51" s="141">
        <f t="shared" ref="B51:G51" si="46">B38</f>
        <v>8.5532892617911481E-6</v>
      </c>
      <c r="C51" s="141">
        <f t="shared" si="46"/>
        <v>5.3161195902201076E-4</v>
      </c>
      <c r="D51" s="141">
        <f t="shared" si="46"/>
        <v>0</v>
      </c>
      <c r="E51" s="141">
        <f t="shared" si="46"/>
        <v>9.4107453422015551E-13</v>
      </c>
      <c r="F51" s="141">
        <f t="shared" si="46"/>
        <v>0</v>
      </c>
      <c r="G51" s="141">
        <f t="shared" si="46"/>
        <v>0</v>
      </c>
      <c r="I51" s="147">
        <v>7</v>
      </c>
      <c r="J51" s="138">
        <f t="shared" ref="J51:O51" si="47">J38</f>
        <v>1.1290029231521084E-2</v>
      </c>
      <c r="K51" s="138">
        <f t="shared" si="47"/>
        <v>0.16352918524473514</v>
      </c>
      <c r="L51" s="141">
        <f t="shared" si="47"/>
        <v>0</v>
      </c>
      <c r="M51" s="154">
        <f t="shared" si="47"/>
        <v>1.2560282249383207E-8</v>
      </c>
      <c r="N51" s="141">
        <f t="shared" si="47"/>
        <v>0</v>
      </c>
      <c r="O51" s="141">
        <f t="shared" si="47"/>
        <v>0</v>
      </c>
      <c r="Q51" s="147">
        <v>7</v>
      </c>
      <c r="R51" s="141">
        <f t="shared" ref="R51:W51" si="48">R38</f>
        <v>6.8837209819685574</v>
      </c>
      <c r="S51" s="141">
        <f t="shared" si="48"/>
        <v>11.724797563045238</v>
      </c>
      <c r="T51" s="141">
        <f t="shared" si="48"/>
        <v>0</v>
      </c>
      <c r="U51" s="155">
        <f t="shared" si="48"/>
        <v>1.3629706437585636E-4</v>
      </c>
      <c r="V51" s="141">
        <f t="shared" si="48"/>
        <v>0</v>
      </c>
      <c r="W51" s="141">
        <f t="shared" si="48"/>
        <v>0</v>
      </c>
    </row>
    <row r="52" spans="1:23">
      <c r="A52" s="147">
        <v>8</v>
      </c>
      <c r="B52" s="141">
        <f t="shared" ref="B52:G52" si="49">B41</f>
        <v>1.8016928448423661E-7</v>
      </c>
      <c r="C52" s="141">
        <f t="shared" si="49"/>
        <v>4.1404415094117348E-5</v>
      </c>
      <c r="D52" s="141">
        <f t="shared" si="49"/>
        <v>0</v>
      </c>
      <c r="E52" s="141">
        <f t="shared" si="49"/>
        <v>1.8943389352550605E-15</v>
      </c>
      <c r="F52" s="141">
        <f t="shared" si="49"/>
        <v>0</v>
      </c>
      <c r="G52" s="141">
        <f t="shared" si="49"/>
        <v>0</v>
      </c>
      <c r="I52" s="147">
        <v>8</v>
      </c>
      <c r="J52" s="138">
        <f t="shared" ref="J52:O52" si="50">J41</f>
        <v>7.9439631098631076E-4</v>
      </c>
      <c r="K52" s="138">
        <f t="shared" si="50"/>
        <v>3.3927140750107034E-2</v>
      </c>
      <c r="L52" s="141">
        <f t="shared" si="50"/>
        <v>0</v>
      </c>
      <c r="M52" s="154">
        <f t="shared" si="50"/>
        <v>1.2329859190536221E-10</v>
      </c>
      <c r="N52" s="141">
        <f t="shared" si="50"/>
        <v>0</v>
      </c>
      <c r="O52" s="141">
        <f t="shared" si="50"/>
        <v>0</v>
      </c>
      <c r="Q52" s="147">
        <v>8</v>
      </c>
      <c r="R52" s="141">
        <f t="shared" ref="R52:W52" si="51">R41</f>
        <v>1.4489081894725675</v>
      </c>
      <c r="S52" s="141">
        <f t="shared" si="51"/>
        <v>5.2626154664520843</v>
      </c>
      <c r="T52" s="141">
        <f t="shared" si="51"/>
        <v>0</v>
      </c>
      <c r="U52" s="155">
        <f t="shared" si="51"/>
        <v>6.3347443361804345E-6</v>
      </c>
      <c r="V52" s="141">
        <f t="shared" si="51"/>
        <v>0</v>
      </c>
      <c r="W52" s="141">
        <f t="shared" si="51"/>
        <v>0</v>
      </c>
    </row>
    <row r="53" spans="1:23">
      <c r="A53" s="147"/>
      <c r="G53" s="150"/>
      <c r="I53" s="147"/>
      <c r="O53" s="150"/>
      <c r="Q53" s="147"/>
      <c r="W53" s="150"/>
    </row>
    <row r="54" spans="1:23">
      <c r="A54" s="224">
        <f>A17</f>
        <v>100</v>
      </c>
      <c r="B54" s="136" t="s">
        <v>155</v>
      </c>
      <c r="C54" s="136">
        <f>input!J2</f>
        <v>200</v>
      </c>
      <c r="D54" s="136">
        <f>input!J3</f>
        <v>1</v>
      </c>
      <c r="E54" s="136">
        <f>input!J4</f>
        <v>10</v>
      </c>
      <c r="G54" s="150"/>
      <c r="I54" s="224">
        <f>I17</f>
        <v>150</v>
      </c>
      <c r="J54" s="136" t="s">
        <v>155</v>
      </c>
      <c r="O54" s="150"/>
      <c r="Q54" s="224">
        <f>Q17</f>
        <v>200</v>
      </c>
      <c r="R54" s="136" t="s">
        <v>155</v>
      </c>
      <c r="W54" s="150"/>
    </row>
    <row r="55" spans="1:23">
      <c r="A55" s="147"/>
      <c r="B55" s="136" t="s">
        <v>119</v>
      </c>
      <c r="C55" s="135" t="s">
        <v>22</v>
      </c>
      <c r="D55" s="135" t="s">
        <v>19</v>
      </c>
      <c r="E55" s="135" t="s">
        <v>20</v>
      </c>
      <c r="F55" s="135" t="s">
        <v>92</v>
      </c>
      <c r="G55" s="152" t="s">
        <v>93</v>
      </c>
      <c r="I55" s="147"/>
      <c r="J55" s="136" t="s">
        <v>119</v>
      </c>
      <c r="K55" s="135" t="s">
        <v>22</v>
      </c>
      <c r="L55" s="135" t="s">
        <v>19</v>
      </c>
      <c r="M55" s="135" t="s">
        <v>20</v>
      </c>
      <c r="N55" s="135" t="s">
        <v>92</v>
      </c>
      <c r="O55" s="152" t="s">
        <v>93</v>
      </c>
      <c r="Q55" s="147"/>
      <c r="R55" s="136" t="s">
        <v>119</v>
      </c>
      <c r="S55" s="135" t="s">
        <v>22</v>
      </c>
      <c r="T55" s="135" t="s">
        <v>19</v>
      </c>
      <c r="U55" s="135" t="s">
        <v>20</v>
      </c>
      <c r="V55" s="135" t="s">
        <v>92</v>
      </c>
      <c r="W55" s="152" t="s">
        <v>93</v>
      </c>
    </row>
    <row r="56" spans="1:23">
      <c r="A56" s="147" t="s">
        <v>159</v>
      </c>
      <c r="B56" s="136">
        <v>0</v>
      </c>
      <c r="C56" s="139">
        <f>Ggrid!$N158</f>
        <v>0.99303607834813357</v>
      </c>
      <c r="D56" s="139">
        <f>Ggrid!$O158</f>
        <v>6.4186938164994137E-3</v>
      </c>
      <c r="E56" s="139">
        <f>Ggrid!$P158</f>
        <v>5.452278353669835E-4</v>
      </c>
      <c r="F56" s="138">
        <f>Ggrid!$Q158</f>
        <v>0.57400860621971062</v>
      </c>
      <c r="G56" s="156">
        <f>Ggrid!$R158</f>
        <v>0.99303607834813357</v>
      </c>
      <c r="I56" s="147" t="s">
        <v>159</v>
      </c>
      <c r="J56" s="136">
        <v>0</v>
      </c>
      <c r="K56" s="139">
        <f>Ggrid!$N158</f>
        <v>0.99303607834813357</v>
      </c>
      <c r="L56" s="139">
        <f>Ggrid!$O158</f>
        <v>6.4186938164994137E-3</v>
      </c>
      <c r="M56" s="139">
        <f>Ggrid!$P158</f>
        <v>5.452278353669835E-4</v>
      </c>
      <c r="N56" s="138">
        <f>Ggrid!$Q158</f>
        <v>0.57400860621971062</v>
      </c>
      <c r="O56" s="156">
        <f>Ggrid!$R158</f>
        <v>0.99303607834813357</v>
      </c>
      <c r="Q56" s="147" t="s">
        <v>159</v>
      </c>
      <c r="R56" s="136">
        <v>0</v>
      </c>
      <c r="S56" s="139">
        <f>Ggrid!$N158</f>
        <v>0.99303607834813357</v>
      </c>
      <c r="T56" s="139">
        <f>Ggrid!$O158</f>
        <v>6.4186938164994137E-3</v>
      </c>
      <c r="U56" s="139">
        <f>Ggrid!$P158</f>
        <v>5.452278353669835E-4</v>
      </c>
      <c r="V56" s="138">
        <f>Ggrid!$Q158</f>
        <v>0.57400860621971062</v>
      </c>
      <c r="W56" s="156">
        <f>Ggrid!$R158</f>
        <v>0.99303607834813357</v>
      </c>
    </row>
    <row r="57" spans="1:23">
      <c r="A57" s="147" t="s">
        <v>158</v>
      </c>
      <c r="B57" s="136">
        <v>1</v>
      </c>
      <c r="C57" s="139">
        <f>$C$54*E45/($C$54*$E45+$D$54*$B45+$E$54*$C45)</f>
        <v>0.95874707724752217</v>
      </c>
      <c r="D57" s="139">
        <f t="shared" ref="D57:D64" si="52">$D$54*B45/($C$54*E45+$D$54*B45+$E$54*C45)</f>
        <v>3.3181775089059819E-2</v>
      </c>
      <c r="E57" s="139">
        <f t="shared" ref="E57:E64" si="53">$E$54*C45/($C$54*E45+$D$54*B45+$E$54*C45)</f>
        <v>8.0711476634179168E-3</v>
      </c>
      <c r="F57" s="138">
        <f t="shared" ref="F57:F64" si="54">0.5774*C57+1.1547*E57</f>
        <v>0.56290031660966799</v>
      </c>
      <c r="G57" s="156">
        <f t="shared" ref="G57:G64" si="55">C57</f>
        <v>0.95874707724752217</v>
      </c>
      <c r="I57" s="147" t="s">
        <v>158</v>
      </c>
      <c r="J57" s="136">
        <v>1</v>
      </c>
      <c r="K57" s="139">
        <f t="shared" ref="K57:K64" si="56">$C$54*M45/($C$54*M45+$D$54*$J45+$E$54*K45)</f>
        <v>0.96112654133548325</v>
      </c>
      <c r="L57" s="139">
        <f t="shared" ref="L57:L64" si="57">$D$54*J45/($C$54*M45+$D$54*J45+$E$54*K45)</f>
        <v>3.1852654936212504E-2</v>
      </c>
      <c r="M57" s="139">
        <f t="shared" ref="M57:M64" si="58">$E$54*K45/($C$54*M45+$D$54*J45+$E$54*K45)</f>
        <v>7.0208037283043508E-3</v>
      </c>
      <c r="N57" s="138">
        <f t="shared" ref="N57:N64" si="59">0.5774*K57+1.1547*M57</f>
        <v>0.56306138703218112</v>
      </c>
      <c r="O57" s="156">
        <f t="shared" ref="O57:O64" si="60">K57</f>
        <v>0.96112654133548325</v>
      </c>
      <c r="Q57" s="147" t="s">
        <v>158</v>
      </c>
      <c r="R57" s="136">
        <v>1</v>
      </c>
      <c r="S57" s="139">
        <f t="shared" ref="S57:S64" si="61">$C$54*U45/($C$54*U45+$D$54*R45+$E$54*S45)</f>
        <v>0.96658083873557132</v>
      </c>
      <c r="T57" s="139">
        <f t="shared" ref="T57:T64" si="62">$D$54*R45/($C$54*U45+$D$54*R45+$E$54*S45)</f>
        <v>2.8294031467554683E-2</v>
      </c>
      <c r="U57" s="139">
        <f t="shared" ref="U57:U64" si="63">$E$54*S45/($C$54*U45+$D$54*R45+$E$54*S45)</f>
        <v>5.125129796874065E-3</v>
      </c>
      <c r="V57" s="138">
        <f t="shared" ref="V57:V64" si="64">0.5774*S57+1.1547*U57</f>
        <v>0.56402176366236934</v>
      </c>
      <c r="W57" s="156">
        <f t="shared" ref="W57:W64" si="65">S57</f>
        <v>0.96658083873557132</v>
      </c>
    </row>
    <row r="58" spans="1:23">
      <c r="A58" s="157" t="s">
        <v>160</v>
      </c>
      <c r="B58" s="136">
        <v>2</v>
      </c>
      <c r="C58" s="139">
        <f t="shared" ref="C58:C64" si="66">$C$54*E46/($C$54*$E46+$D$54*$B46+$E$54*$C46)</f>
        <v>0.59245520960886966</v>
      </c>
      <c r="D58" s="139">
        <f t="shared" si="52"/>
        <v>0.21456803056559384</v>
      </c>
      <c r="E58" s="139">
        <f t="shared" si="53"/>
        <v>0.19297675982553655</v>
      </c>
      <c r="F58" s="138">
        <f t="shared" si="54"/>
        <v>0.56491390259870844</v>
      </c>
      <c r="G58" s="156">
        <f t="shared" si="55"/>
        <v>0.59245520960886966</v>
      </c>
      <c r="I58" s="157" t="s">
        <v>160</v>
      </c>
      <c r="J58" s="136">
        <v>2</v>
      </c>
      <c r="K58" s="139">
        <f t="shared" si="56"/>
        <v>0.7184272184838757</v>
      </c>
      <c r="L58" s="139">
        <f t="shared" si="57"/>
        <v>0.17065981812602199</v>
      </c>
      <c r="M58" s="139">
        <f t="shared" si="58"/>
        <v>0.11091296339010233</v>
      </c>
      <c r="N58" s="138">
        <f t="shared" si="59"/>
        <v>0.542891074779141</v>
      </c>
      <c r="O58" s="156">
        <f t="shared" si="60"/>
        <v>0.7184272184838757</v>
      </c>
      <c r="Q58" s="157" t="s">
        <v>160</v>
      </c>
      <c r="R58" s="136">
        <v>2</v>
      </c>
      <c r="S58" s="139">
        <f t="shared" si="61"/>
        <v>0.84475741224127654</v>
      </c>
      <c r="T58" s="139">
        <f t="shared" si="62"/>
        <v>0.11198598652662742</v>
      </c>
      <c r="U58" s="139">
        <f t="shared" si="63"/>
        <v>4.3256601232096015E-2</v>
      </c>
      <c r="V58" s="138">
        <f t="shared" si="64"/>
        <v>0.53771132727081439</v>
      </c>
      <c r="W58" s="156">
        <f t="shared" si="65"/>
        <v>0.84475741224127654</v>
      </c>
    </row>
    <row r="59" spans="1:23">
      <c r="A59" s="147" t="s">
        <v>157</v>
      </c>
      <c r="B59" s="136">
        <v>3</v>
      </c>
      <c r="C59" s="139">
        <f t="shared" si="66"/>
        <v>5.7495444606515393E-2</v>
      </c>
      <c r="D59" s="139">
        <f t="shared" si="52"/>
        <v>0.21789981374824405</v>
      </c>
      <c r="E59" s="139">
        <f t="shared" si="53"/>
        <v>0.72460474164524058</v>
      </c>
      <c r="F59" s="138">
        <f t="shared" si="54"/>
        <v>0.86989896489356133</v>
      </c>
      <c r="G59" s="156">
        <f t="shared" si="55"/>
        <v>5.7495444606515393E-2</v>
      </c>
      <c r="I59" s="147" t="s">
        <v>157</v>
      </c>
      <c r="J59" s="136">
        <v>3</v>
      </c>
      <c r="K59" s="139">
        <f t="shared" si="56"/>
        <v>0.16763072995174061</v>
      </c>
      <c r="L59" s="139">
        <f t="shared" si="57"/>
        <v>0.28542076848303816</v>
      </c>
      <c r="M59" s="139">
        <f t="shared" si="58"/>
        <v>0.54694850156522112</v>
      </c>
      <c r="N59" s="138">
        <f t="shared" si="59"/>
        <v>0.72835141823149585</v>
      </c>
      <c r="O59" s="156">
        <f t="shared" si="60"/>
        <v>0.16763072995174061</v>
      </c>
      <c r="Q59" s="147" t="s">
        <v>157</v>
      </c>
      <c r="R59" s="136">
        <v>3</v>
      </c>
      <c r="S59" s="139">
        <f t="shared" si="61"/>
        <v>0.47735844443579101</v>
      </c>
      <c r="T59" s="139">
        <f t="shared" si="62"/>
        <v>0.28658357572575827</v>
      </c>
      <c r="U59" s="139">
        <f t="shared" si="63"/>
        <v>0.23605797983845073</v>
      </c>
      <c r="V59" s="138">
        <f t="shared" si="64"/>
        <v>0.54820291513668473</v>
      </c>
      <c r="W59" s="156">
        <f t="shared" si="65"/>
        <v>0.47735844443579101</v>
      </c>
    </row>
    <row r="60" spans="1:23">
      <c r="A60" s="147"/>
      <c r="B60" s="136">
        <v>4</v>
      </c>
      <c r="C60" s="139">
        <f t="shared" si="66"/>
        <v>1.8929225966278092E-3</v>
      </c>
      <c r="D60" s="139">
        <f t="shared" si="52"/>
        <v>7.5070655493502836E-2</v>
      </c>
      <c r="E60" s="139">
        <f t="shared" si="53"/>
        <v>0.92303642190986945</v>
      </c>
      <c r="F60" s="138">
        <f t="shared" si="54"/>
        <v>1.0669231298866191</v>
      </c>
      <c r="G60" s="156">
        <f t="shared" si="55"/>
        <v>1.8929225966278092E-3</v>
      </c>
      <c r="I60" s="147"/>
      <c r="J60" s="136">
        <v>4</v>
      </c>
      <c r="K60" s="139">
        <f t="shared" si="56"/>
        <v>1.217098859246055E-2</v>
      </c>
      <c r="L60" s="139">
        <f t="shared" si="57"/>
        <v>0.14853924925256146</v>
      </c>
      <c r="M60" s="139">
        <f t="shared" si="58"/>
        <v>0.83928976215497808</v>
      </c>
      <c r="N60" s="138">
        <f t="shared" si="59"/>
        <v>0.97615541717363996</v>
      </c>
      <c r="O60" s="156">
        <f t="shared" si="60"/>
        <v>1.217098859246055E-2</v>
      </c>
      <c r="Q60" s="147"/>
      <c r="R60" s="136">
        <v>4</v>
      </c>
      <c r="S60" s="139">
        <f t="shared" si="61"/>
        <v>0.11772425919564408</v>
      </c>
      <c r="T60" s="139">
        <f t="shared" si="62"/>
        <v>0.32007199156874827</v>
      </c>
      <c r="U60" s="139">
        <f t="shared" si="63"/>
        <v>0.56220374923560756</v>
      </c>
      <c r="V60" s="138">
        <f t="shared" si="64"/>
        <v>0.717150656501921</v>
      </c>
      <c r="W60" s="156">
        <f t="shared" si="65"/>
        <v>0.11772425919564408</v>
      </c>
    </row>
    <row r="61" spans="1:23">
      <c r="A61" s="147"/>
      <c r="B61" s="136">
        <v>5</v>
      </c>
      <c r="C61" s="139">
        <f t="shared" si="66"/>
        <v>5.185898106327282E-5</v>
      </c>
      <c r="D61" s="139">
        <f t="shared" si="52"/>
        <v>2.1521635009818588E-2</v>
      </c>
      <c r="E61" s="139">
        <f t="shared" si="53"/>
        <v>0.97842650600911807</v>
      </c>
      <c r="F61" s="138">
        <f t="shared" si="54"/>
        <v>1.1298190298643946</v>
      </c>
      <c r="G61" s="156">
        <f t="shared" si="55"/>
        <v>5.185898106327282E-5</v>
      </c>
      <c r="I61" s="147"/>
      <c r="J61" s="136">
        <v>5</v>
      </c>
      <c r="K61" s="139">
        <f t="shared" si="56"/>
        <v>6.4688077488375836E-4</v>
      </c>
      <c r="L61" s="139">
        <f t="shared" si="57"/>
        <v>5.6587830977402012E-2</v>
      </c>
      <c r="M61" s="139">
        <f t="shared" si="58"/>
        <v>0.94276528824771433</v>
      </c>
      <c r="N61" s="138">
        <f t="shared" si="59"/>
        <v>1.0889845872990538</v>
      </c>
      <c r="O61" s="156">
        <f t="shared" si="60"/>
        <v>6.4688077488375836E-4</v>
      </c>
      <c r="Q61" s="147"/>
      <c r="R61" s="136">
        <v>5</v>
      </c>
      <c r="S61" s="139">
        <f t="shared" si="61"/>
        <v>1.6825962155297726E-2</v>
      </c>
      <c r="T61" s="139">
        <f t="shared" si="62"/>
        <v>0.20717465872018923</v>
      </c>
      <c r="U61" s="139">
        <f t="shared" si="63"/>
        <v>0.77599937912451311</v>
      </c>
      <c r="V61" s="138">
        <f t="shared" si="64"/>
        <v>0.90576179362354414</v>
      </c>
      <c r="W61" s="156">
        <f t="shared" si="65"/>
        <v>1.6825962155297726E-2</v>
      </c>
    </row>
    <row r="62" spans="1:23">
      <c r="B62" s="136">
        <v>6</v>
      </c>
      <c r="C62" s="139">
        <f t="shared" si="66"/>
        <v>1.3617612602757978E-6</v>
      </c>
      <c r="D62" s="139">
        <f t="shared" si="52"/>
        <v>5.9137939351588528E-3</v>
      </c>
      <c r="E62" s="139">
        <f t="shared" si="53"/>
        <v>0.99408484430358091</v>
      </c>
      <c r="F62" s="138">
        <f t="shared" si="54"/>
        <v>1.1478705559982967</v>
      </c>
      <c r="G62" s="138">
        <f t="shared" si="55"/>
        <v>1.3617612602757978E-6</v>
      </c>
      <c r="J62" s="136">
        <v>6</v>
      </c>
      <c r="K62" s="139">
        <f t="shared" si="56"/>
        <v>3.1817166983198919E-5</v>
      </c>
      <c r="L62" s="139">
        <f t="shared" si="57"/>
        <v>1.9950038811255164E-2</v>
      </c>
      <c r="M62" s="139">
        <f t="shared" si="58"/>
        <v>0.98001814402176168</v>
      </c>
      <c r="N62" s="138">
        <f t="shared" si="59"/>
        <v>1.1316453221341445</v>
      </c>
      <c r="O62" s="138">
        <f t="shared" si="60"/>
        <v>3.1817166983198919E-5</v>
      </c>
      <c r="R62" s="136">
        <v>6</v>
      </c>
      <c r="S62" s="139">
        <f t="shared" si="61"/>
        <v>1.9914538110664256E-3</v>
      </c>
      <c r="T62" s="139">
        <f t="shared" si="62"/>
        <v>0.1110457599989858</v>
      </c>
      <c r="U62" s="139">
        <f t="shared" si="63"/>
        <v>0.88696278618994784</v>
      </c>
      <c r="V62" s="138">
        <f t="shared" si="64"/>
        <v>1.0253257946440426</v>
      </c>
      <c r="W62" s="138">
        <f t="shared" si="65"/>
        <v>1.9914538110664256E-3</v>
      </c>
    </row>
    <row r="63" spans="1:23">
      <c r="B63" s="136">
        <v>7</v>
      </c>
      <c r="C63" s="139">
        <f t="shared" si="66"/>
        <v>3.5347692609688003E-8</v>
      </c>
      <c r="D63" s="139">
        <f t="shared" si="52"/>
        <v>1.6063501276127898E-3</v>
      </c>
      <c r="E63" s="139">
        <f t="shared" si="53"/>
        <v>0.99839361452469466</v>
      </c>
      <c r="F63" s="138">
        <f t="shared" si="54"/>
        <v>1.1528451271014226</v>
      </c>
      <c r="G63" s="138">
        <f t="shared" si="55"/>
        <v>3.5347692609688003E-8</v>
      </c>
      <c r="J63" s="136">
        <v>7</v>
      </c>
      <c r="K63" s="139">
        <f t="shared" si="56"/>
        <v>1.5256165790433441E-6</v>
      </c>
      <c r="L63" s="139">
        <f t="shared" si="57"/>
        <v>6.8566356358506098E-3</v>
      </c>
      <c r="M63" s="139">
        <f t="shared" si="58"/>
        <v>0.99314183874757034</v>
      </c>
      <c r="N63" s="138">
        <f t="shared" si="59"/>
        <v>1.1467817620928322</v>
      </c>
      <c r="O63" s="138">
        <f t="shared" si="60"/>
        <v>1.5256165790433441E-6</v>
      </c>
      <c r="R63" s="136">
        <v>7</v>
      </c>
      <c r="S63" s="139">
        <f t="shared" si="61"/>
        <v>2.1955252965897562E-4</v>
      </c>
      <c r="T63" s="139">
        <f t="shared" si="62"/>
        <v>5.5442806562952016E-2</v>
      </c>
      <c r="U63" s="139">
        <f t="shared" si="63"/>
        <v>0.94433764090738892</v>
      </c>
      <c r="V63" s="138">
        <f t="shared" si="64"/>
        <v>1.0905534435863871</v>
      </c>
      <c r="W63" s="156">
        <f t="shared" si="65"/>
        <v>2.1955252965897562E-4</v>
      </c>
    </row>
    <row r="64" spans="1:23">
      <c r="B64" s="136">
        <v>8</v>
      </c>
      <c r="C64" s="139">
        <f t="shared" si="66"/>
        <v>9.146439940998309E-10</v>
      </c>
      <c r="D64" s="139">
        <f t="shared" si="52"/>
        <v>4.3495583316135257E-4</v>
      </c>
      <c r="E64" s="139">
        <f t="shared" si="53"/>
        <v>0.99956504325219464</v>
      </c>
      <c r="F64" s="138">
        <f t="shared" si="54"/>
        <v>1.1541977559714247</v>
      </c>
      <c r="G64" s="138">
        <f t="shared" si="55"/>
        <v>9.146439940998309E-10</v>
      </c>
      <c r="J64" s="136">
        <v>8</v>
      </c>
      <c r="K64" s="139">
        <f t="shared" si="56"/>
        <v>7.2514543704349765E-8</v>
      </c>
      <c r="L64" s="139">
        <f t="shared" si="57"/>
        <v>2.3360074564276441E-3</v>
      </c>
      <c r="M64" s="139">
        <f t="shared" si="58"/>
        <v>0.99766392002902859</v>
      </c>
      <c r="N64" s="138">
        <f t="shared" si="59"/>
        <v>1.1520025703274168</v>
      </c>
      <c r="O64" s="138">
        <f t="shared" si="60"/>
        <v>7.2514543704349765E-8</v>
      </c>
      <c r="R64" s="136">
        <v>8</v>
      </c>
      <c r="S64" s="139">
        <f t="shared" si="61"/>
        <v>2.3428898962907525E-5</v>
      </c>
      <c r="T64" s="139">
        <f t="shared" si="62"/>
        <v>2.6793759760595295E-2</v>
      </c>
      <c r="U64" s="139">
        <f t="shared" si="63"/>
        <v>0.97318281134044182</v>
      </c>
      <c r="V64" s="138">
        <f t="shared" si="64"/>
        <v>1.1237477201010695</v>
      </c>
      <c r="W64" s="138">
        <f t="shared" si="65"/>
        <v>2.3428898962907525E-5</v>
      </c>
    </row>
  </sheetData>
  <phoneticPr fontId="0" type="noConversion"/>
  <pageMargins left="0.75" right="0.75" top="1" bottom="1" header="0.5" footer="0.5"/>
  <pageSetup paperSize="9" orientation="portrait" horizontalDpi="4294967293" verticalDpi="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Charts</vt:lpstr>
      </vt:variant>
      <vt:variant>
        <vt:i4>9</vt:i4>
      </vt:variant>
    </vt:vector>
  </HeadingPairs>
  <TitlesOfParts>
    <vt:vector size="14" baseType="lpstr">
      <vt:lpstr>input</vt:lpstr>
      <vt:lpstr>Info</vt:lpstr>
      <vt:lpstr>Ggrid</vt:lpstr>
      <vt:lpstr>Tgrid</vt:lpstr>
      <vt:lpstr>Ref</vt:lpstr>
      <vt:lpstr>FT- H2S</vt:lpstr>
      <vt:lpstr>FT- CO2</vt:lpstr>
      <vt:lpstr>FT- HSH</vt:lpstr>
      <vt:lpstr>COCOCHCO</vt:lpstr>
      <vt:lpstr>CAR-HAR</vt:lpstr>
      <vt:lpstr>Tchn</vt:lpstr>
      <vt:lpstr>Tcch</vt:lpstr>
      <vt:lpstr>Tnca</vt:lpstr>
      <vt:lpstr>Tnha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kyoung</cp:lastModifiedBy>
  <cp:lastPrinted>2001-12-10T02:50:42Z</cp:lastPrinted>
  <dcterms:created xsi:type="dcterms:W3CDTF">1999-09-06T21:58:36Z</dcterms:created>
  <dcterms:modified xsi:type="dcterms:W3CDTF">2013-04-24T17:07:33Z</dcterms:modified>
</cp:coreProperties>
</file>