
<file path=[Content_Types].xml><?xml version="1.0" encoding="utf-8"?>
<Types xmlns="http://schemas.openxmlformats.org/package/2006/content-type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xml"/>
  <Override PartName="/xl/drawings/drawing19.xml" ContentType="application/vnd.openxmlformats-officedocument.drawingml.chartshapes+xml"/>
  <Override PartName="/xl/chartsheets/sheet13.xml" ContentType="application/vnd.openxmlformats-officedocument.spreadsheetml.chartsheet+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chartsheets/sheet9.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10.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2.xml" ContentType="application/vnd.openxmlformats-officedocument.spreadsheetml.comments+xml"/>
  <Override PartName="/xl/chartsheets/sheet4.xml" ContentType="application/vnd.openxmlformats-officedocument.spreadsheetml.chartsheet+xml"/>
  <Override PartName="/xl/chartsheets/sheet5.xml" ContentType="application/vnd.openxmlformats-officedocument.spreadsheetml.chartsheet+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heets/sheet1.xml" ContentType="application/vnd.openxmlformats-officedocument.spreadsheetml.chart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heets/sheet14.xml" ContentType="application/vnd.openxmlformats-officedocument.spreadsheetml.chartsheet+xml"/>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485" yWindow="0" windowWidth="10035" windowHeight="7650" tabRatio="786" activeTab="17"/>
  </bookViews>
  <sheets>
    <sheet name="Iso" sheetId="15" r:id="rId1"/>
    <sheet name="XClHdisch" sheetId="27" r:id="rId2"/>
    <sheet name="XClHqtz" sheetId="17" r:id="rId3"/>
    <sheet name="Xmckn" sheetId="14" r:id="rId4"/>
    <sheet name="Xkmc" sheetId="12" r:id="rId5"/>
    <sheet name="Xkms" sheetId="13" r:id="rId6"/>
    <sheet name="Tnkm" sheetId="11" r:id="rId7"/>
    <sheet name="Txyz" sheetId="25" r:id="rId8"/>
    <sheet name="Tcfb" sheetId="7" r:id="rId9"/>
    <sheet name="Tlrc" sheetId="9" r:id="rId10"/>
    <sheet name="Tclb" sheetId="8" r:id="rId11"/>
    <sheet name="Tcsh" sheetId="10" r:id="rId12"/>
    <sheet name="Piper" sheetId="26" r:id="rId13"/>
    <sheet name="Map" sheetId="24" r:id="rId14"/>
    <sheet name="Tgrid" sheetId="1" state="hidden" r:id="rId15"/>
    <sheet name="Ref" sheetId="3" state="hidden" r:id="rId16"/>
    <sheet name="Report" sheetId="22" r:id="rId17"/>
    <sheet name="Input" sheetId="2" r:id="rId18"/>
    <sheet name="Info" sheetId="23" r:id="rId19"/>
  </sheets>
  <calcPr calcId="125725"/>
</workbook>
</file>

<file path=xl/calcChain.xml><?xml version="1.0" encoding="utf-8"?>
<calcChain xmlns="http://schemas.openxmlformats.org/spreadsheetml/2006/main">
  <c r="B42" i="1"/>
  <c r="K59" s="1"/>
  <c r="X32" i="3"/>
  <c r="X33"/>
  <c r="X34"/>
  <c r="X35"/>
  <c r="X36"/>
  <c r="X37"/>
  <c r="X38"/>
  <c r="X39"/>
  <c r="X40"/>
  <c r="X41"/>
  <c r="X42"/>
  <c r="X43"/>
  <c r="X44"/>
  <c r="X45"/>
  <c r="X46"/>
  <c r="X31"/>
  <c r="A25" i="22"/>
  <c r="A36"/>
  <c r="A18"/>
  <c r="A17"/>
  <c r="A32"/>
  <c r="A35"/>
  <c r="A21"/>
  <c r="A34"/>
  <c r="A28"/>
  <c r="A31"/>
  <c r="A22"/>
  <c r="A24"/>
  <c r="A27"/>
  <c r="A9"/>
  <c r="A10"/>
  <c r="A20"/>
  <c r="A23"/>
  <c r="A29"/>
  <c r="A16"/>
  <c r="A19"/>
  <c r="A26"/>
  <c r="A8"/>
  <c r="A33"/>
  <c r="A12"/>
  <c r="A15"/>
  <c r="A13"/>
  <c r="A37"/>
  <c r="A11"/>
  <c r="A14"/>
  <c r="A30"/>
  <c r="K58" i="1" l="1"/>
  <c r="F58"/>
  <c r="K62"/>
  <c r="F62"/>
  <c r="F64"/>
  <c r="F60"/>
  <c r="K64"/>
  <c r="K60"/>
  <c r="F65"/>
  <c r="F63"/>
  <c r="F61"/>
  <c r="F59"/>
  <c r="K65"/>
  <c r="K63"/>
  <c r="K61"/>
  <c r="CU7" i="2"/>
  <c r="CT7"/>
  <c r="CS7"/>
  <c r="CH7"/>
  <c r="CG7"/>
  <c r="CF7"/>
  <c r="CC7"/>
  <c r="CB7"/>
  <c r="CA7"/>
  <c r="BX7"/>
  <c r="BW7"/>
  <c r="BV7"/>
  <c r="BS7"/>
  <c r="BR7"/>
  <c r="BQ7"/>
  <c r="CP6"/>
  <c r="CO6"/>
  <c r="CN6"/>
  <c r="CH6"/>
  <c r="CG6"/>
  <c r="CF6"/>
  <c r="CC6"/>
  <c r="CB6"/>
  <c r="CA6"/>
  <c r="BX6"/>
  <c r="BW6"/>
  <c r="BV6"/>
  <c r="BS6"/>
  <c r="BR6"/>
  <c r="BQ6"/>
  <c r="A7" i="22"/>
  <c r="C71" i="3"/>
  <c r="B70"/>
  <c r="C69"/>
  <c r="C55"/>
  <c r="C66" s="1"/>
  <c r="B55"/>
  <c r="B66" s="1"/>
  <c r="AT50"/>
  <c r="AS50"/>
  <c r="AO50"/>
  <c r="AN50"/>
  <c r="R49"/>
  <c r="Q49"/>
  <c r="P49"/>
  <c r="O49"/>
  <c r="N49"/>
  <c r="M49"/>
  <c r="L49"/>
  <c r="K49"/>
  <c r="J49"/>
  <c r="I49"/>
  <c r="H49"/>
  <c r="G49"/>
  <c r="F49"/>
  <c r="D49"/>
  <c r="R48"/>
  <c r="Q48"/>
  <c r="P48"/>
  <c r="O48"/>
  <c r="N48"/>
  <c r="M48"/>
  <c r="L48"/>
  <c r="K48"/>
  <c r="J48"/>
  <c r="I48"/>
  <c r="H48"/>
  <c r="G48"/>
  <c r="F48"/>
  <c r="D48"/>
  <c r="R47"/>
  <c r="Q47"/>
  <c r="P47"/>
  <c r="O47"/>
  <c r="N47"/>
  <c r="M47"/>
  <c r="L47"/>
  <c r="K47"/>
  <c r="J47"/>
  <c r="I47"/>
  <c r="H47"/>
  <c r="G47"/>
  <c r="F47"/>
  <c r="D47"/>
  <c r="Z46"/>
  <c r="Y46"/>
  <c r="W46"/>
  <c r="V46"/>
  <c r="U46"/>
  <c r="T46"/>
  <c r="R46"/>
  <c r="Q46"/>
  <c r="P46"/>
  <c r="O46"/>
  <c r="N46"/>
  <c r="M46"/>
  <c r="L46"/>
  <c r="K46"/>
  <c r="J46"/>
  <c r="I46"/>
  <c r="H46"/>
  <c r="G46"/>
  <c r="F46"/>
  <c r="D46"/>
  <c r="Z45"/>
  <c r="Y45"/>
  <c r="W45"/>
  <c r="V45"/>
  <c r="U45"/>
  <c r="T45"/>
  <c r="R45"/>
  <c r="Q45"/>
  <c r="P45"/>
  <c r="O45"/>
  <c r="N45"/>
  <c r="M45"/>
  <c r="L45"/>
  <c r="K45"/>
  <c r="J45"/>
  <c r="I45"/>
  <c r="H45"/>
  <c r="G45"/>
  <c r="F45"/>
  <c r="D45"/>
  <c r="Z44"/>
  <c r="Y44"/>
  <c r="W44"/>
  <c r="V44"/>
  <c r="U44"/>
  <c r="T44"/>
  <c r="R44"/>
  <c r="Q44"/>
  <c r="P44"/>
  <c r="O44"/>
  <c r="N44"/>
  <c r="M44"/>
  <c r="L44"/>
  <c r="K44"/>
  <c r="J44"/>
  <c r="I44"/>
  <c r="H44"/>
  <c r="G44"/>
  <c r="F44"/>
  <c r="D44"/>
  <c r="Z43"/>
  <c r="Y43"/>
  <c r="W43"/>
  <c r="V43"/>
  <c r="U43"/>
  <c r="T43"/>
  <c r="R43"/>
  <c r="Q43"/>
  <c r="P43"/>
  <c r="O43"/>
  <c r="N43"/>
  <c r="M43"/>
  <c r="L43"/>
  <c r="K43"/>
  <c r="J43"/>
  <c r="I43"/>
  <c r="H43"/>
  <c r="G43"/>
  <c r="F43"/>
  <c r="D43"/>
  <c r="Z42"/>
  <c r="Y42"/>
  <c r="W42"/>
  <c r="V42"/>
  <c r="U42"/>
  <c r="T42"/>
  <c r="R42"/>
  <c r="Q42"/>
  <c r="P42"/>
  <c r="O42"/>
  <c r="N42"/>
  <c r="M42"/>
  <c r="L42"/>
  <c r="K42"/>
  <c r="J42"/>
  <c r="I42"/>
  <c r="H42"/>
  <c r="G42"/>
  <c r="F42"/>
  <c r="D42"/>
  <c r="Z41"/>
  <c r="Y41"/>
  <c r="W41"/>
  <c r="V41"/>
  <c r="U41"/>
  <c r="T41"/>
  <c r="R41"/>
  <c r="Q41"/>
  <c r="P41"/>
  <c r="O41"/>
  <c r="N41"/>
  <c r="M41"/>
  <c r="L41"/>
  <c r="K41"/>
  <c r="J41"/>
  <c r="I41"/>
  <c r="H41"/>
  <c r="G41"/>
  <c r="F41"/>
  <c r="D41"/>
  <c r="Z40"/>
  <c r="Y40"/>
  <c r="W40"/>
  <c r="V40"/>
  <c r="U40"/>
  <c r="T40"/>
  <c r="R40"/>
  <c r="Q40"/>
  <c r="P40"/>
  <c r="O40"/>
  <c r="N40"/>
  <c r="M40"/>
  <c r="L40"/>
  <c r="K40"/>
  <c r="J40"/>
  <c r="I40"/>
  <c r="H40"/>
  <c r="G40"/>
  <c r="F40"/>
  <c r="D40"/>
  <c r="Z39"/>
  <c r="Y39"/>
  <c r="W39"/>
  <c r="V39"/>
  <c r="U39"/>
  <c r="T39"/>
  <c r="R39"/>
  <c r="Q39"/>
  <c r="P39"/>
  <c r="O39"/>
  <c r="N39"/>
  <c r="M39"/>
  <c r="L39"/>
  <c r="K39"/>
  <c r="J39"/>
  <c r="I39"/>
  <c r="H39"/>
  <c r="G39"/>
  <c r="F39"/>
  <c r="D39"/>
  <c r="Z38"/>
  <c r="Y38"/>
  <c r="W38"/>
  <c r="V38"/>
  <c r="U38"/>
  <c r="T38"/>
  <c r="R38"/>
  <c r="Q38"/>
  <c r="P38"/>
  <c r="O38"/>
  <c r="N38"/>
  <c r="M38"/>
  <c r="L38"/>
  <c r="K38"/>
  <c r="J38"/>
  <c r="I38"/>
  <c r="H38"/>
  <c r="G38"/>
  <c r="F38"/>
  <c r="D38"/>
  <c r="Z37"/>
  <c r="Y37"/>
  <c r="W37"/>
  <c r="V37"/>
  <c r="U37"/>
  <c r="T37"/>
  <c r="R37"/>
  <c r="Q37"/>
  <c r="P37"/>
  <c r="O37"/>
  <c r="N37"/>
  <c r="M37"/>
  <c r="L37"/>
  <c r="K37"/>
  <c r="J37"/>
  <c r="I37"/>
  <c r="H37"/>
  <c r="G37"/>
  <c r="F37"/>
  <c r="D37"/>
  <c r="Z36"/>
  <c r="Y36"/>
  <c r="W36"/>
  <c r="V36"/>
  <c r="U36"/>
  <c r="T36"/>
  <c r="R36"/>
  <c r="Q36"/>
  <c r="P36"/>
  <c r="O36"/>
  <c r="N36"/>
  <c r="M36"/>
  <c r="L36"/>
  <c r="K36"/>
  <c r="J36"/>
  <c r="I36"/>
  <c r="H36"/>
  <c r="G36"/>
  <c r="F36"/>
  <c r="D36"/>
  <c r="Z35"/>
  <c r="Y35"/>
  <c r="W35"/>
  <c r="V35"/>
  <c r="U35"/>
  <c r="T35"/>
  <c r="R35"/>
  <c r="Q35"/>
  <c r="P35"/>
  <c r="O35"/>
  <c r="N35"/>
  <c r="M35"/>
  <c r="L35"/>
  <c r="K35"/>
  <c r="J35"/>
  <c r="I35"/>
  <c r="H35"/>
  <c r="G35"/>
  <c r="F35"/>
  <c r="D35"/>
  <c r="Z34"/>
  <c r="Y34"/>
  <c r="W34"/>
  <c r="V34"/>
  <c r="U34"/>
  <c r="T34"/>
  <c r="R34"/>
  <c r="Q34"/>
  <c r="P34"/>
  <c r="O34"/>
  <c r="N34"/>
  <c r="M34"/>
  <c r="L34"/>
  <c r="K34"/>
  <c r="J34"/>
  <c r="I34"/>
  <c r="H34"/>
  <c r="G34"/>
  <c r="F34"/>
  <c r="D34"/>
  <c r="C56" l="1"/>
  <c r="C57"/>
  <c r="C58"/>
  <c r="C59"/>
  <c r="C60"/>
  <c r="C61"/>
  <c r="C62"/>
  <c r="C63"/>
  <c r="C64"/>
  <c r="C65"/>
  <c r="B56"/>
  <c r="B57"/>
  <c r="B58"/>
  <c r="B59"/>
  <c r="B60"/>
  <c r="B61"/>
  <c r="B62"/>
  <c r="B63"/>
  <c r="B64"/>
  <c r="B65"/>
  <c r="C70"/>
  <c r="Z33"/>
  <c r="Y33"/>
  <c r="W33"/>
  <c r="V33"/>
  <c r="U33"/>
  <c r="T33"/>
  <c r="R33"/>
  <c r="Q33"/>
  <c r="P33"/>
  <c r="O33"/>
  <c r="N33"/>
  <c r="M33"/>
  <c r="L33"/>
  <c r="K33"/>
  <c r="J33"/>
  <c r="I33"/>
  <c r="H33"/>
  <c r="G33"/>
  <c r="F33"/>
  <c r="D33"/>
  <c r="Z32"/>
  <c r="Y32"/>
  <c r="W32"/>
  <c r="V32"/>
  <c r="U32"/>
  <c r="T32"/>
  <c r="R32"/>
  <c r="Q32"/>
  <c r="P32"/>
  <c r="O32"/>
  <c r="N32"/>
  <c r="M32"/>
  <c r="L32"/>
  <c r="K32"/>
  <c r="J32"/>
  <c r="I32"/>
  <c r="H32"/>
  <c r="G32"/>
  <c r="F32"/>
  <c r="D32"/>
  <c r="Z31"/>
  <c r="Y31"/>
  <c r="W31"/>
  <c r="V31"/>
  <c r="U31"/>
  <c r="T31"/>
  <c r="R31"/>
  <c r="Q31"/>
  <c r="P31"/>
  <c r="O31"/>
  <c r="N31"/>
  <c r="M31"/>
  <c r="L31"/>
  <c r="K31"/>
  <c r="J31"/>
  <c r="I31"/>
  <c r="H31"/>
  <c r="G31"/>
  <c r="F31"/>
  <c r="D31"/>
  <c r="AJ30"/>
  <c r="AI30"/>
  <c r="AJ29"/>
  <c r="AI29"/>
  <c r="AJ28"/>
  <c r="AI28"/>
  <c r="AJ27"/>
  <c r="AI27"/>
  <c r="AJ26"/>
  <c r="AI26"/>
  <c r="AJ25"/>
  <c r="AI25"/>
  <c r="AJ24"/>
  <c r="AI24"/>
  <c r="AJ23"/>
  <c r="AI23"/>
  <c r="AJ22"/>
  <c r="AI22"/>
  <c r="AU11"/>
  <c r="AT11"/>
  <c r="AQ11"/>
  <c r="AP11"/>
  <c r="AU10"/>
  <c r="AT10"/>
  <c r="AQ10"/>
  <c r="AP10"/>
  <c r="AU9"/>
  <c r="AT9"/>
  <c r="AQ9"/>
  <c r="AP9"/>
  <c r="AU8"/>
  <c r="AT8"/>
  <c r="AQ8"/>
  <c r="AP8"/>
  <c r="AU7"/>
  <c r="AT7"/>
  <c r="AQ7"/>
  <c r="AP7"/>
  <c r="AU6"/>
  <c r="AT6"/>
  <c r="AQ6"/>
  <c r="AP6"/>
  <c r="AU5"/>
  <c r="AT5"/>
  <c r="AQ5"/>
  <c r="AP5"/>
  <c r="AU4"/>
  <c r="AT4"/>
  <c r="AQ4"/>
  <c r="AP4"/>
  <c r="AM3"/>
  <c r="AL3"/>
  <c r="AK3"/>
  <c r="AH3"/>
  <c r="AG3"/>
  <c r="AF3"/>
  <c r="AC3"/>
  <c r="AB3"/>
  <c r="AA3"/>
  <c r="X3"/>
  <c r="W3"/>
  <c r="V3"/>
  <c r="S3"/>
  <c r="R3"/>
  <c r="Q3"/>
  <c r="R11" l="1"/>
  <c r="V20"/>
  <c r="Z20" s="1"/>
  <c r="Y20" s="1"/>
  <c r="AB16"/>
  <c r="X20"/>
  <c r="Q11"/>
  <c r="S9"/>
  <c r="X18"/>
  <c r="AA11"/>
  <c r="AE11" s="1"/>
  <c r="AC15"/>
  <c r="AB15" s="1"/>
  <c r="AP49"/>
  <c r="AP48"/>
  <c r="AP47"/>
  <c r="AT47" s="1"/>
  <c r="AP46"/>
  <c r="AP45"/>
  <c r="AK45"/>
  <c r="AO45" s="1"/>
  <c r="AK44"/>
  <c r="AP43"/>
  <c r="AK42"/>
  <c r="AP40"/>
  <c r="AK39"/>
  <c r="AK38"/>
  <c r="AP36"/>
  <c r="AP34"/>
  <c r="AK49"/>
  <c r="AK48"/>
  <c r="AK47"/>
  <c r="AK46"/>
  <c r="AP44"/>
  <c r="AK43"/>
  <c r="AP42"/>
  <c r="AT42" s="1"/>
  <c r="AP41"/>
  <c r="AK41"/>
  <c r="AO41" s="1"/>
  <c r="AK40"/>
  <c r="AP39"/>
  <c r="AT39" s="1"/>
  <c r="AP38"/>
  <c r="AP37"/>
  <c r="AK37"/>
  <c r="AO37" s="1"/>
  <c r="AK36"/>
  <c r="AP35"/>
  <c r="AK35"/>
  <c r="AO35" s="1"/>
  <c r="AK34"/>
  <c r="AR49"/>
  <c r="AR48"/>
  <c r="AR47"/>
  <c r="AR46"/>
  <c r="AR45"/>
  <c r="AM45"/>
  <c r="AM44"/>
  <c r="AR43"/>
  <c r="AM42"/>
  <c r="AR40"/>
  <c r="AM39"/>
  <c r="AM38"/>
  <c r="AR36"/>
  <c r="AR34"/>
  <c r="AM49"/>
  <c r="AM48"/>
  <c r="AM47"/>
  <c r="AM46"/>
  <c r="AR44"/>
  <c r="AM43"/>
  <c r="AR42"/>
  <c r="AR41"/>
  <c r="AM41"/>
  <c r="AM40"/>
  <c r="AR39"/>
  <c r="AR38"/>
  <c r="AR37"/>
  <c r="AM37"/>
  <c r="AM36"/>
  <c r="AR35"/>
  <c r="AM35"/>
  <c r="AM34"/>
  <c r="AL49"/>
  <c r="AL48"/>
  <c r="AL47"/>
  <c r="AL46"/>
  <c r="AQ44"/>
  <c r="AL43"/>
  <c r="AQ42"/>
  <c r="AQ41"/>
  <c r="AL41"/>
  <c r="AL40"/>
  <c r="AQ39"/>
  <c r="AQ38"/>
  <c r="AQ37"/>
  <c r="AL37"/>
  <c r="AL36"/>
  <c r="AQ35"/>
  <c r="AL35"/>
  <c r="AL34"/>
  <c r="AQ49"/>
  <c r="AQ48"/>
  <c r="AQ47"/>
  <c r="AQ46"/>
  <c r="AQ45"/>
  <c r="AL45"/>
  <c r="AL44"/>
  <c r="AQ43"/>
  <c r="AL42"/>
  <c r="AQ40"/>
  <c r="AL39"/>
  <c r="AL38"/>
  <c r="AQ36"/>
  <c r="AQ34"/>
  <c r="W4"/>
  <c r="AC4"/>
  <c r="AK4"/>
  <c r="AM4"/>
  <c r="Q5"/>
  <c r="W5"/>
  <c r="AM5"/>
  <c r="R6"/>
  <c r="X6"/>
  <c r="AK6"/>
  <c r="AM6"/>
  <c r="R7"/>
  <c r="X7"/>
  <c r="Q8"/>
  <c r="S8"/>
  <c r="W8"/>
  <c r="AK8"/>
  <c r="AO8" s="1"/>
  <c r="Q9"/>
  <c r="W9"/>
  <c r="S10"/>
  <c r="AA10"/>
  <c r="AC10"/>
  <c r="S11"/>
  <c r="W11"/>
  <c r="AC11"/>
  <c r="AD11" s="1"/>
  <c r="AL11"/>
  <c r="AA13"/>
  <c r="AC13"/>
  <c r="AA14"/>
  <c r="AE13" s="1"/>
  <c r="AC14"/>
  <c r="AA16"/>
  <c r="AC16"/>
  <c r="W17"/>
  <c r="V18"/>
  <c r="V19"/>
  <c r="Z19" s="1"/>
  <c r="X19"/>
  <c r="W20"/>
  <c r="AK31"/>
  <c r="AO31" s="1"/>
  <c r="AP31"/>
  <c r="AT31" s="1"/>
  <c r="AR31"/>
  <c r="AK32"/>
  <c r="AM32"/>
  <c r="AQ32"/>
  <c r="AK33"/>
  <c r="AO33" s="1"/>
  <c r="AM33"/>
  <c r="AR33"/>
  <c r="Q4"/>
  <c r="S4"/>
  <c r="V4"/>
  <c r="X4"/>
  <c r="AB4"/>
  <c r="AL4"/>
  <c r="R5"/>
  <c r="V5"/>
  <c r="X5"/>
  <c r="AL5"/>
  <c r="Q6"/>
  <c r="S6"/>
  <c r="W6"/>
  <c r="AA6"/>
  <c r="AC6"/>
  <c r="AL6"/>
  <c r="Q7"/>
  <c r="S7"/>
  <c r="W7"/>
  <c r="AK7"/>
  <c r="AM7"/>
  <c r="R8"/>
  <c r="V8"/>
  <c r="X8"/>
  <c r="AL8"/>
  <c r="R9"/>
  <c r="V9"/>
  <c r="X9"/>
  <c r="AK9"/>
  <c r="AM9"/>
  <c r="R10"/>
  <c r="V10"/>
  <c r="X10"/>
  <c r="AB10"/>
  <c r="AK10"/>
  <c r="AM10"/>
  <c r="V11"/>
  <c r="X11"/>
  <c r="AB11"/>
  <c r="AK11"/>
  <c r="AM11"/>
  <c r="AB13"/>
  <c r="AB14"/>
  <c r="AA15"/>
  <c r="V17"/>
  <c r="X17"/>
  <c r="W18"/>
  <c r="W19"/>
  <c r="AL31"/>
  <c r="AQ31"/>
  <c r="AL32"/>
  <c r="AP32"/>
  <c r="AR32"/>
  <c r="AL33"/>
  <c r="AQ33"/>
  <c r="R4"/>
  <c r="AA4"/>
  <c r="AO4"/>
  <c r="S5"/>
  <c r="AK5"/>
  <c r="V6"/>
  <c r="AB6"/>
  <c r="V7"/>
  <c r="AL7"/>
  <c r="AM8"/>
  <c r="AL9"/>
  <c r="Q10"/>
  <c r="W10"/>
  <c r="AL10"/>
  <c r="AM31"/>
  <c r="AP33"/>
  <c r="B54" i="1"/>
  <c r="Q53"/>
  <c r="L53"/>
  <c r="G53"/>
  <c r="B53"/>
  <c r="Q52"/>
  <c r="L52"/>
  <c r="G52"/>
  <c r="Q51"/>
  <c r="L51"/>
  <c r="G51"/>
  <c r="Q50"/>
  <c r="L50"/>
  <c r="G50"/>
  <c r="Q49"/>
  <c r="L49"/>
  <c r="G49"/>
  <c r="A49"/>
  <c r="Q48"/>
  <c r="L48"/>
  <c r="G48"/>
  <c r="A48"/>
  <c r="Q47"/>
  <c r="L47"/>
  <c r="G47"/>
  <c r="A47"/>
  <c r="Q46"/>
  <c r="L46"/>
  <c r="G46"/>
  <c r="A46"/>
  <c r="Q42"/>
  <c r="P42"/>
  <c r="L42"/>
  <c r="K42"/>
  <c r="G42"/>
  <c r="F42"/>
  <c r="Q41"/>
  <c r="P41"/>
  <c r="L41"/>
  <c r="K41"/>
  <c r="G41"/>
  <c r="F41"/>
  <c r="Q40"/>
  <c r="P40"/>
  <c r="L40"/>
  <c r="K40"/>
  <c r="G40"/>
  <c r="F40"/>
  <c r="Q39"/>
  <c r="P39"/>
  <c r="L39"/>
  <c r="K39"/>
  <c r="G39"/>
  <c r="F39"/>
  <c r="Q38"/>
  <c r="P38"/>
  <c r="L38"/>
  <c r="K38"/>
  <c r="G38"/>
  <c r="F38"/>
  <c r="Q37"/>
  <c r="P37"/>
  <c r="L37"/>
  <c r="K37"/>
  <c r="G37"/>
  <c r="F37"/>
  <c r="Q36"/>
  <c r="P36"/>
  <c r="L36"/>
  <c r="K36"/>
  <c r="G36"/>
  <c r="F36"/>
  <c r="Q35"/>
  <c r="P35"/>
  <c r="L35"/>
  <c r="K35"/>
  <c r="G35"/>
  <c r="F35"/>
  <c r="Q22"/>
  <c r="P22"/>
  <c r="L22"/>
  <c r="K22"/>
  <c r="G22"/>
  <c r="F22"/>
  <c r="Q21"/>
  <c r="P21"/>
  <c r="L21"/>
  <c r="K21"/>
  <c r="G21"/>
  <c r="F21"/>
  <c r="Q20"/>
  <c r="P20"/>
  <c r="L20"/>
  <c r="K20"/>
  <c r="G20"/>
  <c r="F20"/>
  <c r="Q19"/>
  <c r="P19"/>
  <c r="L19"/>
  <c r="K19"/>
  <c r="G19"/>
  <c r="F19"/>
  <c r="Q18"/>
  <c r="P18"/>
  <c r="L18"/>
  <c r="K18"/>
  <c r="G18"/>
  <c r="F18"/>
  <c r="Q17"/>
  <c r="P17"/>
  <c r="L17"/>
  <c r="K17"/>
  <c r="G17"/>
  <c r="F17"/>
  <c r="Q16"/>
  <c r="P16"/>
  <c r="L16"/>
  <c r="K16"/>
  <c r="G16"/>
  <c r="F16"/>
  <c r="Q15"/>
  <c r="P15"/>
  <c r="L15"/>
  <c r="K15"/>
  <c r="G15"/>
  <c r="F15"/>
  <c r="Q14"/>
  <c r="P14"/>
  <c r="L14"/>
  <c r="K14"/>
  <c r="G14"/>
  <c r="F14"/>
  <c r="Q13"/>
  <c r="P13"/>
  <c r="L13"/>
  <c r="K13"/>
  <c r="G13"/>
  <c r="F13"/>
  <c r="Q12"/>
  <c r="P12"/>
  <c r="L12"/>
  <c r="K12"/>
  <c r="G12"/>
  <c r="F12"/>
  <c r="Q11"/>
  <c r="P11"/>
  <c r="L11"/>
  <c r="K11"/>
  <c r="G11"/>
  <c r="F11"/>
  <c r="Q10"/>
  <c r="P10"/>
  <c r="L10"/>
  <c r="K10"/>
  <c r="G10"/>
  <c r="F10"/>
  <c r="Q9"/>
  <c r="P9"/>
  <c r="L9"/>
  <c r="K9"/>
  <c r="G9"/>
  <c r="F9"/>
  <c r="Q8"/>
  <c r="P8"/>
  <c r="L8"/>
  <c r="K8"/>
  <c r="G8"/>
  <c r="F8"/>
  <c r="Q7"/>
  <c r="P7"/>
  <c r="L7"/>
  <c r="K7"/>
  <c r="G7"/>
  <c r="F7"/>
  <c r="Q6"/>
  <c r="P6"/>
  <c r="L6"/>
  <c r="K6"/>
  <c r="G6"/>
  <c r="F6"/>
  <c r="Q5"/>
  <c r="P5"/>
  <c r="L5"/>
  <c r="K5"/>
  <c r="G5"/>
  <c r="F5"/>
  <c r="U5" i="3" l="1"/>
  <c r="U11"/>
  <c r="A61" i="1"/>
  <c r="A60"/>
  <c r="A59"/>
  <c r="K47"/>
  <c r="F49"/>
  <c r="F50"/>
  <c r="F46"/>
  <c r="K46"/>
  <c r="P46"/>
  <c r="F48"/>
  <c r="K48"/>
  <c r="P48"/>
  <c r="A58"/>
  <c r="L60"/>
  <c r="L62"/>
  <c r="L64"/>
  <c r="L58"/>
  <c r="G60"/>
  <c r="G64"/>
  <c r="L59"/>
  <c r="L61"/>
  <c r="L63"/>
  <c r="L65"/>
  <c r="G59"/>
  <c r="G61"/>
  <c r="G63"/>
  <c r="G65"/>
  <c r="G62"/>
  <c r="G58"/>
  <c r="B62"/>
  <c r="A62" s="1"/>
  <c r="B61"/>
  <c r="B60"/>
  <c r="B59"/>
  <c r="F47"/>
  <c r="P47"/>
  <c r="K49"/>
  <c r="P49"/>
  <c r="K50"/>
  <c r="P50"/>
  <c r="F51"/>
  <c r="K51"/>
  <c r="P51"/>
  <c r="F52"/>
  <c r="K52"/>
  <c r="P52"/>
  <c r="F53"/>
  <c r="K53"/>
  <c r="P53"/>
  <c r="B58"/>
  <c r="T11" i="3"/>
  <c r="AS31"/>
  <c r="Y19"/>
  <c r="Z5"/>
  <c r="Y5" s="1"/>
  <c r="AO5"/>
  <c r="AN5"/>
  <c r="AT32"/>
  <c r="AS32"/>
  <c r="AE14"/>
  <c r="AD14" s="1"/>
  <c r="AE15"/>
  <c r="AD15" s="1"/>
  <c r="AO11"/>
  <c r="AN11"/>
  <c r="AD16"/>
  <c r="AE16"/>
  <c r="Z10"/>
  <c r="Y10" s="1"/>
  <c r="AD10"/>
  <c r="AE10"/>
  <c r="U8"/>
  <c r="T8"/>
  <c r="AN4"/>
  <c r="AS37"/>
  <c r="AT37"/>
  <c r="AO44"/>
  <c r="AN44" s="1"/>
  <c r="AT44"/>
  <c r="AS44" s="1"/>
  <c r="AN47"/>
  <c r="AO47"/>
  <c r="AN49"/>
  <c r="AO49"/>
  <c r="AO36"/>
  <c r="AN36" s="1"/>
  <c r="AT36"/>
  <c r="AS36" s="1"/>
  <c r="AO39"/>
  <c r="AN39"/>
  <c r="AO42"/>
  <c r="AN42"/>
  <c r="AT45"/>
  <c r="AS45"/>
  <c r="AS49"/>
  <c r="AT49"/>
  <c r="U10"/>
  <c r="T10" s="1"/>
  <c r="Z7"/>
  <c r="Y7" s="1"/>
  <c r="Z6"/>
  <c r="Y6" s="1"/>
  <c r="T5"/>
  <c r="AN33"/>
  <c r="AN31"/>
  <c r="AD13"/>
  <c r="AN35"/>
  <c r="AS39"/>
  <c r="AN41"/>
  <c r="AS42"/>
  <c r="AS47"/>
  <c r="Z11"/>
  <c r="Y11" s="1"/>
  <c r="AT33"/>
  <c r="AS33"/>
  <c r="AO10"/>
  <c r="AN10"/>
  <c r="AO9"/>
  <c r="AN9"/>
  <c r="U9"/>
  <c r="T9" s="1"/>
  <c r="Z9"/>
  <c r="Y9" s="1"/>
  <c r="Z8"/>
  <c r="Y8"/>
  <c r="U7"/>
  <c r="T7"/>
  <c r="U6"/>
  <c r="T6"/>
  <c r="U4"/>
  <c r="Z4"/>
  <c r="Y4"/>
  <c r="AF4"/>
  <c r="AE4" s="1"/>
  <c r="AD4" s="1"/>
  <c r="T4"/>
  <c r="AO32"/>
  <c r="AN32"/>
  <c r="Z17"/>
  <c r="Y17" s="1"/>
  <c r="Z18"/>
  <c r="Y18" s="1"/>
  <c r="AE6"/>
  <c r="AD6" s="1"/>
  <c r="AO6"/>
  <c r="AN6"/>
  <c r="AO34"/>
  <c r="AN34"/>
  <c r="AS35"/>
  <c r="AT35"/>
  <c r="AO38"/>
  <c r="AN38" s="1"/>
  <c r="AT38"/>
  <c r="AS38" s="1"/>
  <c r="AN40"/>
  <c r="AO40"/>
  <c r="AS41"/>
  <c r="AT41"/>
  <c r="AN43"/>
  <c r="AO43"/>
  <c r="AN48"/>
  <c r="AO48"/>
  <c r="AT34"/>
  <c r="AS34"/>
  <c r="AT40"/>
  <c r="AS40"/>
  <c r="AS43"/>
  <c r="AT43"/>
  <c r="AO46"/>
  <c r="AN46" s="1"/>
  <c r="AT46"/>
  <c r="AS46" s="1"/>
  <c r="AT48"/>
  <c r="AS48"/>
  <c r="AN8"/>
  <c r="AO7"/>
  <c r="AN7" s="1"/>
  <c r="AN37"/>
  <c r="AN45"/>
  <c r="AH4" l="1"/>
  <c r="AI4" s="1"/>
  <c r="AG4"/>
  <c r="AQ36" i="2"/>
  <c r="BH27"/>
  <c r="AQ31"/>
  <c r="AZ22"/>
  <c r="AK36"/>
  <c r="BB27"/>
  <c r="BD29"/>
  <c r="AU20"/>
  <c r="BG28"/>
  <c r="AZ23"/>
  <c r="BA28"/>
  <c r="BB23"/>
  <c r="AY21"/>
  <c r="BJ12"/>
  <c r="AX9"/>
  <c r="AZ32"/>
  <c r="BF35"/>
  <c r="AS27"/>
  <c r="AV18"/>
  <c r="AT32"/>
  <c r="AZ35"/>
  <c r="BF26"/>
  <c r="BJ16"/>
  <c r="BJ35"/>
  <c r="AZ18"/>
  <c r="BD35"/>
  <c r="BB17"/>
  <c r="AJ19"/>
  <c r="AT10"/>
  <c r="AS37"/>
  <c r="AZ30"/>
  <c r="BH33"/>
  <c r="AT25"/>
  <c r="AI37"/>
  <c r="AT30"/>
  <c r="BF33"/>
  <c r="AT24"/>
  <c r="AM36"/>
  <c r="AM31"/>
  <c r="BF36"/>
  <c r="AK31"/>
  <c r="AT14"/>
  <c r="BC16"/>
  <c r="Z3"/>
  <c r="AI36"/>
  <c r="AZ27"/>
  <c r="AI31"/>
  <c r="AK20"/>
  <c r="AJ34"/>
  <c r="AO25"/>
  <c r="AT28"/>
  <c r="BA19"/>
  <c r="AN27"/>
  <c r="BH21"/>
  <c r="BK26"/>
  <c r="BJ21"/>
  <c r="BF20"/>
  <c r="AL12"/>
  <c r="BE8"/>
  <c r="BA35"/>
  <c r="BE26"/>
  <c r="AQ30"/>
  <c r="AV21"/>
  <c r="AU35"/>
  <c r="AY26"/>
  <c r="BB28"/>
  <c r="AK19"/>
  <c r="BA26"/>
  <c r="AR21"/>
  <c r="AU26"/>
  <c r="AT21"/>
  <c r="AX20"/>
  <c r="BF11"/>
  <c r="Z5"/>
  <c r="AV31"/>
  <c r="BA34"/>
  <c r="AN26"/>
  <c r="BG37"/>
  <c r="AP31"/>
  <c r="AY34"/>
  <c r="BD25"/>
  <c r="AO37"/>
  <c r="BD33"/>
  <c r="BH36"/>
  <c r="BB33"/>
  <c r="BF15"/>
  <c r="AI18"/>
  <c r="AQ9"/>
  <c r="BH37"/>
  <c r="AW29"/>
  <c r="BG32"/>
  <c r="AR24"/>
  <c r="BB37"/>
  <c r="AQ29"/>
  <c r="AW32"/>
  <c r="AP23"/>
  <c r="AT34"/>
  <c r="AL29"/>
  <c r="AN34"/>
  <c r="AJ29"/>
  <c r="AP13"/>
  <c r="BA15"/>
  <c r="AM12"/>
  <c r="AS35"/>
  <c r="AW26"/>
  <c r="AI30"/>
  <c r="AN21"/>
  <c r="AM35"/>
  <c r="AQ26"/>
  <c r="AV29"/>
  <c r="BC20"/>
  <c r="AS29"/>
  <c r="AN24"/>
  <c r="AM29"/>
  <c r="AP24"/>
  <c r="BG21"/>
  <c r="AO13"/>
  <c r="BF9"/>
  <c r="AZ14"/>
  <c r="AO21"/>
  <c r="AR16"/>
  <c r="AS14"/>
  <c r="BA10"/>
  <c r="AN20"/>
  <c r="AQ13"/>
  <c r="AW37"/>
  <c r="AM37"/>
  <c r="BJ33"/>
  <c r="BJ15"/>
  <c r="BF12"/>
  <c r="BH13"/>
  <c r="BA12"/>
  <c r="BF10"/>
  <c r="AU22"/>
  <c r="AO10"/>
  <c r="BA23"/>
  <c r="AK14"/>
  <c r="AS10"/>
  <c r="AN30"/>
  <c r="AW20"/>
  <c r="BA25"/>
  <c r="AY20"/>
  <c r="AY16"/>
  <c r="AL18"/>
  <c r="AV11"/>
  <c r="BE15"/>
  <c r="AZ17"/>
  <c r="AN11"/>
  <c r="AV17"/>
  <c r="AU15"/>
  <c r="AM11"/>
  <c r="BH31"/>
  <c r="AZ26"/>
  <c r="BB31"/>
  <c r="BB26"/>
  <c r="AW22"/>
  <c r="AM10"/>
  <c r="AU17"/>
  <c r="CK13"/>
  <c r="AY12"/>
  <c r="AP19"/>
  <c r="CM35"/>
  <c r="BI18"/>
  <c r="AN10"/>
  <c r="CM29"/>
  <c r="BI26"/>
  <c r="AZ21"/>
  <c r="BC26"/>
  <c r="BB21"/>
  <c r="BA17"/>
  <c r="AZ12"/>
  <c r="AM21"/>
  <c r="BI8"/>
  <c r="BA16"/>
  <c r="BD15"/>
  <c r="AW19"/>
  <c r="BC11"/>
  <c r="AI33"/>
  <c r="BE27"/>
  <c r="BF32"/>
  <c r="BC27"/>
  <c r="AY23"/>
  <c r="AO11"/>
  <c r="AW18"/>
  <c r="AZ8"/>
  <c r="AR20"/>
  <c r="AM8"/>
  <c r="AW21"/>
  <c r="AI13"/>
  <c r="AR9"/>
  <c r="AI28"/>
  <c r="BD22"/>
  <c r="BF27"/>
  <c r="BF22"/>
  <c r="BC18"/>
  <c r="BC13"/>
  <c r="BI17"/>
  <c r="AU13"/>
  <c r="AN15"/>
  <c r="BG13"/>
  <c r="AK10"/>
  <c r="AL34"/>
  <c r="BH28"/>
  <c r="BI33"/>
  <c r="BF28"/>
  <c r="AL13"/>
  <c r="AQ12"/>
  <c r="AX19"/>
  <c r="BC9"/>
  <c r="AS21"/>
  <c r="AN9"/>
  <c r="AY22"/>
  <c r="AY13"/>
  <c r="BH9"/>
  <c r="AY33"/>
  <c r="AR28"/>
  <c r="AS33"/>
  <c r="AP28"/>
  <c r="BG23"/>
  <c r="BE11"/>
  <c r="CL27"/>
  <c r="AP10"/>
  <c r="BK22"/>
  <c r="BE10"/>
  <c r="CL26"/>
  <c r="CL18"/>
  <c r="CL9"/>
  <c r="BD36"/>
  <c r="AJ30"/>
  <c r="AR33"/>
  <c r="BH24"/>
  <c r="AL36"/>
  <c r="BG29"/>
  <c r="AP33"/>
  <c r="BB22"/>
  <c r="AQ33"/>
  <c r="AJ28"/>
  <c r="AK33"/>
  <c r="BK27"/>
  <c r="BC23"/>
  <c r="AK15"/>
  <c r="BA11"/>
  <c r="BF34"/>
  <c r="BK25"/>
  <c r="AX29"/>
  <c r="BA20"/>
  <c r="AZ34"/>
  <c r="BE25"/>
  <c r="BJ28"/>
  <c r="AM20"/>
  <c r="AQ28"/>
  <c r="AJ23"/>
  <c r="AK28"/>
  <c r="AL23"/>
  <c r="AQ21"/>
  <c r="BB12"/>
  <c r="AP9"/>
  <c r="BH32"/>
  <c r="AK24"/>
  <c r="BA27"/>
  <c r="BD18"/>
  <c r="CM18" s="1"/>
  <c r="BB32"/>
  <c r="BH35"/>
  <c r="AI27"/>
  <c r="BB16"/>
  <c r="AT35"/>
  <c r="AJ18"/>
  <c r="AN35"/>
  <c r="AL17"/>
  <c r="BG18"/>
  <c r="AL10"/>
  <c r="AP36"/>
  <c r="BE29"/>
  <c r="AJ33"/>
  <c r="AR22"/>
  <c r="AV36"/>
  <c r="AT27"/>
  <c r="AW30"/>
  <c r="BF21"/>
  <c r="AZ31"/>
  <c r="AR26"/>
  <c r="AT31"/>
  <c r="AT26"/>
  <c r="BI22"/>
  <c r="AQ14"/>
  <c r="BG10"/>
  <c r="AR37"/>
  <c r="BK28"/>
  <c r="AQ32"/>
  <c r="BD23"/>
  <c r="AL37"/>
  <c r="BE28"/>
  <c r="BE30"/>
  <c r="AX21"/>
  <c r="AJ31"/>
  <c r="BF25"/>
  <c r="BF30"/>
  <c r="BH25"/>
  <c r="BA22"/>
  <c r="AI14"/>
  <c r="AY10"/>
  <c r="BC33"/>
  <c r="CL33" s="1"/>
  <c r="BI24"/>
  <c r="AV28"/>
  <c r="AY19"/>
  <c r="AW33"/>
  <c r="BC24"/>
  <c r="BG27"/>
  <c r="AX18"/>
  <c r="AK26"/>
  <c r="BE20"/>
  <c r="BI25"/>
  <c r="BG20"/>
  <c r="AP20"/>
  <c r="AX11"/>
  <c r="AO8"/>
  <c r="BD31"/>
  <c r="CM31" s="1"/>
  <c r="BI34"/>
  <c r="AV26"/>
  <c r="AH40"/>
  <c r="AX31"/>
  <c r="BG34"/>
  <c r="AV25"/>
  <c r="AX36"/>
  <c r="AN33"/>
  <c r="AH39"/>
  <c r="AL33"/>
  <c r="AX15"/>
  <c r="BE17"/>
  <c r="AI9"/>
  <c r="AJ37"/>
  <c r="BC28"/>
  <c r="CL28" s="1"/>
  <c r="AI32"/>
  <c r="AV23"/>
  <c r="BI36"/>
  <c r="AW28"/>
  <c r="BE31"/>
  <c r="BJ22"/>
  <c r="BG33"/>
  <c r="AZ28"/>
  <c r="BA33"/>
  <c r="AX28"/>
  <c r="BK23"/>
  <c r="AS15"/>
  <c r="BI11"/>
  <c r="BH16"/>
  <c r="AR14"/>
  <c r="BI14"/>
  <c r="BA18"/>
  <c r="BE12"/>
  <c r="AZ16"/>
  <c r="BD20"/>
  <c r="AS26"/>
  <c r="AJ21"/>
  <c r="AM26"/>
  <c r="AL21"/>
  <c r="AK17"/>
  <c r="AO19"/>
  <c r="AJ12"/>
  <c r="AO15"/>
  <c r="CK15" s="1"/>
  <c r="BH15"/>
  <c r="AW9"/>
  <c r="AN17"/>
  <c r="AO16"/>
  <c r="CK16" s="1"/>
  <c r="AW12"/>
  <c r="BB34"/>
  <c r="AT29"/>
  <c r="BK29"/>
  <c r="AJ25"/>
  <c r="BJ20"/>
  <c r="BA8"/>
  <c r="BG15"/>
  <c r="AL20"/>
  <c r="AY15"/>
  <c r="CK25"/>
  <c r="BB19"/>
  <c r="AP8"/>
  <c r="AZ36"/>
  <c r="BK30"/>
  <c r="AN36"/>
  <c r="BI30"/>
  <c r="AP14"/>
  <c r="AU9"/>
  <c r="BA21"/>
  <c r="BK8"/>
  <c r="BJ11"/>
  <c r="AW23"/>
  <c r="AQ11"/>
  <c r="CL20"/>
  <c r="AV12"/>
  <c r="BG8"/>
  <c r="AR31"/>
  <c r="AJ26"/>
  <c r="AL31"/>
  <c r="AL26"/>
  <c r="BK21"/>
  <c r="BB9"/>
  <c r="BI16"/>
  <c r="AJ8"/>
  <c r="BH20"/>
  <c r="BC8"/>
  <c r="AK18"/>
  <c r="AJ11"/>
  <c r="BK36"/>
  <c r="BK31"/>
  <c r="BE36"/>
  <c r="BI31"/>
  <c r="BF14"/>
  <c r="AX10"/>
  <c r="BC22"/>
  <c r="AW10"/>
  <c r="AK13"/>
  <c r="AZ13"/>
  <c r="AS12"/>
  <c r="BH14"/>
  <c r="AM15"/>
  <c r="AU11"/>
  <c r="AV32"/>
  <c r="AO27"/>
  <c r="AP32"/>
  <c r="AM27"/>
  <c r="AI23"/>
  <c r="BC10"/>
  <c r="CL10" s="1"/>
  <c r="BK17"/>
  <c r="AO22"/>
  <c r="BJ9"/>
  <c r="BC17"/>
  <c r="CL17" s="1"/>
  <c r="CM15"/>
  <c r="AY17"/>
  <c r="AO12"/>
  <c r="AH41"/>
  <c r="BK32"/>
  <c r="BF37"/>
  <c r="BI32"/>
  <c r="AT15"/>
  <c r="BB11"/>
  <c r="BE23"/>
  <c r="AY11"/>
  <c r="AM14"/>
  <c r="BD14"/>
  <c r="CM14" s="1"/>
  <c r="AT8"/>
  <c r="AJ16"/>
  <c r="BC15"/>
  <c r="BK11"/>
  <c r="AV37"/>
  <c r="AU32"/>
  <c r="AP37"/>
  <c r="AS32"/>
  <c r="AL15"/>
  <c r="AL11"/>
  <c r="AO23"/>
  <c r="AI11"/>
  <c r="BC14"/>
  <c r="AV16"/>
  <c r="AJ10"/>
  <c r="CM22"/>
  <c r="CM33"/>
  <c r="CL22"/>
  <c r="CL13"/>
  <c r="CK12"/>
  <c r="CL11"/>
  <c r="CL15"/>
  <c r="AR32"/>
  <c r="AX35"/>
  <c r="AK27"/>
  <c r="AN18"/>
  <c r="AL32"/>
  <c r="AR35"/>
  <c r="BJ24"/>
  <c r="AN37"/>
  <c r="AM32"/>
  <c r="CM36"/>
  <c r="AK32"/>
  <c r="BJ14"/>
  <c r="AO17"/>
  <c r="AV8"/>
  <c r="AY36"/>
  <c r="AM28"/>
  <c r="AY31"/>
  <c r="BH22"/>
  <c r="AS36"/>
  <c r="BJ27"/>
  <c r="AO31"/>
  <c r="CK31" s="1"/>
  <c r="AT22"/>
  <c r="BD32"/>
  <c r="AW27"/>
  <c r="AX32"/>
  <c r="AU27"/>
  <c r="AU23"/>
  <c r="BG14"/>
  <c r="AS11"/>
  <c r="AK35"/>
  <c r="AO26"/>
  <c r="BF29"/>
  <c r="BI20"/>
  <c r="BH34"/>
  <c r="AI26"/>
  <c r="AN29"/>
  <c r="BI19"/>
  <c r="BD27"/>
  <c r="AV22"/>
  <c r="AX27"/>
  <c r="AX22"/>
  <c r="AI21"/>
  <c r="AT12"/>
  <c r="AW8"/>
  <c r="AJ32"/>
  <c r="AP35"/>
  <c r="AZ24"/>
  <c r="BJ37"/>
  <c r="AY29"/>
  <c r="BE32"/>
  <c r="AL24"/>
  <c r="AJ36"/>
  <c r="BC30"/>
  <c r="BG35"/>
  <c r="BA30"/>
  <c r="AL14"/>
  <c r="AU16"/>
  <c r="BK12"/>
  <c r="BI37"/>
  <c r="AN31"/>
  <c r="AS34"/>
  <c r="BJ25"/>
  <c r="AY37"/>
  <c r="BJ30"/>
  <c r="AQ34"/>
  <c r="BF23"/>
  <c r="AW35"/>
  <c r="AM30"/>
  <c r="AQ35"/>
  <c r="AK30"/>
  <c r="BF13"/>
  <c r="AM16"/>
  <c r="BC12"/>
  <c r="CL12" s="1"/>
  <c r="BI35"/>
  <c r="AJ27"/>
  <c r="AY30"/>
  <c r="BD21"/>
  <c r="BC35"/>
  <c r="BG26"/>
  <c r="AP21"/>
  <c r="AV30"/>
  <c r="AP25"/>
  <c r="AP30"/>
  <c r="AR25"/>
  <c r="AS22"/>
  <c r="BE13"/>
  <c r="AQ10"/>
  <c r="BK33"/>
  <c r="AM25"/>
  <c r="BD28"/>
  <c r="CM28" s="1"/>
  <c r="BG19"/>
  <c r="BE33"/>
  <c r="BK24"/>
  <c r="AL28"/>
  <c r="BJ17"/>
  <c r="AY25"/>
  <c r="AO20"/>
  <c r="CK20" s="1"/>
  <c r="AS25"/>
  <c r="AQ20"/>
  <c r="BH19"/>
  <c r="AP11"/>
  <c r="BA37"/>
  <c r="BH30"/>
  <c r="AK34"/>
  <c r="BB25"/>
  <c r="AQ37"/>
  <c r="BB30"/>
  <c r="AI34"/>
  <c r="AN25"/>
  <c r="BD37"/>
  <c r="BC32"/>
  <c r="CL32" s="1"/>
  <c r="AX37"/>
  <c r="BA32"/>
  <c r="AP15"/>
  <c r="AW17"/>
  <c r="BD8"/>
  <c r="CM8" s="1"/>
  <c r="CM21"/>
  <c r="CL23"/>
  <c r="AI17"/>
  <c r="AN13"/>
  <c r="BI9"/>
  <c r="AV13"/>
  <c r="AJ14"/>
  <c r="AZ9"/>
  <c r="BD30"/>
  <c r="AX25"/>
  <c r="AX30"/>
  <c r="AZ25"/>
  <c r="AU21"/>
  <c r="AL9"/>
  <c r="AS16"/>
  <c r="AV19"/>
  <c r="CK26"/>
  <c r="BK13"/>
  <c r="CM32"/>
  <c r="AS18"/>
  <c r="BA9"/>
  <c r="BJ36"/>
  <c r="AV33"/>
  <c r="AV34"/>
  <c r="AR29"/>
  <c r="AT13"/>
  <c r="BG12"/>
  <c r="AJ20"/>
  <c r="CM27"/>
  <c r="AI12"/>
  <c r="BF19"/>
  <c r="AV15"/>
  <c r="AV10"/>
  <c r="AL35"/>
  <c r="BD17"/>
  <c r="BK34"/>
  <c r="BF16"/>
  <c r="BI13"/>
  <c r="AJ15"/>
  <c r="BB8"/>
  <c r="AQ16"/>
  <c r="AJ17"/>
  <c r="AZ10"/>
  <c r="BD13"/>
  <c r="CM13" s="1"/>
  <c r="BA14"/>
  <c r="BI10"/>
  <c r="BE35"/>
  <c r="AU30"/>
  <c r="AY35"/>
  <c r="AS30"/>
  <c r="BJ13"/>
  <c r="BH8"/>
  <c r="AK21"/>
  <c r="AU8"/>
  <c r="AX12"/>
  <c r="AN14"/>
  <c r="BI12"/>
  <c r="AK23"/>
  <c r="AW16"/>
  <c r="CM20"/>
  <c r="AO24"/>
  <c r="CK24" s="1"/>
  <c r="BH18"/>
  <c r="AI24"/>
  <c r="AP18"/>
  <c r="BK14"/>
  <c r="AN16"/>
  <c r="BE9"/>
  <c r="AS17"/>
  <c r="BB18"/>
  <c r="BD11"/>
  <c r="CM11" s="1"/>
  <c r="CM25"/>
  <c r="AQ17"/>
  <c r="AX8"/>
  <c r="AU36"/>
  <c r="AU31"/>
  <c r="AO36"/>
  <c r="CK36" s="1"/>
  <c r="AS31"/>
  <c r="AX14"/>
  <c r="BK9"/>
  <c r="AM22"/>
  <c r="AV9"/>
  <c r="AM9"/>
  <c r="BI21"/>
  <c r="BD9"/>
  <c r="AI22"/>
  <c r="AS9"/>
  <c r="CK17"/>
  <c r="AQ25"/>
  <c r="BK19"/>
  <c r="AK25"/>
  <c r="AI20"/>
  <c r="AI16"/>
  <c r="AR17"/>
  <c r="BH10"/>
  <c r="AU18"/>
  <c r="CL16"/>
  <c r="BH12"/>
  <c r="CK19"/>
  <c r="BG17"/>
  <c r="AK9"/>
  <c r="BE24"/>
  <c r="AU19"/>
  <c r="AY24"/>
  <c r="AS19"/>
  <c r="AW15"/>
  <c r="BD16"/>
  <c r="AR10"/>
  <c r="BK18"/>
  <c r="AW14"/>
  <c r="CL35"/>
  <c r="CK10"/>
  <c r="CM17"/>
  <c r="CM16"/>
  <c r="CK23"/>
  <c r="CM9"/>
  <c r="CK22"/>
  <c r="AX34"/>
  <c r="BC25"/>
  <c r="AP29"/>
  <c r="AS20"/>
  <c r="AR34"/>
  <c r="AW25"/>
  <c r="AY27"/>
  <c r="AP17"/>
  <c r="AW24"/>
  <c r="AM19"/>
  <c r="AQ24"/>
  <c r="BF18"/>
  <c r="AR19"/>
  <c r="BB10"/>
  <c r="AK37"/>
  <c r="AR30"/>
  <c r="AZ33"/>
  <c r="AL25"/>
  <c r="BB36"/>
  <c r="AL30"/>
  <c r="AX33"/>
  <c r="BB24"/>
  <c r="BC36"/>
  <c r="CL36" s="1"/>
  <c r="BC31"/>
  <c r="CL31" s="1"/>
  <c r="AW36"/>
  <c r="BA31"/>
  <c r="BB14"/>
  <c r="BK16"/>
  <c r="AN8"/>
  <c r="BG36"/>
  <c r="AU28"/>
  <c r="BG31"/>
  <c r="AN23"/>
  <c r="BA36"/>
  <c r="AO28"/>
  <c r="AW31"/>
  <c r="AL22"/>
  <c r="AN32"/>
  <c r="BH26"/>
  <c r="BJ31"/>
  <c r="BJ26"/>
  <c r="AM23"/>
  <c r="AY14"/>
  <c r="AK11"/>
  <c r="AP34"/>
  <c r="AU25"/>
  <c r="BD26"/>
  <c r="CM26" s="1"/>
  <c r="BH17"/>
  <c r="BF31"/>
  <c r="AJ35"/>
  <c r="AP26"/>
  <c r="AT16"/>
  <c r="BE34"/>
  <c r="BK37"/>
  <c r="BC34"/>
  <c r="AX16"/>
  <c r="AY18"/>
  <c r="BG9"/>
  <c r="AT18"/>
  <c r="AU33"/>
  <c r="BA24"/>
  <c r="AN28"/>
  <c r="AQ19"/>
  <c r="AO33"/>
  <c r="AU24"/>
  <c r="AX26"/>
  <c r="BE37"/>
  <c r="AO34"/>
  <c r="AU37"/>
  <c r="AM34"/>
  <c r="AL16"/>
  <c r="AQ18"/>
  <c r="AY9"/>
  <c r="AZ37"/>
  <c r="AO29"/>
  <c r="CK29" s="1"/>
  <c r="AY32"/>
  <c r="AJ24"/>
  <c r="AT37"/>
  <c r="AI29"/>
  <c r="AO32"/>
  <c r="CK32" s="1"/>
  <c r="AX23"/>
  <c r="BJ34"/>
  <c r="BB29"/>
  <c r="BD34"/>
  <c r="CM34" s="1"/>
  <c r="AZ29"/>
  <c r="AX13"/>
  <c r="BI15"/>
  <c r="AU12"/>
  <c r="AR36"/>
  <c r="AR27"/>
  <c r="BG30"/>
  <c r="AJ22"/>
  <c r="BK35"/>
  <c r="AL27"/>
  <c r="AO30"/>
  <c r="CK30" s="1"/>
  <c r="BK20"/>
  <c r="BI29"/>
  <c r="BD24"/>
  <c r="BC29"/>
  <c r="BF24"/>
  <c r="AK22"/>
  <c r="AW13"/>
  <c r="AI10"/>
  <c r="AM33"/>
  <c r="AS24"/>
  <c r="BI27"/>
  <c r="AI19"/>
  <c r="BJ32"/>
  <c r="AM24"/>
  <c r="AQ27"/>
  <c r="AX17"/>
  <c r="AI25"/>
  <c r="BC19"/>
  <c r="CL19" s="1"/>
  <c r="BG24"/>
  <c r="BE19"/>
  <c r="AZ19"/>
  <c r="BJ10"/>
  <c r="CK37"/>
  <c r="AS23"/>
  <c r="AL19"/>
  <c r="BG22"/>
  <c r="AN12"/>
  <c r="AY8"/>
  <c r="BK15"/>
  <c r="BF8"/>
  <c r="AO35"/>
  <c r="CK35" s="1"/>
  <c r="BJ29"/>
  <c r="AI35"/>
  <c r="BH29"/>
  <c r="BB13"/>
  <c r="AR8"/>
  <c r="AZ20"/>
  <c r="CM37"/>
  <c r="AW11"/>
  <c r="AO18"/>
  <c r="CK18" s="1"/>
  <c r="CM24"/>
  <c r="AV20"/>
  <c r="BH11"/>
  <c r="AQ8"/>
  <c r="BG25"/>
  <c r="AT36"/>
  <c r="AT33"/>
  <c r="BB15"/>
  <c r="AP12"/>
  <c r="AR13"/>
  <c r="AK12"/>
  <c r="AT11"/>
  <c r="AJ13"/>
  <c r="BG11"/>
  <c r="BI23"/>
  <c r="BD12"/>
  <c r="CM12" s="1"/>
  <c r="AJ9"/>
  <c r="AV27"/>
  <c r="AN22"/>
  <c r="AP27"/>
  <c r="AP22"/>
  <c r="AM18"/>
  <c r="CM23"/>
  <c r="AM13"/>
  <c r="BB20"/>
  <c r="AS8"/>
  <c r="AI15"/>
  <c r="BJ18"/>
  <c r="BE16"/>
  <c r="Z4"/>
  <c r="AH38"/>
  <c r="AW34"/>
  <c r="BC37"/>
  <c r="CL37" s="1"/>
  <c r="AU34"/>
  <c r="AP16"/>
  <c r="AS13"/>
  <c r="AV14"/>
  <c r="AL8"/>
  <c r="BG16"/>
  <c r="CK8"/>
  <c r="AR12"/>
  <c r="CM30"/>
  <c r="AQ22"/>
  <c r="BF17"/>
  <c r="CL25"/>
  <c r="AY28"/>
  <c r="AR23"/>
  <c r="AS28"/>
  <c r="AT23"/>
  <c r="AN19"/>
  <c r="CL34"/>
  <c r="AO14"/>
  <c r="CK14" s="1"/>
  <c r="BC21"/>
  <c r="AT9"/>
  <c r="AK16"/>
  <c r="CK11"/>
  <c r="AT19"/>
  <c r="BD10"/>
  <c r="CM10" s="1"/>
  <c r="CK34"/>
  <c r="BB35"/>
  <c r="AR18"/>
  <c r="AV35"/>
  <c r="AT17"/>
  <c r="AU14"/>
  <c r="AZ15"/>
  <c r="AO9"/>
  <c r="CK9" s="1"/>
  <c r="BA13"/>
  <c r="AR15"/>
  <c r="BJ8"/>
  <c r="CL21"/>
  <c r="BE21"/>
  <c r="AZ11"/>
  <c r="AI8"/>
  <c r="BA29"/>
  <c r="AV24"/>
  <c r="AU29"/>
  <c r="AX24"/>
  <c r="AT20"/>
  <c r="AK8"/>
  <c r="AQ15"/>
  <c r="BE22"/>
  <c r="AU10"/>
  <c r="AM17"/>
  <c r="CK21"/>
  <c r="BJ19"/>
  <c r="AR11"/>
  <c r="CL29"/>
  <c r="AK29"/>
  <c r="BH23"/>
  <c r="BI28"/>
  <c r="BJ23"/>
  <c r="BD19"/>
  <c r="CM19" s="1"/>
  <c r="CK33"/>
  <c r="BE14"/>
  <c r="AQ23"/>
  <c r="BK10"/>
  <c r="BE18"/>
  <c r="CL30"/>
  <c r="CL8"/>
  <c r="CL14"/>
  <c r="CK28"/>
  <c r="CL24"/>
  <c r="CK27"/>
  <c r="DL16" l="1"/>
  <c r="DL37"/>
  <c r="DL24"/>
  <c r="DL9"/>
  <c r="DL35"/>
  <c r="DL32"/>
  <c r="DL14"/>
  <c r="DL12"/>
  <c r="DL27"/>
  <c r="DL10"/>
  <c r="DL15"/>
  <c r="DL17"/>
  <c r="DL11"/>
  <c r="DL34"/>
  <c r="DL33"/>
  <c r="DL20"/>
  <c r="DL19"/>
  <c r="DL13"/>
  <c r="DL29"/>
  <c r="DL23"/>
  <c r="DL25"/>
  <c r="DL26"/>
  <c r="DL30"/>
  <c r="DL28"/>
  <c r="DL31"/>
  <c r="DL21"/>
  <c r="DL36"/>
  <c r="DL22"/>
  <c r="DL18"/>
  <c r="DL8"/>
  <c r="CO15"/>
  <c r="CP14"/>
  <c r="CN12"/>
  <c r="CP9"/>
  <c r="CN22"/>
  <c r="CN9"/>
  <c r="CO13"/>
  <c r="CO18"/>
  <c r="CN27"/>
  <c r="CP11"/>
  <c r="CO22"/>
  <c r="CN24"/>
  <c r="CO11"/>
  <c r="CO28"/>
  <c r="CP33"/>
  <c r="CN23"/>
  <c r="CR23" s="1"/>
  <c r="CO9"/>
  <c r="CP31"/>
  <c r="CN31"/>
  <c r="CP16"/>
  <c r="CO24"/>
  <c r="CO26"/>
  <c r="CP13"/>
  <c r="CP17"/>
  <c r="CN28"/>
  <c r="CO17"/>
  <c r="CP22"/>
  <c r="CN10"/>
  <c r="CO14"/>
  <c r="CN36"/>
  <c r="CP8"/>
  <c r="CO35"/>
  <c r="CO8"/>
  <c r="CN15"/>
  <c r="CP19"/>
  <c r="CN14"/>
  <c r="CO30"/>
  <c r="BR14"/>
  <c r="BL22"/>
  <c r="CF16"/>
  <c r="DD16"/>
  <c r="BV16"/>
  <c r="BQ16"/>
  <c r="BN16"/>
  <c r="CN32"/>
  <c r="BL10"/>
  <c r="DG10"/>
  <c r="Q10" i="22"/>
  <c r="L10"/>
  <c r="T10"/>
  <c r="P10"/>
  <c r="R10"/>
  <c r="U10"/>
  <c r="S10"/>
  <c r="CB14" i="2"/>
  <c r="BL18"/>
  <c r="V23" i="22"/>
  <c r="CO27" i="2"/>
  <c r="DH10"/>
  <c r="H10" i="22"/>
  <c r="CP18" i="2"/>
  <c r="BW23"/>
  <c r="I23" i="22"/>
  <c r="CA23" i="2"/>
  <c r="CE23" s="1"/>
  <c r="CC16"/>
  <c r="CN33"/>
  <c r="DF11"/>
  <c r="BR15"/>
  <c r="CC19"/>
  <c r="DF15"/>
  <c r="DI19"/>
  <c r="L28" i="22"/>
  <c r="DG28" i="2"/>
  <c r="T28" i="22"/>
  <c r="P28"/>
  <c r="S28"/>
  <c r="R28"/>
  <c r="Q28"/>
  <c r="K28"/>
  <c r="O28" s="1"/>
  <c r="U28"/>
  <c r="DI32" i="2"/>
  <c r="DM24"/>
  <c r="DR24" s="1"/>
  <c r="CH24"/>
  <c r="DI33"/>
  <c r="DG37"/>
  <c r="K37" i="22"/>
  <c r="O37" s="1"/>
  <c r="U37"/>
  <c r="P37"/>
  <c r="Q37"/>
  <c r="S37"/>
  <c r="L37"/>
  <c r="T37"/>
  <c r="R37"/>
  <c r="BX19" i="2"/>
  <c r="BS19"/>
  <c r="H28" i="22"/>
  <c r="DH28" i="2"/>
  <c r="BS32"/>
  <c r="BX32"/>
  <c r="DM33"/>
  <c r="DR33" s="1"/>
  <c r="CH33"/>
  <c r="DD37"/>
  <c r="BQ37"/>
  <c r="CF37"/>
  <c r="BV37"/>
  <c r="BZ37" s="1"/>
  <c r="BN37"/>
  <c r="CP34"/>
  <c r="CO29"/>
  <c r="BL11"/>
  <c r="H11" i="22"/>
  <c r="DH11" i="2"/>
  <c r="DM13"/>
  <c r="DR13" s="1"/>
  <c r="CH13"/>
  <c r="CB15"/>
  <c r="DM22"/>
  <c r="DR22" s="1"/>
  <c r="CH22"/>
  <c r="CN19"/>
  <c r="CN21"/>
  <c r="CR21" s="1"/>
  <c r="BM9"/>
  <c r="C8" i="22"/>
  <c r="E8"/>
  <c r="B8"/>
  <c r="D8"/>
  <c r="G8"/>
  <c r="F8"/>
  <c r="CS17" i="2"/>
  <c r="CU17"/>
  <c r="CY17"/>
  <c r="CT17"/>
  <c r="DC17"/>
  <c r="DE17" s="1"/>
  <c r="DB17"/>
  <c r="DA17"/>
  <c r="CZ17"/>
  <c r="DI21"/>
  <c r="CC14"/>
  <c r="CO16"/>
  <c r="BX10"/>
  <c r="BS10"/>
  <c r="CB9"/>
  <c r="DB14"/>
  <c r="CZ14"/>
  <c r="CS14"/>
  <c r="DA14"/>
  <c r="CY14"/>
  <c r="CU14"/>
  <c r="CT14"/>
  <c r="DC14"/>
  <c r="DE14" s="1"/>
  <c r="BS18"/>
  <c r="BX18"/>
  <c r="CO32"/>
  <c r="DM11"/>
  <c r="DR11" s="1"/>
  <c r="CH11"/>
  <c r="V15" i="22"/>
  <c r="DN19" i="2"/>
  <c r="CG19"/>
  <c r="H17" i="22"/>
  <c r="DH17" i="2"/>
  <c r="V12" i="22"/>
  <c r="C20"/>
  <c r="D20"/>
  <c r="B20"/>
  <c r="G20"/>
  <c r="F20"/>
  <c r="E20"/>
  <c r="DF13" i="2"/>
  <c r="C15" i="22"/>
  <c r="F15"/>
  <c r="E15"/>
  <c r="D15"/>
  <c r="G15"/>
  <c r="B15"/>
  <c r="DN24" i="2"/>
  <c r="CG24"/>
  <c r="BX29"/>
  <c r="BS29"/>
  <c r="BL19"/>
  <c r="BQ24"/>
  <c r="BN24"/>
  <c r="CF24"/>
  <c r="DD24"/>
  <c r="BV24"/>
  <c r="BZ24" s="1"/>
  <c r="V25" i="22"/>
  <c r="DF34" i="2"/>
  <c r="CN17"/>
  <c r="BW12"/>
  <c r="CA12"/>
  <c r="I12" i="22"/>
  <c r="DI9" i="2"/>
  <c r="CH17"/>
  <c r="DM17"/>
  <c r="DR17" s="1"/>
  <c r="BM15"/>
  <c r="CP28"/>
  <c r="CP10"/>
  <c r="CO21"/>
  <c r="CO10"/>
  <c r="CP15"/>
  <c r="CC9"/>
  <c r="BS13"/>
  <c r="BX13"/>
  <c r="CB17"/>
  <c r="H15" i="22"/>
  <c r="DH15" i="2"/>
  <c r="CO19"/>
  <c r="CU9"/>
  <c r="CS9"/>
  <c r="CT9"/>
  <c r="CY9"/>
  <c r="DB9"/>
  <c r="DC9"/>
  <c r="DE9" s="1"/>
  <c r="CZ9"/>
  <c r="DA9"/>
  <c r="CA22"/>
  <c r="CE22" s="1"/>
  <c r="I22" i="22"/>
  <c r="BW22" i="2"/>
  <c r="BN9"/>
  <c r="CF9"/>
  <c r="BQ9"/>
  <c r="DD9"/>
  <c r="BV9"/>
  <c r="I9" i="22"/>
  <c r="BW9" i="2"/>
  <c r="CA9"/>
  <c r="CB13"/>
  <c r="BL17"/>
  <c r="CZ22"/>
  <c r="DA22"/>
  <c r="DB22"/>
  <c r="DC22"/>
  <c r="DE22" s="1"/>
  <c r="CY22"/>
  <c r="CS22"/>
  <c r="CT22"/>
  <c r="CU22"/>
  <c r="CN30"/>
  <c r="CB10"/>
  <c r="BL9"/>
  <c r="BS14"/>
  <c r="BX14"/>
  <c r="CB18"/>
  <c r="DN14"/>
  <c r="CG14"/>
  <c r="B17" i="22"/>
  <c r="C17"/>
  <c r="D17"/>
  <c r="F17"/>
  <c r="G17"/>
  <c r="E17"/>
  <c r="DC27" i="2"/>
  <c r="DE27" s="1"/>
  <c r="DA27"/>
  <c r="CS27"/>
  <c r="CU27"/>
  <c r="CY27"/>
  <c r="DB27"/>
  <c r="CZ27"/>
  <c r="CT27"/>
  <c r="DI31"/>
  <c r="CF35"/>
  <c r="BQ35"/>
  <c r="DD35"/>
  <c r="BV35"/>
  <c r="BZ35" s="1"/>
  <c r="BN35"/>
  <c r="K32" i="22"/>
  <c r="O32" s="1"/>
  <c r="L32"/>
  <c r="S32"/>
  <c r="U32"/>
  <c r="R32"/>
  <c r="T32"/>
  <c r="P32"/>
  <c r="Q32"/>
  <c r="DG32" i="2"/>
  <c r="I36" i="22"/>
  <c r="CA36" i="2"/>
  <c r="BW36"/>
  <c r="DH18"/>
  <c r="H18" i="22"/>
  <c r="CC22" i="2"/>
  <c r="BW27"/>
  <c r="I27" i="22"/>
  <c r="CA27" i="2"/>
  <c r="BX31"/>
  <c r="BS31"/>
  <c r="CF32"/>
  <c r="BQ32"/>
  <c r="DD32"/>
  <c r="BV32"/>
  <c r="BN32"/>
  <c r="BX36"/>
  <c r="BS36"/>
  <c r="CN34"/>
  <c r="H9" i="22"/>
  <c r="DH9" i="2"/>
  <c r="BX11"/>
  <c r="BS11"/>
  <c r="CG8"/>
  <c r="DN8"/>
  <c r="CC10"/>
  <c r="CT15"/>
  <c r="CY15"/>
  <c r="CS15"/>
  <c r="CU15"/>
  <c r="CZ15"/>
  <c r="DA15"/>
  <c r="DB15"/>
  <c r="DC15"/>
  <c r="DE15" s="1"/>
  <c r="V17" i="22"/>
  <c r="B19"/>
  <c r="C19"/>
  <c r="E19"/>
  <c r="G19"/>
  <c r="F19"/>
  <c r="D19"/>
  <c r="BR21" i="2"/>
  <c r="CP25"/>
  <c r="CN11"/>
  <c r="DC8"/>
  <c r="DE8" s="1"/>
  <c r="DB8"/>
  <c r="DA8"/>
  <c r="CZ8"/>
  <c r="CU8"/>
  <c r="CS8"/>
  <c r="CT8"/>
  <c r="CY8"/>
  <c r="DI12"/>
  <c r="CC11"/>
  <c r="DH20"/>
  <c r="H20" i="22"/>
  <c r="F9"/>
  <c r="B9"/>
  <c r="D9"/>
  <c r="C9"/>
  <c r="E9"/>
  <c r="G9"/>
  <c r="DI17" i="2"/>
  <c r="CB21"/>
  <c r="CN20"/>
  <c r="BR10"/>
  <c r="BW14"/>
  <c r="CA14"/>
  <c r="I14" i="22"/>
  <c r="BR18" i="2"/>
  <c r="CB22"/>
  <c r="BM16"/>
  <c r="CO34"/>
  <c r="BW11"/>
  <c r="CA11"/>
  <c r="I11" i="22"/>
  <c r="CG10" i="2"/>
  <c r="DN10"/>
  <c r="BL14"/>
  <c r="BM19"/>
  <c r="CH23"/>
  <c r="DM23"/>
  <c r="DR23" s="1"/>
  <c r="P18" i="22"/>
  <c r="S18"/>
  <c r="R18"/>
  <c r="U18"/>
  <c r="L18"/>
  <c r="DG18" i="2"/>
  <c r="T18" i="22"/>
  <c r="Q18"/>
  <c r="F23"/>
  <c r="E23"/>
  <c r="G23"/>
  <c r="C23"/>
  <c r="B23"/>
  <c r="D23"/>
  <c r="CB27" i="2"/>
  <c r="DI28"/>
  <c r="H23" i="22"/>
  <c r="DH23" i="2"/>
  <c r="CA24"/>
  <c r="I24" i="22"/>
  <c r="BW24" i="2"/>
  <c r="CH28"/>
  <c r="DM28"/>
  <c r="DR28" s="1"/>
  <c r="CP20"/>
  <c r="CO25"/>
  <c r="CB11"/>
  <c r="BR16"/>
  <c r="BR19"/>
  <c r="V22" i="22"/>
  <c r="CC15" i="2"/>
  <c r="CP12"/>
  <c r="CN18"/>
  <c r="CP30"/>
  <c r="CN16"/>
  <c r="CB8"/>
  <c r="H12" i="22"/>
  <c r="J12" s="1"/>
  <c r="K12" s="1"/>
  <c r="DH12" i="2"/>
  <c r="BM14"/>
  <c r="CN8"/>
  <c r="CG12"/>
  <c r="DN12"/>
  <c r="CT21"/>
  <c r="CS21"/>
  <c r="CY21"/>
  <c r="CU21"/>
  <c r="CZ21"/>
  <c r="DB21"/>
  <c r="DA21"/>
  <c r="DC21"/>
  <c r="DE21" s="1"/>
  <c r="CO37"/>
  <c r="BS8"/>
  <c r="BX8"/>
  <c r="DF8"/>
  <c r="DD14"/>
  <c r="CF14"/>
  <c r="BN14"/>
  <c r="BV14"/>
  <c r="BQ14"/>
  <c r="CO12"/>
  <c r="DI13"/>
  <c r="BL21"/>
  <c r="S16" i="22"/>
  <c r="U16"/>
  <c r="R16"/>
  <c r="T16"/>
  <c r="P16"/>
  <c r="DG16" i="2"/>
  <c r="L16" i="22"/>
  <c r="Q16"/>
  <c r="DF26" i="2"/>
  <c r="DI30"/>
  <c r="BX34"/>
  <c r="BS34"/>
  <c r="CB26"/>
  <c r="DF31"/>
  <c r="DM35"/>
  <c r="DR35" s="1"/>
  <c r="CH35"/>
  <c r="CB37"/>
  <c r="BX30"/>
  <c r="BS30"/>
  <c r="BR34"/>
  <c r="DH31"/>
  <c r="H31" i="22"/>
  <c r="CP29" i="2"/>
  <c r="CO3"/>
  <c r="BM10"/>
  <c r="BQ12"/>
  <c r="BN12"/>
  <c r="DD12"/>
  <c r="CF12"/>
  <c r="CJ12" s="1"/>
  <c r="BV12"/>
  <c r="CO20"/>
  <c r="CC13"/>
  <c r="CP35"/>
  <c r="V11" i="22"/>
  <c r="P19"/>
  <c r="R19"/>
  <c r="S19"/>
  <c r="Q19"/>
  <c r="L19"/>
  <c r="DG19" i="2"/>
  <c r="U19" i="22"/>
  <c r="T19"/>
  <c r="BR23" i="2"/>
  <c r="DI8"/>
  <c r="CH12"/>
  <c r="CI12" s="1"/>
  <c r="DM12"/>
  <c r="DR12" s="1"/>
  <c r="V16" i="22"/>
  <c r="CN13" i="2"/>
  <c r="BL8"/>
  <c r="CY13"/>
  <c r="CT13"/>
  <c r="DB13"/>
  <c r="CU13"/>
  <c r="DA13"/>
  <c r="CZ13"/>
  <c r="DC13"/>
  <c r="DE13" s="1"/>
  <c r="CS13"/>
  <c r="CW13" s="1"/>
  <c r="BS17"/>
  <c r="BX17"/>
  <c r="CP23"/>
  <c r="CQ23" s="1"/>
  <c r="CU10"/>
  <c r="CS10"/>
  <c r="CT10"/>
  <c r="CY10"/>
  <c r="DB10"/>
  <c r="DC10"/>
  <c r="DE10" s="1"/>
  <c r="CZ10"/>
  <c r="DA10"/>
  <c r="BX9"/>
  <c r="BS9"/>
  <c r="CT18"/>
  <c r="CS18"/>
  <c r="CY18"/>
  <c r="CU18"/>
  <c r="DA18"/>
  <c r="DC18"/>
  <c r="DE18" s="1"/>
  <c r="CZ18"/>
  <c r="DB18"/>
  <c r="BR22"/>
  <c r="L14" i="22"/>
  <c r="T14"/>
  <c r="DG14" i="2"/>
  <c r="Q14" i="22"/>
  <c r="R14"/>
  <c r="P14"/>
  <c r="U14"/>
  <c r="S14"/>
  <c r="S22"/>
  <c r="T22"/>
  <c r="U22"/>
  <c r="R22"/>
  <c r="L22"/>
  <c r="P22"/>
  <c r="Q22"/>
  <c r="DG22" i="2"/>
  <c r="L27" i="22"/>
  <c r="T27"/>
  <c r="P27"/>
  <c r="S27"/>
  <c r="U27"/>
  <c r="DG27" i="2"/>
  <c r="R27" i="22"/>
  <c r="Q27"/>
  <c r="BM36" i="2"/>
  <c r="BO36" s="1"/>
  <c r="CC17"/>
  <c r="BM22"/>
  <c r="DF35"/>
  <c r="DD27"/>
  <c r="BQ27"/>
  <c r="CF27"/>
  <c r="BV27"/>
  <c r="BN27"/>
  <c r="CO31"/>
  <c r="CU11"/>
  <c r="CY11"/>
  <c r="CS11"/>
  <c r="CT11"/>
  <c r="DC11"/>
  <c r="DE11" s="1"/>
  <c r="DA11"/>
  <c r="CZ11"/>
  <c r="DB11"/>
  <c r="L8" i="22"/>
  <c r="DG8" i="2"/>
  <c r="Q8" i="22"/>
  <c r="S8"/>
  <c r="P8"/>
  <c r="U8"/>
  <c r="T8"/>
  <c r="R8"/>
  <c r="CF10" i="2"/>
  <c r="BN10"/>
  <c r="BV10"/>
  <c r="BQ10"/>
  <c r="DD10"/>
  <c r="CC12"/>
  <c r="BX15"/>
  <c r="BS15"/>
  <c r="BV15"/>
  <c r="CF15"/>
  <c r="BN15"/>
  <c r="BQ15"/>
  <c r="DD15"/>
  <c r="BV17"/>
  <c r="CF17"/>
  <c r="BQ17"/>
  <c r="BN17"/>
  <c r="DD17"/>
  <c r="CN25"/>
  <c r="CR25" s="1"/>
  <c r="CN35"/>
  <c r="BM11"/>
  <c r="DM15"/>
  <c r="DR15" s="1"/>
  <c r="CH15"/>
  <c r="CO36"/>
  <c r="E11" i="22"/>
  <c r="D11"/>
  <c r="B11"/>
  <c r="F11"/>
  <c r="C11"/>
  <c r="G11"/>
  <c r="DF20" i="2"/>
  <c r="CP27"/>
  <c r="BV11"/>
  <c r="BZ11" s="1"/>
  <c r="BQ11"/>
  <c r="DD11"/>
  <c r="BN11"/>
  <c r="CF11"/>
  <c r="H13" i="22"/>
  <c r="DH13" i="2"/>
  <c r="DF18"/>
  <c r="L12" i="22"/>
  <c r="DG12" i="2"/>
  <c r="S12" i="22"/>
  <c r="Q12"/>
  <c r="P12"/>
  <c r="U12"/>
  <c r="R12"/>
  <c r="T12"/>
  <c r="DM16" i="2"/>
  <c r="DR16" s="1"/>
  <c r="CH16"/>
  <c r="G13" i="22"/>
  <c r="B13"/>
  <c r="C13"/>
  <c r="E13"/>
  <c r="F13"/>
  <c r="D13"/>
  <c r="CH20" i="2"/>
  <c r="DM20"/>
  <c r="DR20" s="1"/>
  <c r="H29" i="22"/>
  <c r="DH29" i="2"/>
  <c r="D33" i="22"/>
  <c r="G33"/>
  <c r="B33"/>
  <c r="E33"/>
  <c r="C33"/>
  <c r="F33"/>
  <c r="BV34" i="2"/>
  <c r="BQ34"/>
  <c r="BN34"/>
  <c r="DD34"/>
  <c r="CF34"/>
  <c r="C36" i="22"/>
  <c r="D36"/>
  <c r="F36"/>
  <c r="E36"/>
  <c r="B36"/>
  <c r="G36"/>
  <c r="BR20" i="2"/>
  <c r="D29" i="22"/>
  <c r="C29"/>
  <c r="F29"/>
  <c r="B29"/>
  <c r="G29"/>
  <c r="E29"/>
  <c r="DD33" i="2"/>
  <c r="BQ33"/>
  <c r="BN33"/>
  <c r="BV33"/>
  <c r="BZ33" s="1"/>
  <c r="CF33"/>
  <c r="BM30"/>
  <c r="BO30" s="1"/>
  <c r="V8" i="22"/>
  <c r="DI10" i="2"/>
  <c r="BR12"/>
  <c r="BW16"/>
  <c r="I16" i="22"/>
  <c r="CA16" i="2"/>
  <c r="DI18"/>
  <c r="CF20"/>
  <c r="BN20"/>
  <c r="BV20"/>
  <c r="BQ20"/>
  <c r="DD20"/>
  <c r="BM17"/>
  <c r="CP32"/>
  <c r="CP24"/>
  <c r="BW10"/>
  <c r="CA10"/>
  <c r="I10" i="22"/>
  <c r="BR9" i="2"/>
  <c r="BL13"/>
  <c r="BW18"/>
  <c r="I18" i="22"/>
  <c r="CA18" i="2"/>
  <c r="CE18" s="1"/>
  <c r="BS22"/>
  <c r="BX22"/>
  <c r="CN26"/>
  <c r="BR11"/>
  <c r="CA15"/>
  <c r="I15" i="22"/>
  <c r="BW15" i="2"/>
  <c r="BV19"/>
  <c r="CF19"/>
  <c r="DD19"/>
  <c r="BQ19"/>
  <c r="BN19"/>
  <c r="CP37"/>
  <c r="DI16"/>
  <c r="CA19"/>
  <c r="I19" i="22"/>
  <c r="BW19" i="2"/>
  <c r="DF9"/>
  <c r="H8" i="22"/>
  <c r="DH8" i="2"/>
  <c r="BX21"/>
  <c r="BS21"/>
  <c r="DF21"/>
  <c r="CS26"/>
  <c r="CZ26"/>
  <c r="CU26"/>
  <c r="CY26"/>
  <c r="DC26"/>
  <c r="DE26" s="1"/>
  <c r="DA26"/>
  <c r="DB26"/>
  <c r="CT26"/>
  <c r="CG30"/>
  <c r="DN30"/>
  <c r="CT37"/>
  <c r="DB37"/>
  <c r="CS37"/>
  <c r="CY37"/>
  <c r="CU37"/>
  <c r="DC37"/>
  <c r="DE37" s="1"/>
  <c r="CZ37"/>
  <c r="DA37"/>
  <c r="CG25"/>
  <c r="DN25"/>
  <c r="CO33"/>
  <c r="DI26"/>
  <c r="CC30"/>
  <c r="BW35"/>
  <c r="I35" i="22"/>
  <c r="CA35" i="2"/>
  <c r="BR37"/>
  <c r="CP26"/>
  <c r="V13" i="22"/>
  <c r="CC20" i="2"/>
  <c r="BL15"/>
  <c r="BM20"/>
  <c r="BQ13"/>
  <c r="BN13"/>
  <c r="DD13"/>
  <c r="BV13"/>
  <c r="CF13"/>
  <c r="CH8"/>
  <c r="DM8"/>
  <c r="DR8" s="1"/>
  <c r="BM12"/>
  <c r="DI14"/>
  <c r="BM13"/>
  <c r="DH16"/>
  <c r="H16" i="22"/>
  <c r="DF19" i="2"/>
  <c r="I21" i="22"/>
  <c r="CA21" i="2"/>
  <c r="BW21"/>
  <c r="DH14"/>
  <c r="H14" i="22"/>
  <c r="J14" s="1"/>
  <c r="K14" s="1"/>
  <c r="CO23" i="2"/>
  <c r="DI23"/>
  <c r="CP21"/>
  <c r="CQ21" s="1"/>
  <c r="CN37"/>
  <c r="CC8"/>
  <c r="BW13"/>
  <c r="CA13"/>
  <c r="I13" i="22"/>
  <c r="J13" s="1"/>
  <c r="K13" s="1"/>
  <c r="DI15" i="2"/>
  <c r="BR17"/>
  <c r="BL23"/>
  <c r="L15" i="22"/>
  <c r="Q15"/>
  <c r="S15"/>
  <c r="P15"/>
  <c r="T15"/>
  <c r="R15"/>
  <c r="DG15" i="2"/>
  <c r="U15" i="22"/>
  <c r="T24"/>
  <c r="U24"/>
  <c r="R24"/>
  <c r="Q24"/>
  <c r="DG24" i="2"/>
  <c r="L24" i="22"/>
  <c r="P24"/>
  <c r="S24"/>
  <c r="CG28" i="2"/>
  <c r="DN28"/>
  <c r="DA29"/>
  <c r="CZ29"/>
  <c r="DC29"/>
  <c r="DE29" s="1"/>
  <c r="DB29"/>
  <c r="CU29"/>
  <c r="CS29"/>
  <c r="CY29"/>
  <c r="CT29"/>
  <c r="DN37"/>
  <c r="CG37"/>
  <c r="CB19"/>
  <c r="BM24"/>
  <c r="BO24" s="1"/>
  <c r="CB32"/>
  <c r="DI29"/>
  <c r="CC37"/>
  <c r="CG17"/>
  <c r="DN17"/>
  <c r="CB20"/>
  <c r="BM25"/>
  <c r="V27" i="22"/>
  <c r="BN29" i="2"/>
  <c r="CF29"/>
  <c r="DD29"/>
  <c r="BV29"/>
  <c r="BQ29"/>
  <c r="CU24"/>
  <c r="DB24"/>
  <c r="CS24"/>
  <c r="CT24"/>
  <c r="CY24"/>
  <c r="CZ24"/>
  <c r="DC24"/>
  <c r="DE24" s="1"/>
  <c r="DA24"/>
  <c r="V26" i="22"/>
  <c r="BR28" i="2"/>
  <c r="CZ35"/>
  <c r="CU35"/>
  <c r="DA35"/>
  <c r="CT35"/>
  <c r="DB35"/>
  <c r="DC35"/>
  <c r="DE35" s="1"/>
  <c r="CS35"/>
  <c r="CY35"/>
  <c r="V37" i="22"/>
  <c r="BM21" i="2"/>
  <c r="BV23"/>
  <c r="CF23"/>
  <c r="BN23"/>
  <c r="BQ23"/>
  <c r="DD23"/>
  <c r="DI24"/>
  <c r="DK24" s="1"/>
  <c r="BR26"/>
  <c r="CB28"/>
  <c r="DA33"/>
  <c r="CS33"/>
  <c r="CU33"/>
  <c r="CY33"/>
  <c r="DB33"/>
  <c r="DC33"/>
  <c r="DE33" s="1"/>
  <c r="CZ33"/>
  <c r="CT33"/>
  <c r="DI35"/>
  <c r="DC12"/>
  <c r="DE12" s="1"/>
  <c r="CT12"/>
  <c r="CU12"/>
  <c r="CY12"/>
  <c r="DB12"/>
  <c r="DA12"/>
  <c r="CS12"/>
  <c r="CZ12"/>
  <c r="U11" i="22"/>
  <c r="DG11" i="2"/>
  <c r="T11" i="22"/>
  <c r="P11"/>
  <c r="Q11"/>
  <c r="S11"/>
  <c r="R11"/>
  <c r="L11"/>
  <c r="BR13" i="2"/>
  <c r="L13" i="22"/>
  <c r="T13"/>
  <c r="Q13"/>
  <c r="S13"/>
  <c r="DG13" i="2"/>
  <c r="R13" i="22"/>
  <c r="U13"/>
  <c r="P13"/>
  <c r="DN15" i="2"/>
  <c r="CG15"/>
  <c r="V20" i="22"/>
  <c r="DF33" i="2"/>
  <c r="DI25"/>
  <c r="CB29"/>
  <c r="BM34"/>
  <c r="BO34" s="1"/>
  <c r="BW20"/>
  <c r="CA20"/>
  <c r="I20" i="22"/>
  <c r="J20" s="1"/>
  <c r="K20" s="1"/>
  <c r="CC24" i="2"/>
  <c r="DF29"/>
  <c r="BM33"/>
  <c r="BO33" s="1"/>
  <c r="DM25"/>
  <c r="DR25" s="1"/>
  <c r="CH25"/>
  <c r="B34" i="22"/>
  <c r="D34"/>
  <c r="C34"/>
  <c r="G34"/>
  <c r="F34"/>
  <c r="E34"/>
  <c r="DN36" i="2"/>
  <c r="CG36"/>
  <c r="BL20"/>
  <c r="P23" i="22"/>
  <c r="T23"/>
  <c r="L23"/>
  <c r="Q23"/>
  <c r="S23"/>
  <c r="U23"/>
  <c r="DG23" i="2"/>
  <c r="R23" i="22"/>
  <c r="BQ25" i="2"/>
  <c r="CF25"/>
  <c r="BN25"/>
  <c r="BV25"/>
  <c r="DD25"/>
  <c r="DF28"/>
  <c r="CA30"/>
  <c r="I30" i="22"/>
  <c r="BW30" i="2"/>
  <c r="BR32"/>
  <c r="BL24"/>
  <c r="DF27"/>
  <c r="V29" i="22"/>
  <c r="DN31" i="2"/>
  <c r="CG31"/>
  <c r="H24" i="22"/>
  <c r="J24" s="1"/>
  <c r="K24" s="1"/>
  <c r="DH24" i="2"/>
  <c r="BV26"/>
  <c r="CF26"/>
  <c r="DD26"/>
  <c r="BN26"/>
  <c r="BQ26"/>
  <c r="CC28"/>
  <c r="CS25"/>
  <c r="DC25"/>
  <c r="DE25" s="1"/>
  <c r="CY25"/>
  <c r="DA25"/>
  <c r="CU25"/>
  <c r="DB25"/>
  <c r="CZ25"/>
  <c r="CT25"/>
  <c r="H27" i="22"/>
  <c r="DH27" i="2"/>
  <c r="BR29"/>
  <c r="CC31"/>
  <c r="H36" i="22"/>
  <c r="J36" s="1"/>
  <c r="DH36" i="2"/>
  <c r="BW8"/>
  <c r="I8" i="22"/>
  <c r="CA8" i="2"/>
  <c r="V10" i="22"/>
  <c r="BX12" i="2"/>
  <c r="BS12"/>
  <c r="V9" i="22"/>
  <c r="DN11" i="2"/>
  <c r="CG11"/>
  <c r="L20" i="22"/>
  <c r="P20"/>
  <c r="Q20"/>
  <c r="R20"/>
  <c r="T20"/>
  <c r="DG20" i="2"/>
  <c r="S20" i="22"/>
  <c r="U20"/>
  <c r="DI22" i="2"/>
  <c r="DN13"/>
  <c r="CG13"/>
  <c r="H25" i="22"/>
  <c r="DH25" i="2"/>
  <c r="S30" i="22"/>
  <c r="R30"/>
  <c r="U30"/>
  <c r="T30"/>
  <c r="L30"/>
  <c r="DG30" i="2"/>
  <c r="Q30" i="22"/>
  <c r="K30"/>
  <c r="O30" s="1"/>
  <c r="P30"/>
  <c r="CC34" i="2"/>
  <c r="U25" i="22"/>
  <c r="L25"/>
  <c r="R25"/>
  <c r="T25"/>
  <c r="DG25" i="2"/>
  <c r="P25" i="22"/>
  <c r="Q25"/>
  <c r="S25"/>
  <c r="CC33" i="2"/>
  <c r="BN30"/>
  <c r="CF30"/>
  <c r="BQ30"/>
  <c r="BV30"/>
  <c r="DD30"/>
  <c r="CA37"/>
  <c r="BW37"/>
  <c r="I37" i="22"/>
  <c r="DN18" i="2"/>
  <c r="CG18"/>
  <c r="T21" i="22"/>
  <c r="S21"/>
  <c r="P21"/>
  <c r="U21"/>
  <c r="R21"/>
  <c r="Q21"/>
  <c r="L21"/>
  <c r="DG21" i="2"/>
  <c r="CG23"/>
  <c r="DN23"/>
  <c r="CC25"/>
  <c r="CN29"/>
  <c r="CA32"/>
  <c r="I32" i="22"/>
  <c r="BW32" i="2"/>
  <c r="DM34"/>
  <c r="DR34" s="1"/>
  <c r="CH34"/>
  <c r="CB24"/>
  <c r="U31" i="22"/>
  <c r="R31"/>
  <c r="S31"/>
  <c r="K31"/>
  <c r="O31" s="1"/>
  <c r="DG31" i="2"/>
  <c r="P31" i="22"/>
  <c r="T31"/>
  <c r="Q31"/>
  <c r="L31"/>
  <c r="BR33" i="2"/>
  <c r="CB35"/>
  <c r="D37" i="22"/>
  <c r="E37"/>
  <c r="F37"/>
  <c r="B37"/>
  <c r="C37"/>
  <c r="G37"/>
  <c r="DM19" i="2"/>
  <c r="DR19" s="1"/>
  <c r="CH19"/>
  <c r="CC21"/>
  <c r="BM26"/>
  <c r="BQ28"/>
  <c r="BN28"/>
  <c r="BV28"/>
  <c r="DD28"/>
  <c r="CF28"/>
  <c r="CH30"/>
  <c r="DM30"/>
  <c r="DR30" s="1"/>
  <c r="CH32"/>
  <c r="DM32"/>
  <c r="DR32" s="1"/>
  <c r="I29" i="22"/>
  <c r="BW29" i="2"/>
  <c r="CA29"/>
  <c r="CF31"/>
  <c r="BN31"/>
  <c r="BV31"/>
  <c r="BQ31"/>
  <c r="DD31"/>
  <c r="CB33"/>
  <c r="CP3"/>
  <c r="CH10"/>
  <c r="DM10"/>
  <c r="DR10" s="1"/>
  <c r="CB12"/>
  <c r="CH9"/>
  <c r="DM9"/>
  <c r="DR9" s="1"/>
  <c r="DA16"/>
  <c r="DC16"/>
  <c r="DE16" s="1"/>
  <c r="DB16"/>
  <c r="CT16"/>
  <c r="CU16"/>
  <c r="CY16"/>
  <c r="CZ16"/>
  <c r="CS16"/>
  <c r="V18" i="22"/>
  <c r="CG20" i="2"/>
  <c r="DN20"/>
  <c r="DF16"/>
  <c r="E21" i="22"/>
  <c r="F21"/>
  <c r="G21"/>
  <c r="C21"/>
  <c r="B21"/>
  <c r="D21"/>
  <c r="CT34" i="2"/>
  <c r="CS34"/>
  <c r="DB34"/>
  <c r="CU34"/>
  <c r="DA34"/>
  <c r="DC34"/>
  <c r="DE34" s="1"/>
  <c r="CZ34"/>
  <c r="CY34"/>
  <c r="BX26"/>
  <c r="BS26"/>
  <c r="V35" i="22"/>
  <c r="BX37" i="2"/>
  <c r="BS37"/>
  <c r="DH21"/>
  <c r="H21" i="22"/>
  <c r="J21" s="1"/>
  <c r="K21" s="1"/>
  <c r="CU30" i="2"/>
  <c r="CT30"/>
  <c r="CY30"/>
  <c r="CZ30"/>
  <c r="DC30"/>
  <c r="DE30" s="1"/>
  <c r="DB30"/>
  <c r="DA30"/>
  <c r="CS30"/>
  <c r="I34" i="22"/>
  <c r="BW34" i="2"/>
  <c r="CA34"/>
  <c r="BR35"/>
  <c r="CG21"/>
  <c r="DN21"/>
  <c r="DN26"/>
  <c r="CG26"/>
  <c r="V34" i="22"/>
  <c r="BS24" i="2"/>
  <c r="BX24"/>
  <c r="DM26"/>
  <c r="DR26" s="1"/>
  <c r="CH26"/>
  <c r="BW33"/>
  <c r="CA33"/>
  <c r="I33" i="22"/>
  <c r="BX35" i="2"/>
  <c r="BS35"/>
  <c r="BT35" s="1"/>
  <c r="DF37"/>
  <c r="CH37"/>
  <c r="DM37"/>
  <c r="DR37" s="1"/>
  <c r="V19" i="22"/>
  <c r="BQ21" i="2"/>
  <c r="CF21"/>
  <c r="BN21"/>
  <c r="BV21"/>
  <c r="DD21"/>
  <c r="CC23"/>
  <c r="BM28"/>
  <c r="BO28" s="1"/>
  <c r="V30" i="22"/>
  <c r="V32"/>
  <c r="DI34" i="2"/>
  <c r="BM31"/>
  <c r="BO31" s="1"/>
  <c r="BS33"/>
  <c r="BX33"/>
  <c r="DH37"/>
  <c r="H37" i="22"/>
  <c r="E18"/>
  <c r="G18"/>
  <c r="F18"/>
  <c r="C18"/>
  <c r="D18"/>
  <c r="B18"/>
  <c r="BL12" i="2"/>
  <c r="DF12"/>
  <c r="V14" i="22"/>
  <c r="BX16" i="2"/>
  <c r="BS16"/>
  <c r="DM18"/>
  <c r="DR18" s="1"/>
  <c r="CH18"/>
  <c r="DF14"/>
  <c r="DN16"/>
  <c r="CG16"/>
  <c r="G26" i="22"/>
  <c r="D26"/>
  <c r="B26"/>
  <c r="F26"/>
  <c r="E26"/>
  <c r="C26"/>
  <c r="CB34" i="2"/>
  <c r="BL26"/>
  <c r="G31" i="22"/>
  <c r="E31"/>
  <c r="B31"/>
  <c r="F31"/>
  <c r="D31"/>
  <c r="C31"/>
  <c r="H26"/>
  <c r="DH26" i="2"/>
  <c r="CB30"/>
  <c r="BM27"/>
  <c r="B16" i="22"/>
  <c r="E16"/>
  <c r="F16"/>
  <c r="D16"/>
  <c r="C16"/>
  <c r="G16"/>
  <c r="DF24" i="2"/>
  <c r="U26" i="22"/>
  <c r="R26"/>
  <c r="T26"/>
  <c r="S26"/>
  <c r="DG26" i="2"/>
  <c r="L26" i="22"/>
  <c r="Q26"/>
  <c r="P26"/>
  <c r="E28"/>
  <c r="G28"/>
  <c r="D28"/>
  <c r="B28"/>
  <c r="F28"/>
  <c r="C28"/>
  <c r="BR30" i="2"/>
  <c r="CA25"/>
  <c r="BW25"/>
  <c r="I25" i="22"/>
  <c r="G27"/>
  <c r="B27"/>
  <c r="E27"/>
  <c r="C27"/>
  <c r="F27"/>
  <c r="D27"/>
  <c r="DM29" i="2"/>
  <c r="DR29" s="1"/>
  <c r="CH29"/>
  <c r="CF36"/>
  <c r="BQ36"/>
  <c r="DD36"/>
  <c r="BN36"/>
  <c r="BV36"/>
  <c r="DH22"/>
  <c r="H22" i="22"/>
  <c r="CC26" i="2"/>
  <c r="U35" i="22"/>
  <c r="T35"/>
  <c r="S35"/>
  <c r="R35"/>
  <c r="Q35"/>
  <c r="DG35" i="2"/>
  <c r="K35" i="22"/>
  <c r="O35" s="1"/>
  <c r="L35"/>
  <c r="P35"/>
  <c r="BS25" i="2"/>
  <c r="BX25"/>
  <c r="T34" i="22"/>
  <c r="DG34" i="2"/>
  <c r="K34" i="22"/>
  <c r="O34" s="1"/>
  <c r="R34"/>
  <c r="U34"/>
  <c r="L34"/>
  <c r="P34"/>
  <c r="Q34"/>
  <c r="S34"/>
  <c r="DG36" i="2"/>
  <c r="U36" i="22"/>
  <c r="L36"/>
  <c r="S36"/>
  <c r="R36"/>
  <c r="Q36"/>
  <c r="T36"/>
  <c r="K36"/>
  <c r="O36" s="1"/>
  <c r="P36"/>
  <c r="BR8" i="2"/>
  <c r="CN3"/>
  <c r="DF10"/>
  <c r="C12" i="22"/>
  <c r="G12"/>
  <c r="D12"/>
  <c r="E12"/>
  <c r="B12"/>
  <c r="F12"/>
  <c r="CH14" i="2"/>
  <c r="DM14"/>
  <c r="DR14" s="1"/>
  <c r="CB16"/>
  <c r="CU23"/>
  <c r="CY23"/>
  <c r="CS23"/>
  <c r="CT23"/>
  <c r="DB23"/>
  <c r="DC23"/>
  <c r="DE23" s="1"/>
  <c r="CZ23"/>
  <c r="DA23"/>
  <c r="B14" i="22"/>
  <c r="F14"/>
  <c r="E14"/>
  <c r="C14"/>
  <c r="G14"/>
  <c r="D14"/>
  <c r="DF17" i="2"/>
  <c r="DN22"/>
  <c r="CG22"/>
  <c r="BM35"/>
  <c r="BO35" s="1"/>
  <c r="CG27"/>
  <c r="DN27"/>
  <c r="BQ22"/>
  <c r="CF22"/>
  <c r="BN22"/>
  <c r="DD22"/>
  <c r="BV22"/>
  <c r="DB31"/>
  <c r="DC31"/>
  <c r="DE31" s="1"/>
  <c r="CT31"/>
  <c r="DA31"/>
  <c r="CU31"/>
  <c r="CS31"/>
  <c r="CY31"/>
  <c r="CZ31"/>
  <c r="C35" i="22"/>
  <c r="B35"/>
  <c r="D35"/>
  <c r="G35"/>
  <c r="F35"/>
  <c r="E35"/>
  <c r="CC27" i="2"/>
  <c r="BM32"/>
  <c r="BO32" s="1"/>
  <c r="CS36"/>
  <c r="CT36"/>
  <c r="DB36"/>
  <c r="CU36"/>
  <c r="CZ36"/>
  <c r="CY36"/>
  <c r="DC36"/>
  <c r="DE36" s="1"/>
  <c r="DA36"/>
  <c r="DF22"/>
  <c r="E24" i="22"/>
  <c r="B24"/>
  <c r="D24"/>
  <c r="G24"/>
  <c r="C24"/>
  <c r="F24"/>
  <c r="BM29" i="2"/>
  <c r="BO29" s="1"/>
  <c r="BR31"/>
  <c r="I28" i="22"/>
  <c r="CA28" i="2"/>
  <c r="BW28"/>
  <c r="F30" i="22"/>
  <c r="D30"/>
  <c r="C30"/>
  <c r="B30"/>
  <c r="E30"/>
  <c r="G30"/>
  <c r="CC18" i="2"/>
  <c r="CD18" s="1"/>
  <c r="BM23"/>
  <c r="G25" i="22"/>
  <c r="D25"/>
  <c r="F25"/>
  <c r="E25"/>
  <c r="B25"/>
  <c r="C25"/>
  <c r="BW26" i="2"/>
  <c r="I26" i="22"/>
  <c r="CA26" i="2"/>
  <c r="BS28"/>
  <c r="BX28"/>
  <c r="DI37"/>
  <c r="S9" i="22"/>
  <c r="T9"/>
  <c r="Q9"/>
  <c r="L9"/>
  <c r="DG9" i="2"/>
  <c r="R9" i="22"/>
  <c r="U9"/>
  <c r="P9"/>
  <c r="DI11" i="2"/>
  <c r="BM8"/>
  <c r="G10" i="22"/>
  <c r="E10"/>
  <c r="C10"/>
  <c r="D10"/>
  <c r="B10"/>
  <c r="F10"/>
  <c r="BL16" i="2"/>
  <c r="V21" i="22"/>
  <c r="BX23" i="2"/>
  <c r="BS23"/>
  <c r="DF23"/>
  <c r="BX27"/>
  <c r="BS27"/>
  <c r="CC35"/>
  <c r="CG32"/>
  <c r="DN32"/>
  <c r="BR36"/>
  <c r="BR27"/>
  <c r="CB31"/>
  <c r="V28" i="22"/>
  <c r="CC32" i="2"/>
  <c r="CB36"/>
  <c r="DC20"/>
  <c r="DE20" s="1"/>
  <c r="CZ20"/>
  <c r="DA20"/>
  <c r="CU20"/>
  <c r="CT20"/>
  <c r="DB20"/>
  <c r="CS20"/>
  <c r="CY20"/>
  <c r="F22" i="22"/>
  <c r="G22"/>
  <c r="D22"/>
  <c r="B22"/>
  <c r="E22"/>
  <c r="C22"/>
  <c r="I31"/>
  <c r="J31" s="1"/>
  <c r="CA31" i="2"/>
  <c r="BW31"/>
  <c r="DN33"/>
  <c r="CG33"/>
  <c r="DF30"/>
  <c r="E32" i="22"/>
  <c r="G32"/>
  <c r="B32"/>
  <c r="D32"/>
  <c r="F32"/>
  <c r="C32"/>
  <c r="DI36" i="2"/>
  <c r="BN18"/>
  <c r="BV18"/>
  <c r="BQ18"/>
  <c r="CF18"/>
  <c r="DD18"/>
  <c r="DF25"/>
  <c r="DI27"/>
  <c r="DN29"/>
  <c r="CG29"/>
  <c r="CH31"/>
  <c r="DM31"/>
  <c r="DR31" s="1"/>
  <c r="BL25"/>
  <c r="DC28"/>
  <c r="DE28" s="1"/>
  <c r="CS28"/>
  <c r="DB28"/>
  <c r="CT28"/>
  <c r="CU28"/>
  <c r="CY28"/>
  <c r="DA28"/>
  <c r="CZ28"/>
  <c r="H30" i="22"/>
  <c r="DH30" i="2"/>
  <c r="DM36"/>
  <c r="DR36" s="1"/>
  <c r="CH36"/>
  <c r="CG9"/>
  <c r="DN9"/>
  <c r="DO9" s="1"/>
  <c r="BV8"/>
  <c r="BN8"/>
  <c r="BQ8"/>
  <c r="CF8"/>
  <c r="DD8"/>
  <c r="I17" i="22"/>
  <c r="J17" s="1"/>
  <c r="K17" s="1"/>
  <c r="BW17" i="2"/>
  <c r="CA17"/>
  <c r="H19" i="22"/>
  <c r="J19" s="1"/>
  <c r="K19" s="1"/>
  <c r="N19" s="1"/>
  <c r="O19" s="1"/>
  <c r="DH19" i="2"/>
  <c r="CH21"/>
  <c r="DM21"/>
  <c r="DR21" s="1"/>
  <c r="CB23"/>
  <c r="BL27"/>
  <c r="V24" i="22"/>
  <c r="CP36" i="2"/>
  <c r="CU19"/>
  <c r="CT19"/>
  <c r="CY19"/>
  <c r="DB19"/>
  <c r="DA19"/>
  <c r="CS19"/>
  <c r="DC19"/>
  <c r="DE19" s="1"/>
  <c r="CZ19"/>
  <c r="DC32"/>
  <c r="DE32" s="1"/>
  <c r="CU32"/>
  <c r="DA32"/>
  <c r="DB32"/>
  <c r="CY32"/>
  <c r="CS32"/>
  <c r="CZ32"/>
  <c r="CT32"/>
  <c r="BR24"/>
  <c r="V33" i="22"/>
  <c r="BM37" i="2"/>
  <c r="BO37" s="1"/>
  <c r="Q17" i="22"/>
  <c r="P17"/>
  <c r="L17"/>
  <c r="DG17" i="2"/>
  <c r="S17" i="22"/>
  <c r="R17"/>
  <c r="T17"/>
  <c r="U17"/>
  <c r="BX20" i="2"/>
  <c r="BS20"/>
  <c r="DM27"/>
  <c r="DR27" s="1"/>
  <c r="CH27"/>
  <c r="CC29"/>
  <c r="L33" i="22"/>
  <c r="DG33" i="2"/>
  <c r="U33" i="22"/>
  <c r="R33"/>
  <c r="Q33"/>
  <c r="S33"/>
  <c r="T33"/>
  <c r="P33"/>
  <c r="K33"/>
  <c r="O33" s="1"/>
  <c r="DH35" i="2"/>
  <c r="H35" i="22"/>
  <c r="J35" s="1"/>
  <c r="BR25" i="2"/>
  <c r="DF32"/>
  <c r="DH34"/>
  <c r="H34" i="22"/>
  <c r="DF36" i="2"/>
  <c r="BM18"/>
  <c r="DI20"/>
  <c r="S29" i="22"/>
  <c r="L29"/>
  <c r="T29"/>
  <c r="DG29" i="2"/>
  <c r="P29" i="22"/>
  <c r="Q29"/>
  <c r="R29"/>
  <c r="U29"/>
  <c r="K29"/>
  <c r="O29" s="1"/>
  <c r="V31"/>
  <c r="DH33" i="2"/>
  <c r="H33" i="22"/>
  <c r="DN35" i="2"/>
  <c r="CG35"/>
  <c r="CB25"/>
  <c r="DH32"/>
  <c r="H32" i="22"/>
  <c r="J32" s="1"/>
  <c r="CG34" i="2"/>
  <c r="DN34"/>
  <c r="V36" i="22"/>
  <c r="CC36" i="2"/>
  <c r="BL34"/>
  <c r="BL28"/>
  <c r="BL36"/>
  <c r="BL29"/>
  <c r="BL33"/>
  <c r="BL31"/>
  <c r="BL32"/>
  <c r="BL37"/>
  <c r="BL35"/>
  <c r="BL30"/>
  <c r="BY37" l="1"/>
  <c r="J23" i="22"/>
  <c r="K23" s="1"/>
  <c r="N23" s="1"/>
  <c r="O23" s="1"/>
  <c r="J30"/>
  <c r="BO12" i="2"/>
  <c r="J33" i="22"/>
  <c r="BY35" i="2"/>
  <c r="DP11"/>
  <c r="J34" i="22"/>
  <c r="BO23" i="2"/>
  <c r="BO16"/>
  <c r="J22" i="22"/>
  <c r="K22" s="1"/>
  <c r="BO27" i="2"/>
  <c r="BY33"/>
  <c r="BY24"/>
  <c r="DO26"/>
  <c r="BO18"/>
  <c r="DK27"/>
  <c r="CD23"/>
  <c r="DP13"/>
  <c r="J27" i="22"/>
  <c r="K27" s="1"/>
  <c r="BO17" i="2"/>
  <c r="J9" i="22"/>
  <c r="K9" s="1"/>
  <c r="N9" s="1"/>
  <c r="O9" s="1"/>
  <c r="N21"/>
  <c r="O21" s="1"/>
  <c r="J16"/>
  <c r="K16" s="1"/>
  <c r="M16" s="1"/>
  <c r="BO20" i="2"/>
  <c r="BO26"/>
  <c r="BO14"/>
  <c r="DQ29"/>
  <c r="DK29"/>
  <c r="DJ29"/>
  <c r="N29" i="22"/>
  <c r="M29"/>
  <c r="DQ33" i="2"/>
  <c r="DK33"/>
  <c r="DJ33"/>
  <c r="CW32"/>
  <c r="CV32"/>
  <c r="CW19"/>
  <c r="CV19"/>
  <c r="CJ18"/>
  <c r="CI18"/>
  <c r="N33" i="22"/>
  <c r="M33"/>
  <c r="DQ17" i="2"/>
  <c r="DK17"/>
  <c r="DJ17"/>
  <c r="BU8"/>
  <c r="BT8"/>
  <c r="BY8"/>
  <c r="BZ8"/>
  <c r="CW28"/>
  <c r="CV28"/>
  <c r="BT18"/>
  <c r="BU18"/>
  <c r="CE31"/>
  <c r="CD31"/>
  <c r="CW31"/>
  <c r="CV31"/>
  <c r="BZ22"/>
  <c r="BY22"/>
  <c r="BT22"/>
  <c r="BU22"/>
  <c r="CK7"/>
  <c r="CN7"/>
  <c r="N36" i="22"/>
  <c r="M36"/>
  <c r="DJ36" i="2"/>
  <c r="DK36"/>
  <c r="DQ36"/>
  <c r="M34" i="22"/>
  <c r="N34"/>
  <c r="DQ34" i="2"/>
  <c r="DK34"/>
  <c r="DJ34"/>
  <c r="BZ36"/>
  <c r="BY36"/>
  <c r="CJ36"/>
  <c r="CI36"/>
  <c r="CE25"/>
  <c r="CD25"/>
  <c r="BZ21"/>
  <c r="BY21"/>
  <c r="CI21"/>
  <c r="CJ21"/>
  <c r="DO21"/>
  <c r="DP21"/>
  <c r="CE33"/>
  <c r="CD33"/>
  <c r="CD34"/>
  <c r="CE34"/>
  <c r="CW34"/>
  <c r="CV34"/>
  <c r="CW16"/>
  <c r="CV16"/>
  <c r="BZ31"/>
  <c r="BY31"/>
  <c r="CJ31"/>
  <c r="CI31"/>
  <c r="CJ28"/>
  <c r="CI28"/>
  <c r="BZ28"/>
  <c r="BY28"/>
  <c r="N31" i="22"/>
  <c r="M31"/>
  <c r="DK31" i="2"/>
  <c r="DQ31"/>
  <c r="DJ31"/>
  <c r="CE32"/>
  <c r="CD32"/>
  <c r="BT30"/>
  <c r="BU30"/>
  <c r="AH30"/>
  <c r="DP30"/>
  <c r="DO30"/>
  <c r="DK25"/>
  <c r="DJ25"/>
  <c r="DQ25"/>
  <c r="N30" i="22"/>
  <c r="M30"/>
  <c r="DQ20" i="2"/>
  <c r="DK20"/>
  <c r="DJ20"/>
  <c r="CE8"/>
  <c r="CD8"/>
  <c r="BZ26"/>
  <c r="BY26"/>
  <c r="CD30"/>
  <c r="CE30"/>
  <c r="DO25"/>
  <c r="DP25"/>
  <c r="BY25"/>
  <c r="BZ25"/>
  <c r="CJ25"/>
  <c r="CI25"/>
  <c r="CW12"/>
  <c r="CV12"/>
  <c r="CW33"/>
  <c r="CV33"/>
  <c r="BT23"/>
  <c r="BU23"/>
  <c r="DO23"/>
  <c r="DP23"/>
  <c r="BZ23"/>
  <c r="BY23"/>
  <c r="CW35"/>
  <c r="CV35"/>
  <c r="CW24"/>
  <c r="CV24"/>
  <c r="BY29"/>
  <c r="BZ29"/>
  <c r="CJ29"/>
  <c r="CI29"/>
  <c r="DP29"/>
  <c r="DO29"/>
  <c r="DQ24"/>
  <c r="DJ24"/>
  <c r="DQ15"/>
  <c r="DJ15"/>
  <c r="DK15"/>
  <c r="CR37"/>
  <c r="CQ37"/>
  <c r="CJ13"/>
  <c r="CI13"/>
  <c r="BT13"/>
  <c r="BU13"/>
  <c r="CW37"/>
  <c r="CV37"/>
  <c r="CW26"/>
  <c r="CV26"/>
  <c r="BY19"/>
  <c r="BZ19"/>
  <c r="CE15"/>
  <c r="CD15"/>
  <c r="CR26"/>
  <c r="CQ26"/>
  <c r="BZ20"/>
  <c r="BY20"/>
  <c r="CJ20"/>
  <c r="CI20"/>
  <c r="CJ33"/>
  <c r="CI33"/>
  <c r="DP33"/>
  <c r="DO33"/>
  <c r="BT33"/>
  <c r="BU33"/>
  <c r="AH33"/>
  <c r="AH34"/>
  <c r="BU34"/>
  <c r="BT34"/>
  <c r="BY34"/>
  <c r="BZ34"/>
  <c r="DQ12"/>
  <c r="DK12"/>
  <c r="DJ12"/>
  <c r="DO17"/>
  <c r="DP17"/>
  <c r="BZ17"/>
  <c r="BY17"/>
  <c r="BT15"/>
  <c r="BU15"/>
  <c r="CJ15"/>
  <c r="CI15"/>
  <c r="DP15"/>
  <c r="DO15"/>
  <c r="BZ10"/>
  <c r="BY10"/>
  <c r="DQ8"/>
  <c r="DJ8"/>
  <c r="DK8"/>
  <c r="BZ27"/>
  <c r="BY27"/>
  <c r="CJ27"/>
  <c r="CI27"/>
  <c r="DQ27"/>
  <c r="DS27" s="1"/>
  <c r="DJ27"/>
  <c r="N22" i="22"/>
  <c r="M22"/>
  <c r="DQ14" i="2"/>
  <c r="DJ14"/>
  <c r="DK14"/>
  <c r="N14" i="22"/>
  <c r="M14"/>
  <c r="O14" s="1"/>
  <c r="CW18" i="2"/>
  <c r="CV18"/>
  <c r="CV10"/>
  <c r="CW10"/>
  <c r="CR13"/>
  <c r="CQ13"/>
  <c r="DK19"/>
  <c r="DQ19"/>
  <c r="DJ19"/>
  <c r="BZ12"/>
  <c r="BY12"/>
  <c r="BT14"/>
  <c r="BU14"/>
  <c r="CW21"/>
  <c r="CV21"/>
  <c r="CR8"/>
  <c r="CQ8"/>
  <c r="M18" i="22"/>
  <c r="N18"/>
  <c r="CE11" i="2"/>
  <c r="CD11"/>
  <c r="CR20"/>
  <c r="CQ20"/>
  <c r="CW15"/>
  <c r="CV15"/>
  <c r="CR34"/>
  <c r="CQ34"/>
  <c r="BZ32"/>
  <c r="BY32"/>
  <c r="BT32"/>
  <c r="AH32"/>
  <c r="BU32"/>
  <c r="DO32"/>
  <c r="DP32"/>
  <c r="CE36"/>
  <c r="CD36"/>
  <c r="DJ32"/>
  <c r="DK32"/>
  <c r="DQ32"/>
  <c r="DP35"/>
  <c r="DO35"/>
  <c r="CJ35"/>
  <c r="CI35"/>
  <c r="CV22"/>
  <c r="CW22"/>
  <c r="CE9"/>
  <c r="CD9"/>
  <c r="CV9"/>
  <c r="CW9"/>
  <c r="DP24"/>
  <c r="DO24"/>
  <c r="BT24"/>
  <c r="BU24"/>
  <c r="CR19"/>
  <c r="CQ19"/>
  <c r="CJ37"/>
  <c r="CI37"/>
  <c r="N28" i="22"/>
  <c r="M28"/>
  <c r="CR33" i="2"/>
  <c r="CQ33"/>
  <c r="BZ16"/>
  <c r="BY16"/>
  <c r="DO16"/>
  <c r="DP16"/>
  <c r="CR28"/>
  <c r="CQ28"/>
  <c r="CR31"/>
  <c r="CQ31"/>
  <c r="CR27"/>
  <c r="CQ27"/>
  <c r="CR22"/>
  <c r="CQ22"/>
  <c r="CR12"/>
  <c r="CQ12"/>
  <c r="DT27"/>
  <c r="BO8"/>
  <c r="J26" i="22"/>
  <c r="K26" s="1"/>
  <c r="N26" s="1"/>
  <c r="O26" s="1"/>
  <c r="J37"/>
  <c r="M21"/>
  <c r="J25"/>
  <c r="K25" s="1"/>
  <c r="M25" s="1"/>
  <c r="BO25" i="2"/>
  <c r="BO13"/>
  <c r="DO11"/>
  <c r="BO11"/>
  <c r="BO10"/>
  <c r="CQ25"/>
  <c r="CD22"/>
  <c r="DP9"/>
  <c r="J15" i="22"/>
  <c r="K15" s="1"/>
  <c r="N15" s="1"/>
  <c r="O15" s="1"/>
  <c r="BO15" i="2"/>
  <c r="BO9"/>
  <c r="J28" i="22"/>
  <c r="J10"/>
  <c r="K10" s="1"/>
  <c r="M17"/>
  <c r="N17"/>
  <c r="O17" s="1"/>
  <c r="CE17" i="2"/>
  <c r="CD17"/>
  <c r="CJ8"/>
  <c r="CI8"/>
  <c r="DP8"/>
  <c r="DO8"/>
  <c r="DO18"/>
  <c r="DP18"/>
  <c r="BZ18"/>
  <c r="BY18"/>
  <c r="CW20"/>
  <c r="CV20"/>
  <c r="DQ9"/>
  <c r="DK9"/>
  <c r="DJ9"/>
  <c r="CE26"/>
  <c r="CD26"/>
  <c r="CE28"/>
  <c r="CD28"/>
  <c r="CW36"/>
  <c r="CV36"/>
  <c r="CJ22"/>
  <c r="CI22"/>
  <c r="DO22"/>
  <c r="DP22"/>
  <c r="CW23"/>
  <c r="CV23"/>
  <c r="N35" i="22"/>
  <c r="M35"/>
  <c r="DJ35" i="2"/>
  <c r="DK35"/>
  <c r="DQ35"/>
  <c r="AH36"/>
  <c r="BU36"/>
  <c r="BT36"/>
  <c r="DP36"/>
  <c r="DO36"/>
  <c r="DQ26"/>
  <c r="DT26" s="1"/>
  <c r="DK26"/>
  <c r="DJ26"/>
  <c r="BT21"/>
  <c r="BU21"/>
  <c r="CW30"/>
  <c r="CV30"/>
  <c r="CP7"/>
  <c r="CM7"/>
  <c r="DO31"/>
  <c r="DP31"/>
  <c r="BU31"/>
  <c r="AH31"/>
  <c r="BT31"/>
  <c r="CE29"/>
  <c r="CD29"/>
  <c r="DP28"/>
  <c r="DO28"/>
  <c r="BU28"/>
  <c r="BT28"/>
  <c r="AH28"/>
  <c r="CR29"/>
  <c r="CQ29"/>
  <c r="DQ21"/>
  <c r="DJ21"/>
  <c r="DK21"/>
  <c r="CE37"/>
  <c r="CD37"/>
  <c r="BZ30"/>
  <c r="BY30"/>
  <c r="CJ30"/>
  <c r="CI30"/>
  <c r="DQ30"/>
  <c r="DJ30"/>
  <c r="DK30"/>
  <c r="N20" i="22"/>
  <c r="M20"/>
  <c r="O20" s="1"/>
  <c r="CW25" i="2"/>
  <c r="CV25"/>
  <c r="BT26"/>
  <c r="BU26"/>
  <c r="CJ26"/>
  <c r="CI26"/>
  <c r="BT25"/>
  <c r="BU25"/>
  <c r="DJ23"/>
  <c r="DK23"/>
  <c r="DQ23"/>
  <c r="CE20"/>
  <c r="CD20"/>
  <c r="DQ13"/>
  <c r="DK13"/>
  <c r="DJ13"/>
  <c r="M13" i="22"/>
  <c r="N13"/>
  <c r="O13" s="1"/>
  <c r="DK11" i="2"/>
  <c r="DJ11"/>
  <c r="DQ11"/>
  <c r="CJ23"/>
  <c r="CI23"/>
  <c r="BU29"/>
  <c r="AH29"/>
  <c r="BT29"/>
  <c r="CV29"/>
  <c r="CW29"/>
  <c r="M24" i="22"/>
  <c r="N24"/>
  <c r="O24" s="1"/>
  <c r="CE13" i="2"/>
  <c r="CD13"/>
  <c r="CE21"/>
  <c r="CD21"/>
  <c r="BZ13"/>
  <c r="BY13"/>
  <c r="CE35"/>
  <c r="CD35"/>
  <c r="CE19"/>
  <c r="CD19"/>
  <c r="BT19"/>
  <c r="BU19"/>
  <c r="CJ19"/>
  <c r="CI19"/>
  <c r="DO19"/>
  <c r="DP19"/>
  <c r="CD10"/>
  <c r="CE10"/>
  <c r="BT20"/>
  <c r="BU20"/>
  <c r="DO20"/>
  <c r="DP20"/>
  <c r="CE16"/>
  <c r="CD16"/>
  <c r="CJ34"/>
  <c r="CI34"/>
  <c r="DO34"/>
  <c r="DP34"/>
  <c r="N12" i="22"/>
  <c r="M12"/>
  <c r="O12" s="1"/>
  <c r="CJ11" i="2"/>
  <c r="CI11"/>
  <c r="BT11"/>
  <c r="BU11"/>
  <c r="CR35"/>
  <c r="CQ35"/>
  <c r="BT17"/>
  <c r="BU17"/>
  <c r="CJ17"/>
  <c r="CI17"/>
  <c r="BY15"/>
  <c r="BZ15"/>
  <c r="BT10"/>
  <c r="BU10"/>
  <c r="DO10"/>
  <c r="DP10"/>
  <c r="CJ10"/>
  <c r="CI10"/>
  <c r="N8" i="22"/>
  <c r="M8"/>
  <c r="CW11" i="2"/>
  <c r="CV11"/>
  <c r="DO27"/>
  <c r="DP27"/>
  <c r="BU27"/>
  <c r="BT27"/>
  <c r="M27" i="22"/>
  <c r="N27"/>
  <c r="O27" s="1"/>
  <c r="DQ22" i="2"/>
  <c r="DK22"/>
  <c r="DJ22"/>
  <c r="DP12"/>
  <c r="DO12"/>
  <c r="BU12"/>
  <c r="BT12" s="1"/>
  <c r="CO7"/>
  <c r="CL7"/>
  <c r="DQ16"/>
  <c r="DJ16"/>
  <c r="DK16"/>
  <c r="BZ14"/>
  <c r="BY14"/>
  <c r="CJ14"/>
  <c r="CI14"/>
  <c r="DO14"/>
  <c r="DP14"/>
  <c r="CQ16"/>
  <c r="CR16"/>
  <c r="CR18"/>
  <c r="CQ18"/>
  <c r="CE24"/>
  <c r="CD24"/>
  <c r="DQ18"/>
  <c r="DT18" s="1"/>
  <c r="DK18"/>
  <c r="DJ18"/>
  <c r="CE14"/>
  <c r="CD14"/>
  <c r="CV8"/>
  <c r="CW8"/>
  <c r="CR11"/>
  <c r="CQ11"/>
  <c r="CJ32"/>
  <c r="CI32"/>
  <c r="CE27"/>
  <c r="CD27"/>
  <c r="N32" i="22"/>
  <c r="M32"/>
  <c r="BU35" i="2"/>
  <c r="AH35"/>
  <c r="CW27"/>
  <c r="CV27"/>
  <c r="CR30"/>
  <c r="CQ30"/>
  <c r="BY9"/>
  <c r="BZ9"/>
  <c r="BT9"/>
  <c r="BU9"/>
  <c r="CJ9"/>
  <c r="CI9"/>
  <c r="CE12"/>
  <c r="CD12"/>
  <c r="CR17"/>
  <c r="CQ17"/>
  <c r="CJ24"/>
  <c r="CI24"/>
  <c r="CW14"/>
  <c r="CV14"/>
  <c r="CW17"/>
  <c r="CV17"/>
  <c r="DP37"/>
  <c r="DO37"/>
  <c r="BU37"/>
  <c r="BT37"/>
  <c r="AH37"/>
  <c r="M37" i="22"/>
  <c r="N37"/>
  <c r="DJ37" i="2"/>
  <c r="DQ37"/>
  <c r="DK37"/>
  <c r="DQ28"/>
  <c r="DJ28"/>
  <c r="DK28"/>
  <c r="M10" i="22"/>
  <c r="O10" s="1"/>
  <c r="N10"/>
  <c r="DK10" i="2"/>
  <c r="DQ10"/>
  <c r="DJ10"/>
  <c r="CR32"/>
  <c r="CQ32"/>
  <c r="BT16"/>
  <c r="BU16"/>
  <c r="CJ16"/>
  <c r="CI16"/>
  <c r="CR14"/>
  <c r="CQ14"/>
  <c r="CR15"/>
  <c r="CQ15"/>
  <c r="CR36"/>
  <c r="CQ36"/>
  <c r="CR10"/>
  <c r="CQ10"/>
  <c r="CR24"/>
  <c r="CQ24"/>
  <c r="CR9"/>
  <c r="CQ9"/>
  <c r="DP26"/>
  <c r="BO21"/>
  <c r="DO13"/>
  <c r="J8" i="22"/>
  <c r="K8" s="1"/>
  <c r="J29"/>
  <c r="BO22" i="2"/>
  <c r="CV13"/>
  <c r="M19" i="22"/>
  <c r="BO19" i="2"/>
  <c r="BY11"/>
  <c r="J18" i="22"/>
  <c r="K18" s="1"/>
  <c r="J11"/>
  <c r="K11" s="1"/>
  <c r="N11" s="1"/>
  <c r="O11" s="1"/>
  <c r="AH9" i="2"/>
  <c r="AH22"/>
  <c r="AH24"/>
  <c r="AH11"/>
  <c r="AH21"/>
  <c r="AH20"/>
  <c r="AH14"/>
  <c r="AH23"/>
  <c r="AH27"/>
  <c r="AH18"/>
  <c r="AH19"/>
  <c r="AH12"/>
  <c r="AH13"/>
  <c r="AH26"/>
  <c r="AH17"/>
  <c r="AH8"/>
  <c r="AH15"/>
  <c r="AH25"/>
  <c r="AH16"/>
  <c r="AH10"/>
  <c r="M23" i="22" l="1"/>
  <c r="O22"/>
  <c r="M9"/>
  <c r="DS26" i="2"/>
  <c r="O18" i="22"/>
  <c r="N16"/>
  <c r="O16" s="1"/>
  <c r="M11"/>
  <c r="M15"/>
  <c r="DS16" i="2"/>
  <c r="DT16"/>
  <c r="DT30"/>
  <c r="DS30"/>
  <c r="DS10"/>
  <c r="DT10"/>
  <c r="DS28"/>
  <c r="DT28"/>
  <c r="DT37"/>
  <c r="DS37"/>
  <c r="DT22"/>
  <c r="DS22"/>
  <c r="DS11"/>
  <c r="DT11"/>
  <c r="DS23"/>
  <c r="DT23"/>
  <c r="DS21"/>
  <c r="DT21"/>
  <c r="DS35"/>
  <c r="DT35"/>
  <c r="DT32"/>
  <c r="DS32"/>
  <c r="DS19"/>
  <c r="DT19"/>
  <c r="DS14"/>
  <c r="DT14"/>
  <c r="DS25"/>
  <c r="DT25"/>
  <c r="DT36"/>
  <c r="DS36"/>
  <c r="DT17"/>
  <c r="DS17"/>
  <c r="DT29"/>
  <c r="DS29"/>
  <c r="N25" i="22"/>
  <c r="O25" s="1"/>
  <c r="O8"/>
  <c r="DS18" i="2"/>
  <c r="M26" i="22"/>
  <c r="DS13" i="2"/>
  <c r="DT13"/>
  <c r="DT9"/>
  <c r="DS9"/>
  <c r="DT8"/>
  <c r="DS8"/>
  <c r="DS12"/>
  <c r="DT12"/>
  <c r="DS15"/>
  <c r="DT15"/>
  <c r="DT24"/>
  <c r="DS24"/>
  <c r="DS20"/>
  <c r="DT20"/>
  <c r="DT31"/>
  <c r="DS31"/>
  <c r="DT34"/>
  <c r="DS34"/>
  <c r="DT33"/>
  <c r="DS33"/>
</calcChain>
</file>

<file path=xl/comments1.xml><?xml version="1.0" encoding="utf-8"?>
<comments xmlns="http://schemas.openxmlformats.org/spreadsheetml/2006/main">
  <authors>
    <author>Tom Powell</author>
  </authors>
  <commentList>
    <comment ref="J31" authorId="0">
      <text>
        <r>
          <rPr>
            <b/>
            <sz val="8"/>
            <color indexed="81"/>
            <rFont val="Tahoma"/>
            <family val="2"/>
          </rPr>
          <t>Tom Powell:</t>
        </r>
        <r>
          <rPr>
            <sz val="8"/>
            <color indexed="81"/>
            <rFont val="Tahoma"/>
            <family val="2"/>
          </rPr>
          <t xml:space="preserve">
includes -3, and plotted on PCO2 axis</t>
        </r>
      </text>
    </comment>
  </commentList>
</comments>
</file>

<file path=xl/comments2.xml><?xml version="1.0" encoding="utf-8"?>
<comments xmlns="http://schemas.openxmlformats.org/spreadsheetml/2006/main">
  <authors>
    <author>Tom Powell</author>
    <author>Tom</author>
  </authors>
  <commentList>
    <comment ref="AE7" authorId="0">
      <text>
        <r>
          <rPr>
            <b/>
            <sz val="8"/>
            <color indexed="81"/>
            <rFont val="Tahoma"/>
            <family val="2"/>
          </rPr>
          <t>Tom Powell:</t>
        </r>
        <r>
          <rPr>
            <sz val="8"/>
            <color indexed="81"/>
            <rFont val="Tahoma"/>
            <family val="2"/>
          </rPr>
          <t xml:space="preserve">
Hem suggests 100 to 1 ratio of conductance and anion or cation sum as general rule for data checking.</t>
        </r>
      </text>
    </comment>
    <comment ref="DC7" authorId="1">
      <text>
        <r>
          <rPr>
            <b/>
            <sz val="9"/>
            <color indexed="81"/>
            <rFont val="Tahoma"/>
            <family val="2"/>
          </rPr>
          <t>Tom:</t>
        </r>
        <r>
          <rPr>
            <sz val="9"/>
            <color indexed="81"/>
            <rFont val="Tahoma"/>
            <family val="2"/>
          </rPr>
          <t xml:space="preserve">
Fournier &amp; Potter 1982</t>
        </r>
      </text>
    </comment>
    <comment ref="DE7" authorId="1">
      <text>
        <r>
          <rPr>
            <b/>
            <sz val="9"/>
            <color indexed="81"/>
            <rFont val="Tahoma"/>
            <family val="2"/>
          </rPr>
          <t>Tom:</t>
        </r>
        <r>
          <rPr>
            <sz val="9"/>
            <color indexed="81"/>
            <rFont val="Tahoma"/>
            <family val="2"/>
          </rPr>
          <t xml:space="preserve">
Equation for liquid enthalpy from Fournier UNU Silica presentation 50C to 340C</t>
        </r>
      </text>
    </comment>
  </commentList>
</comments>
</file>

<file path=xl/sharedStrings.xml><?xml version="1.0" encoding="utf-8"?>
<sst xmlns="http://schemas.openxmlformats.org/spreadsheetml/2006/main" count="539" uniqueCount="298">
  <si>
    <t>Outer border</t>
  </si>
  <si>
    <t xml:space="preserve">X </t>
  </si>
  <si>
    <t>Y</t>
  </si>
  <si>
    <t>X</t>
  </si>
  <si>
    <t>A percentage grid</t>
  </si>
  <si>
    <t>B percentage grid</t>
  </si>
  <si>
    <t>C percentage grid</t>
  </si>
  <si>
    <t>A</t>
  </si>
  <si>
    <t>C</t>
  </si>
  <si>
    <t>Date</t>
  </si>
  <si>
    <t>Source</t>
  </si>
  <si>
    <t>factors:</t>
  </si>
  <si>
    <t>Labels:</t>
  </si>
  <si>
    <t>Liquid Ternaries</t>
  </si>
  <si>
    <t>Ca</t>
  </si>
  <si>
    <t>Li</t>
  </si>
  <si>
    <t>B</t>
  </si>
  <si>
    <t>Cl</t>
  </si>
  <si>
    <t>SO4</t>
  </si>
  <si>
    <t>Sr</t>
  </si>
  <si>
    <t>Ba</t>
  </si>
  <si>
    <t>Cs</t>
  </si>
  <si>
    <t>Rb</t>
  </si>
  <si>
    <t>LRC Ternary</t>
  </si>
  <si>
    <t>CLB Ternary</t>
  </si>
  <si>
    <t>mg/kg</t>
  </si>
  <si>
    <t>Granite</t>
  </si>
  <si>
    <t>Diorite</t>
  </si>
  <si>
    <t>Basalt</t>
  </si>
  <si>
    <t>Ultramafic</t>
  </si>
  <si>
    <t>Limestone</t>
  </si>
  <si>
    <t>Sandstone</t>
  </si>
  <si>
    <t>Shale</t>
  </si>
  <si>
    <t>Seawater</t>
  </si>
  <si>
    <t>Granite EM</t>
  </si>
  <si>
    <t>Basalt EM</t>
  </si>
  <si>
    <t>Diorite EM</t>
  </si>
  <si>
    <t>HCO3</t>
  </si>
  <si>
    <t>pH</t>
  </si>
  <si>
    <t>Sample Name</t>
  </si>
  <si>
    <t>Sample Label</t>
  </si>
  <si>
    <t>CSH Ternary</t>
  </si>
  <si>
    <t>Na</t>
  </si>
  <si>
    <t>K</t>
  </si>
  <si>
    <t>Mg</t>
  </si>
  <si>
    <t>SiO2</t>
  </si>
  <si>
    <t>F</t>
  </si>
  <si>
    <t>CO3</t>
  </si>
  <si>
    <t>NH4</t>
  </si>
  <si>
    <t>As</t>
  </si>
  <si>
    <t>Fe</t>
  </si>
  <si>
    <t>Mn</t>
  </si>
  <si>
    <t>Mature</t>
  </si>
  <si>
    <t>NKM Ternary</t>
  </si>
  <si>
    <t>Mg^.5</t>
  </si>
  <si>
    <t>NKM</t>
  </si>
  <si>
    <t>KM v KC</t>
  </si>
  <si>
    <t>and</t>
  </si>
  <si>
    <t>chalcedony</t>
  </si>
  <si>
    <t>quartz</t>
  </si>
  <si>
    <t>alpha Cristo</t>
  </si>
  <si>
    <t>Mg+Ca v K+Na</t>
  </si>
  <si>
    <t>K+Na</t>
  </si>
  <si>
    <t>Mg+Ca</t>
  </si>
  <si>
    <t>K/Na factor=</t>
  </si>
  <si>
    <t>delO-18</t>
  </si>
  <si>
    <t>delD</t>
  </si>
  <si>
    <t>sum cations</t>
  </si>
  <si>
    <t>sum anions</t>
  </si>
  <si>
    <t>isotopes</t>
  </si>
  <si>
    <t>del O-18</t>
  </si>
  <si>
    <t>Del D</t>
  </si>
  <si>
    <t>origin</t>
  </si>
  <si>
    <t>Meteoric trend line</t>
  </si>
  <si>
    <t>Magmatic water</t>
  </si>
  <si>
    <t>Del O-18</t>
  </si>
  <si>
    <t>Temp C</t>
  </si>
  <si>
    <t>H steam</t>
  </si>
  <si>
    <t>M</t>
  </si>
  <si>
    <t>AC</t>
  </si>
  <si>
    <t>Tqtz</t>
  </si>
  <si>
    <t>Elevation</t>
  </si>
  <si>
    <t>10Mg/(Ca+10Mg)</t>
  </si>
  <si>
    <t>10Mg/(10Mg+Ca)</t>
  </si>
  <si>
    <t>10K/(10K+Na)</t>
  </si>
  <si>
    <r>
      <t>log(K</t>
    </r>
    <r>
      <rPr>
        <vertAlign val="superscript"/>
        <sz val="10"/>
        <rFont val="Arial"/>
        <family val="2"/>
      </rPr>
      <t>2</t>
    </r>
    <r>
      <rPr>
        <sz val="10"/>
        <rFont val="Arial"/>
        <family val="2"/>
      </rPr>
      <t>/Ca)</t>
    </r>
  </si>
  <si>
    <t>Mg^0.5</t>
  </si>
  <si>
    <t>UTM east</t>
  </si>
  <si>
    <t>UTM north</t>
  </si>
  <si>
    <t>CFB Ternary</t>
  </si>
  <si>
    <t>Tqtz Enthalpy  kj/kg</t>
  </si>
  <si>
    <t>Fixed address field for input data</t>
  </si>
  <si>
    <t>E</t>
  </si>
  <si>
    <t>UTM East</t>
  </si>
  <si>
    <t>UTM North</t>
  </si>
  <si>
    <t>G</t>
  </si>
  <si>
    <t>H</t>
  </si>
  <si>
    <t>I</t>
  </si>
  <si>
    <t>J</t>
  </si>
  <si>
    <t>L</t>
  </si>
  <si>
    <t>N</t>
  </si>
  <si>
    <t>O</t>
  </si>
  <si>
    <t>P</t>
  </si>
  <si>
    <t>Q</t>
  </si>
  <si>
    <t>R</t>
  </si>
  <si>
    <t>S</t>
  </si>
  <si>
    <t>T</t>
  </si>
  <si>
    <t>U</t>
  </si>
  <si>
    <t>V</t>
  </si>
  <si>
    <t>W</t>
  </si>
  <si>
    <t>Z</t>
  </si>
  <si>
    <t>AA</t>
  </si>
  <si>
    <t>AB</t>
  </si>
  <si>
    <t>AD</t>
  </si>
  <si>
    <t>AE</t>
  </si>
  <si>
    <t>AF</t>
  </si>
  <si>
    <t>log(K^2/Ca)</t>
  </si>
  <si>
    <t>log(K^2/Mg)</t>
  </si>
  <si>
    <t>D</t>
  </si>
  <si>
    <t>Amorphous Silica</t>
  </si>
  <si>
    <t>Na-K-Ca</t>
  </si>
  <si>
    <t>Geothermometers</t>
  </si>
  <si>
    <r>
      <t>log(K</t>
    </r>
    <r>
      <rPr>
        <vertAlign val="superscript"/>
        <sz val="10"/>
        <rFont val="Arial"/>
        <family val="2"/>
      </rPr>
      <t>2</t>
    </r>
    <r>
      <rPr>
        <sz val="10"/>
        <rFont val="Arial"/>
        <family val="2"/>
      </rPr>
      <t>/Mg)</t>
    </r>
  </si>
  <si>
    <t>rCO2 liquid</t>
  </si>
  <si>
    <t>Full Equilibrium</t>
  </si>
  <si>
    <t>rCO2 vapor expressed in PCO2</t>
  </si>
  <si>
    <t>Data entry field:</t>
  </si>
  <si>
    <t>1)</t>
  </si>
  <si>
    <t>2)</t>
  </si>
  <si>
    <t>3)</t>
  </si>
  <si>
    <t>4)</t>
  </si>
  <si>
    <t>5)</t>
  </si>
  <si>
    <t>6)</t>
  </si>
  <si>
    <t>7)</t>
  </si>
  <si>
    <t>8)</t>
  </si>
  <si>
    <t>Notes:</t>
  </si>
  <si>
    <t>Graphics can be edited directly as EXCEL97 graphics and certain grid dimentions (e.g. multipliers on ternary diagrams and evaporation cluster location on the stable isotope grid) can be changed on the 'input' sheet.  Fields for changing these parameters are located above the data entry field.</t>
  </si>
  <si>
    <t xml:space="preserve">Columns AG to BI are hidden.  These cells copy the cells in the input field based upon fixed cell addresses, so that data can be cut/pasted and moved in the input data field without changing cell addresses in the calculations.  </t>
  </si>
  <si>
    <t>Columns BM to CT are hidden.  These cells contain the geothermometer and ternary grid calculations</t>
  </si>
  <si>
    <r>
      <t xml:space="preserve">Two additional sheets used to generate the plots are hidden but available.  </t>
    </r>
    <r>
      <rPr>
        <b/>
        <sz val="12"/>
        <rFont val="Arial"/>
        <family val="2"/>
      </rPr>
      <t>Tgrid</t>
    </r>
    <r>
      <rPr>
        <sz val="12"/>
        <rFont val="Arial"/>
        <family val="2"/>
      </rPr>
      <t xml:space="preserve"> has the plot data for the ternary grids.  </t>
    </r>
    <r>
      <rPr>
        <b/>
        <sz val="12"/>
        <rFont val="Arial"/>
        <family val="2"/>
      </rPr>
      <t>Ref</t>
    </r>
    <r>
      <rPr>
        <sz val="12"/>
        <rFont val="Arial"/>
        <family val="2"/>
      </rPr>
      <t xml:space="preserve"> has reference plot data for the ternaries and cross plots.</t>
    </r>
  </si>
  <si>
    <t>Na-K-Ca Mg corr</t>
  </si>
  <si>
    <t>delta T R&gt;5</t>
  </si>
  <si>
    <t>delta T R&lt;5</t>
  </si>
  <si>
    <t>R factor Mg corr</t>
  </si>
  <si>
    <r>
      <t xml:space="preserve">Cond </t>
    </r>
    <r>
      <rPr>
        <b/>
        <sz val="8"/>
        <color indexed="62"/>
        <rFont val="Arial"/>
        <family val="2"/>
      </rPr>
      <t xml:space="preserve"> umhos/cm</t>
    </r>
  </si>
  <si>
    <t>Lab Number</t>
  </si>
  <si>
    <t>isotope labels</t>
  </si>
  <si>
    <t>Vertices for ternary diagrams</t>
  </si>
  <si>
    <t>tie lines</t>
  </si>
  <si>
    <t xml:space="preserve">Just for the </t>
  </si>
  <si>
    <t>Fractionation trends</t>
  </si>
  <si>
    <t>Chloride-enthalpy steam origin</t>
  </si>
  <si>
    <t>set from input sheet</t>
  </si>
  <si>
    <t>Rocks</t>
  </si>
  <si>
    <t>Tie Lines</t>
  </si>
  <si>
    <t>Cation equilibrium trends</t>
  </si>
  <si>
    <t>from input sheet</t>
  </si>
  <si>
    <t>Calcite sat lower limit</t>
  </si>
  <si>
    <t>Position of fractionation cluster</t>
  </si>
  <si>
    <t>Position of meteoric trend line label</t>
  </si>
  <si>
    <t>Isotopes</t>
  </si>
  <si>
    <t>Ternary plot multiplier factors:</t>
  </si>
  <si>
    <t>Charge Balance</t>
  </si>
  <si>
    <t>log (Ca^.5/Na) + 2.06</t>
  </si>
  <si>
    <t>T beta = 4/3</t>
  </si>
  <si>
    <t>beta</t>
  </si>
  <si>
    <t>Wairakei well</t>
  </si>
  <si>
    <t>WK</t>
  </si>
  <si>
    <t>Wairakei spring</t>
  </si>
  <si>
    <t>Ngawha well</t>
  </si>
  <si>
    <t>Ngawha spring</t>
  </si>
  <si>
    <t>NG</t>
  </si>
  <si>
    <t>wk</t>
  </si>
  <si>
    <t>ng</t>
  </si>
  <si>
    <t>Zunil well</t>
  </si>
  <si>
    <t>ZU</t>
  </si>
  <si>
    <t>Zunil spring</t>
  </si>
  <si>
    <t>zu</t>
  </si>
  <si>
    <t>Miravalles well</t>
  </si>
  <si>
    <t>MV</t>
  </si>
  <si>
    <t>Miravalles spring</t>
  </si>
  <si>
    <t>mv</t>
  </si>
  <si>
    <t>Ruiz acid spring</t>
  </si>
  <si>
    <t>Ruiz neutral spring</t>
  </si>
  <si>
    <t>ra</t>
  </si>
  <si>
    <t>rb</t>
  </si>
  <si>
    <t>Araro spring</t>
  </si>
  <si>
    <t>ar</t>
  </si>
  <si>
    <t>Manikaran spring</t>
  </si>
  <si>
    <t>ma</t>
  </si>
  <si>
    <t>Fang spring</t>
  </si>
  <si>
    <t>fn</t>
  </si>
  <si>
    <t>Paraso spring</t>
  </si>
  <si>
    <t>pr</t>
  </si>
  <si>
    <t>Yasur spring</t>
  </si>
  <si>
    <t>ya</t>
  </si>
  <si>
    <t>Lake Nyos</t>
  </si>
  <si>
    <t>ln</t>
  </si>
  <si>
    <t>Waitangi soda spring</t>
  </si>
  <si>
    <t>ws</t>
  </si>
  <si>
    <t>Morere spring</t>
  </si>
  <si>
    <t>mo</t>
  </si>
  <si>
    <t>Maui well</t>
  </si>
  <si>
    <t>MU</t>
  </si>
  <si>
    <t>White Island spring</t>
  </si>
  <si>
    <t>wi</t>
  </si>
  <si>
    <t>10K/(Na+10K)</t>
  </si>
  <si>
    <t>Ohaaki well</t>
  </si>
  <si>
    <t>OH</t>
  </si>
  <si>
    <t>Ohaaki meteoric</t>
  </si>
  <si>
    <t>oh</t>
  </si>
  <si>
    <t>Wairakei meteoric</t>
  </si>
  <si>
    <t>Tongonan well</t>
  </si>
  <si>
    <t>TG</t>
  </si>
  <si>
    <t>Tongonan meteoric</t>
  </si>
  <si>
    <t>tg</t>
  </si>
  <si>
    <t>Miravalles meteoric</t>
  </si>
  <si>
    <t>Zunil meteoric</t>
  </si>
  <si>
    <t>Quartz adiabatic</t>
  </si>
  <si>
    <t>This spreadsheet accepts water chemistry and stable isotope data and plots them in standard ternary and geothermometer grids.  Data are pasted into the 'Input' sheet and appear on all the graphics applicable to that data type.  Data may also be cut, pasted and moved within the data entry field without changing cell addresses in the calculations.</t>
  </si>
  <si>
    <t>mg/kg =&gt; meq/litre</t>
  </si>
  <si>
    <t>Cond umohs/cm</t>
  </si>
  <si>
    <r>
      <t>Rows 7 through 36 accept data for the plots (30 data points).  The first 3 columns (</t>
    </r>
    <r>
      <rPr>
        <b/>
        <sz val="12"/>
        <rFont val="Arial"/>
        <family val="2"/>
      </rPr>
      <t>Sample Name</t>
    </r>
    <r>
      <rPr>
        <sz val="12"/>
        <rFont val="Arial"/>
        <family val="2"/>
      </rPr>
      <t>,</t>
    </r>
    <r>
      <rPr>
        <b/>
        <sz val="12"/>
        <rFont val="Arial"/>
        <family val="2"/>
      </rPr>
      <t xml:space="preserve"> Lab Number </t>
    </r>
    <r>
      <rPr>
        <sz val="12"/>
        <rFont val="Arial"/>
        <family val="2"/>
      </rPr>
      <t xml:space="preserve">&amp; </t>
    </r>
    <r>
      <rPr>
        <b/>
        <sz val="12"/>
        <rFont val="Arial"/>
        <family val="2"/>
      </rPr>
      <t>Date</t>
    </r>
    <r>
      <rPr>
        <sz val="12"/>
        <rFont val="Arial"/>
        <family val="2"/>
      </rPr>
      <t>) are not referenced by the plots and are there for user reference.</t>
    </r>
  </si>
  <si>
    <r>
      <t>Sample Label</t>
    </r>
    <r>
      <rPr>
        <sz val="12"/>
        <rFont val="Arial"/>
        <family val="2"/>
      </rPr>
      <t>' in column D is a text field that will determine the label for points on the plots.  The Excel 97 add-in 'X-Y chart labeler 97' can also be used to label the charts</t>
    </r>
  </si>
  <si>
    <r>
      <t xml:space="preserve">Columns E, F, G &amp; H are for </t>
    </r>
    <r>
      <rPr>
        <b/>
        <sz val="12"/>
        <rFont val="Arial"/>
        <family val="2"/>
      </rPr>
      <t>UTM location</t>
    </r>
    <r>
      <rPr>
        <sz val="12"/>
        <rFont val="Arial"/>
        <family val="2"/>
      </rPr>
      <t xml:space="preserve">, </t>
    </r>
    <r>
      <rPr>
        <b/>
        <sz val="12"/>
        <rFont val="Arial"/>
        <family val="2"/>
      </rPr>
      <t>elevation</t>
    </r>
    <r>
      <rPr>
        <sz val="12"/>
        <rFont val="Arial"/>
        <family val="2"/>
      </rPr>
      <t xml:space="preserve"> and</t>
    </r>
    <r>
      <rPr>
        <b/>
        <sz val="12"/>
        <rFont val="Arial"/>
        <family val="2"/>
      </rPr>
      <t xml:space="preserve"> </t>
    </r>
    <r>
      <rPr>
        <sz val="12"/>
        <rFont val="Arial"/>
        <family val="2"/>
      </rPr>
      <t>sample</t>
    </r>
    <r>
      <rPr>
        <b/>
        <sz val="12"/>
        <rFont val="Arial"/>
        <family val="2"/>
      </rPr>
      <t xml:space="preserve"> temperature</t>
    </r>
    <r>
      <rPr>
        <sz val="12"/>
        <rFont val="Arial"/>
        <family val="2"/>
      </rPr>
      <t>.  These will be used to plot the locations on the "Map" sheet.  Scales on the "Map" chart will need to be adjusted to accomodate the locations.  A square-dimentioned empty text box is included in the upper left corner to assist in rectifying the N-S and E-W grid scales of the map</t>
    </r>
  </si>
  <si>
    <t>Temperatures in degrees C</t>
  </si>
  <si>
    <t>Ternary vertex multipliers (the amounts multiplying the elements in the ternary plots) can be changed in the boxes above the data input field.  It should be noted that in most cases the values in the box are those used by the plot originator (i.e, W Giggenbach).   The location of the evaporation trend cluster in the isotope chart ("Iso") and the meteoric trend line label can be changed in the box on the upper right.</t>
  </si>
  <si>
    <t xml:space="preserve">The "Report" sheet gives the results of standard geothermometer calculations for the chemical analysis, along with sample name, source and date.  </t>
  </si>
  <si>
    <t>Points plotted on the grids are accompanied by labels input in column D.  Empty data rows (rows without input chemical or isotope data) are plotted outside of the chart area (99, -99, 999, etc) and their data labels are blank. Labels for incomplete data will sometimes be plotted to the left outside the chart area.  These can be removed for presentation by adjusting the plot ranges of the charts.  This may, however, permanently remove the labels from the data range beyond the plot range.  It is recommended that graphs to be altered for presentation should be moved to a separate sheet (Menu:"Edit"/"Move or Copy Sheet"/"Create a Copy" checkbox)</t>
  </si>
  <si>
    <t>Input units are in mg/kg of the chemical species indicated.  Data reported for a different variety of that species (i.e., NH3 rather than NH4) needs to be adjusted by the ratio of molecular weights (i.e. mg/kg NH4 = mg/kg NH3*(18/17))</t>
  </si>
  <si>
    <r>
      <t>Some labs report total inorganic carbon (H2CO3+HCO3</t>
    </r>
    <r>
      <rPr>
        <vertAlign val="superscript"/>
        <sz val="12"/>
        <rFont val="Arial"/>
        <family val="2"/>
      </rPr>
      <t>-</t>
    </r>
    <r>
      <rPr>
        <sz val="12"/>
        <rFont val="Arial"/>
        <family val="2"/>
      </rPr>
      <t>+CO3</t>
    </r>
    <r>
      <rPr>
        <vertAlign val="superscript"/>
        <sz val="12"/>
        <rFont val="Arial"/>
        <family val="2"/>
      </rPr>
      <t>=</t>
    </r>
    <r>
      <rPr>
        <sz val="12"/>
        <rFont val="Arial"/>
        <family val="2"/>
      </rPr>
      <t>) instead of bicarbonate and carbonate.  This is generally reported in units of bicarbonate ("as bicarbonate") and, confusingly, is often called bicarbonate.  If total inorganic carbon is entered into the bicarbonate field it will result in an excess of anions over cations because H2CO3 does not have a charge in solution. Data should be requested as concentrations of these separate carbonate specie (i.e., carbonic acid or dissolved CO2, bicarbonate and carbonate)</t>
    </r>
  </si>
  <si>
    <t>The charts and geothermometry report in this spreadsheet are described in an accompanying article by T Powell &amp; W Cumming delivered at the 35th Workshop on Geothermal Reservoir Engineering, Stanford University, Stanford, California, February 1-3, 2010.  References for the calculations and charts can be found in that document</t>
  </si>
  <si>
    <t>9)</t>
  </si>
  <si>
    <r>
      <t>Enter stable isotope data as "del" expressed in per mil (parts per thousand) in columns AE and AF.  Del values are computed relative to the SMOW standard, such that del = (R - R</t>
    </r>
    <r>
      <rPr>
        <vertAlign val="subscript"/>
        <sz val="12"/>
        <rFont val="Arial"/>
        <family val="2"/>
      </rPr>
      <t>SMOW</t>
    </r>
    <r>
      <rPr>
        <sz val="12"/>
        <rFont val="Arial"/>
        <family val="2"/>
      </rPr>
      <t>) / R</t>
    </r>
    <r>
      <rPr>
        <vertAlign val="subscript"/>
        <sz val="12"/>
        <rFont val="Arial"/>
        <family val="2"/>
      </rPr>
      <t>SMOW</t>
    </r>
    <r>
      <rPr>
        <sz val="12"/>
        <rFont val="Arial"/>
        <family val="2"/>
      </rPr>
      <t>, where R is the isotope ratio of the sample (</t>
    </r>
    <r>
      <rPr>
        <vertAlign val="superscript"/>
        <sz val="12"/>
        <rFont val="Arial"/>
        <family val="2"/>
      </rPr>
      <t>18</t>
    </r>
    <r>
      <rPr>
        <sz val="12"/>
        <rFont val="Arial"/>
        <family val="2"/>
      </rPr>
      <t>O/</t>
    </r>
    <r>
      <rPr>
        <vertAlign val="superscript"/>
        <sz val="12"/>
        <rFont val="Arial"/>
        <family val="2"/>
      </rPr>
      <t>16</t>
    </r>
    <r>
      <rPr>
        <sz val="12"/>
        <rFont val="Arial"/>
        <family val="2"/>
      </rPr>
      <t>O or D/H) and R</t>
    </r>
    <r>
      <rPr>
        <vertAlign val="subscript"/>
        <sz val="12"/>
        <rFont val="Arial"/>
        <family val="2"/>
      </rPr>
      <t>SMOW</t>
    </r>
    <r>
      <rPr>
        <sz val="12"/>
        <rFont val="Arial"/>
        <family val="2"/>
      </rPr>
      <t xml:space="preserve"> is the isotope ratio of the standard.  For most geothermal fluids both del </t>
    </r>
    <r>
      <rPr>
        <vertAlign val="superscript"/>
        <sz val="12"/>
        <rFont val="Arial"/>
        <family val="2"/>
      </rPr>
      <t>18</t>
    </r>
    <r>
      <rPr>
        <sz val="12"/>
        <rFont val="Arial"/>
        <family val="2"/>
      </rPr>
      <t xml:space="preserve">O and del D will be negative. </t>
    </r>
  </si>
  <si>
    <r>
      <t xml:space="preserve">del </t>
    </r>
    <r>
      <rPr>
        <b/>
        <vertAlign val="superscript"/>
        <sz val="10"/>
        <color indexed="62"/>
        <rFont val="Arial"/>
        <family val="2"/>
      </rPr>
      <t>18</t>
    </r>
    <r>
      <rPr>
        <b/>
        <sz val="10"/>
        <color indexed="62"/>
        <rFont val="Arial"/>
        <family val="2"/>
      </rPr>
      <t>O</t>
    </r>
  </si>
  <si>
    <t>del D</t>
  </si>
  <si>
    <r>
      <t>Columns BJ through BL present the sums of cations and anions charge (in meq/mg) and the charge balance as a percentage of the total ionic charge of the solution  [cations-anions]/[cations+anions]. Charge in milliequivalents per kg (meq/kg) is calculated using the conversion factors in Row 5 of hidden columns AG to BI. The conversion factor for iron assumes Fe</t>
    </r>
    <r>
      <rPr>
        <vertAlign val="superscript"/>
        <sz val="12"/>
        <rFont val="Arial"/>
        <family val="2"/>
      </rPr>
      <t>+2</t>
    </r>
    <r>
      <rPr>
        <sz val="12"/>
        <rFont val="Arial"/>
        <family val="2"/>
      </rPr>
      <t>.  The sum of cations includes pH only if a pH value is entered. Charge balances greater than +-5% are highlighted in red font.  An excess of anions or cations greater than this indicates an erroneous analysis of one of the major ionic species or a missing major ionic species</t>
    </r>
  </si>
  <si>
    <t>Versions:</t>
  </si>
  <si>
    <t>Copy water chemistry data into data field below.  Use negative numbers to indicate detection limit.  Data will be plotted at detection.  Cut &amp; paste or move data but do not delete lines or columns.</t>
  </si>
  <si>
    <t>factor</t>
  </si>
  <si>
    <t>XYZ Ternary</t>
  </si>
  <si>
    <t>column</t>
  </si>
  <si>
    <t>element</t>
  </si>
  <si>
    <t>Elements</t>
  </si>
  <si>
    <t xml:space="preserve">- Change to magnesium ion correction at R&lt;5 to correct for error in equasion.  Error caused temperature correction to be 2 deg C too great </t>
  </si>
  <si>
    <t xml:space="preserve"> - Added User defined XYZ ternary chart, so that User can define elements for the ternary, as well as multiplier factors.  Elements are chosen by inputing row letter in left column of box</t>
  </si>
  <si>
    <t>-Added row to top of input sheet to accommodate User Defined XYZ ternary</t>
  </si>
  <si>
    <t>-Fixed cell address of Sample Name in Report page, due to added row at top of Input page</t>
  </si>
  <si>
    <t>Steam Fraction</t>
  </si>
  <si>
    <t>AG</t>
  </si>
  <si>
    <t xml:space="preserve">Enter or copy in laboratory analysis data (as mg/kg) in columns I through AD.  Parts per million (ppm) is equivalent to mg/kg.  Data in moles/liter can be converted to mg/kg by multipying by the appropriate molecular weight of the analyte.  Henley, Truesdell &amp; Barton (1984) suggest that mg/litre can be converted directly to mg/kg without noticable error below about 35,000 mg/kg total dissolved solids, which can be approximated by the sum of analytes.  At higher concentrations a correction for the density of the sample is needed. Data are sometimes listed in weight percent, which can be directly converted to mg/kg (1wt%=10,000 mg/kg).  For a more complete discussion of units reported in analyses and their conversion to mg/kg, see Hem (1970).  Negative values are interpreted a "below detection" and are plotted at the detection limit.  </t>
  </si>
  <si>
    <t>input field column:</t>
  </si>
  <si>
    <t>Copy of input columns using indirect cell addresses to prevent changes to data addresses due to cut and move editing.  Converts values to absolute to plot at detection limit. Values in Row 6 are factors to convert mg/kg to miliequivalents per litre for charge balance calculation.</t>
  </si>
  <si>
    <t>-Corrected R&gt;5 equation for NaKCa Mg ion correction to equation in Fournier &amp; Potter 1979 GCA paper</t>
  </si>
  <si>
    <t>Alpha Cristobalite</t>
  </si>
  <si>
    <t>Beta Cristobalite</t>
  </si>
  <si>
    <t>Chalcedony conductive</t>
  </si>
  <si>
    <t>Quartz conductive</t>
  </si>
  <si>
    <t>Na/K  Fournier 1979</t>
  </si>
  <si>
    <t>Na/K  Truesdell 1976</t>
  </si>
  <si>
    <t>Na/K Giggenbach 1988</t>
  </si>
  <si>
    <t>Na/K Tonani 1980</t>
  </si>
  <si>
    <t>Na/K              Nieva &amp; Nieva        1987</t>
  </si>
  <si>
    <t>Na/K     Arnorsson    1983</t>
  </si>
  <si>
    <t>K/Mg Giggenbach 1986</t>
  </si>
  <si>
    <t>amorph</t>
  </si>
  <si>
    <t>Trilinear diagram</t>
  </si>
  <si>
    <t>Add:</t>
  </si>
  <si>
    <t>AddX:</t>
  </si>
  <si>
    <t>AddY:</t>
  </si>
  <si>
    <t>Cations percentage grid</t>
  </si>
  <si>
    <t>Anions percentage grid</t>
  </si>
  <si>
    <t>Na+K</t>
  </si>
  <si>
    <t>Piper plot parameters</t>
  </si>
  <si>
    <t>Separation of plot fields</t>
  </si>
  <si>
    <t>Cation ternary</t>
  </si>
  <si>
    <t>Anion ternary</t>
  </si>
  <si>
    <t>combined ternary</t>
  </si>
  <si>
    <t>Powell Geoscience Ltd.  3 September 2012</t>
  </si>
  <si>
    <t>Liquid chemistry plotting spreadsheet version 3</t>
  </si>
  <si>
    <t>Vent Enthalpy</t>
  </si>
  <si>
    <t>Corrected Chloride</t>
  </si>
  <si>
    <t>Chloride enthalpy plots</t>
  </si>
  <si>
    <t>beta Cristo</t>
  </si>
  <si>
    <t>SIO2</t>
  </si>
  <si>
    <t>Piper Plot</t>
  </si>
  <si>
    <t>From Input Sheet</t>
  </si>
  <si>
    <t>-Added column for steam fraction, so that well samples can be corrected for steam loss.  This correction is applled to geothermometer values, geothermometer plots and chloride enthalpy plot.  If steam fraction is left blank, a zero value is assumed and no correction is applied.  No correction is made to isotope data</t>
  </si>
  <si>
    <t>-Added enthalpy-chloride plot for discharge enthalpy, sheet "XClHdisch"</t>
  </si>
  <si>
    <t>-Added solubilities for alpha &amp; beta cristobalite and amorphous silica to Xkms plot</t>
  </si>
  <si>
    <t>-Added alpha &amp; beta cristobalite and additional Na/K geothermometers to "Report" sheet.</t>
  </si>
  <si>
    <t>-The steam fraction correction is made by multiplying the sample concentration by the liquid fraction, which is the complement (1-X) of the steam fraction.  Samples with an excess steam correction can be corrected by entering the complement of the liquid correction factor for the value of steam fraction</t>
  </si>
  <si>
    <t>Liquid_Analysis_v3_Powell&amp;Cumming_2010_StanfordGW  Geochemical Plotting Spreadsheet</t>
  </si>
  <si>
    <t>-Added Piper (Trilinear) Plot in sheet "Piper".  Data are plotted as milliequivalents/litre, not ppm.  Legend can be cropped by decreasing box size.  Separation of plot fields can be increased by changing spacing in Input field above charge balance</t>
  </si>
  <si>
    <t>-fixed bug offsetting sample labels in Record sheet by one row.</t>
  </si>
  <si>
    <t>v1</t>
  </si>
  <si>
    <t>v2</t>
  </si>
  <si>
    <t>-fixed bug in Piper Plots which caused anions to not sum to 100% (and plot incorrectly)</t>
  </si>
</sst>
</file>

<file path=xl/styles.xml><?xml version="1.0" encoding="utf-8"?>
<styleSheet xmlns="http://schemas.openxmlformats.org/spreadsheetml/2006/main">
  <numFmts count="8">
    <numFmt numFmtId="43" formatCode="_(* #,##0.00_);_(* \(#,##0.00\);_(* &quot;-&quot;??_);_(@_)"/>
    <numFmt numFmtId="164" formatCode="0.0"/>
    <numFmt numFmtId="165" formatCode="0.00000"/>
    <numFmt numFmtId="166" formatCode="0.0000"/>
    <numFmt numFmtId="167" formatCode="0.000"/>
    <numFmt numFmtId="168" formatCode="0.000000"/>
    <numFmt numFmtId="169" formatCode="0.00E+00;[Red]\&lt;0.00E+00"/>
    <numFmt numFmtId="170" formatCode="d/mm/yy;@"/>
  </numFmts>
  <fonts count="26">
    <font>
      <sz val="10"/>
      <name val="Arial"/>
    </font>
    <font>
      <sz val="10"/>
      <name val="Arial"/>
      <family val="2"/>
    </font>
    <font>
      <sz val="10"/>
      <color indexed="12"/>
      <name val="Arial"/>
      <family val="2"/>
    </font>
    <font>
      <sz val="10"/>
      <name val="Arial"/>
      <family val="2"/>
    </font>
    <font>
      <b/>
      <sz val="12"/>
      <name val="Arial"/>
      <family val="2"/>
    </font>
    <font>
      <b/>
      <sz val="10"/>
      <name val="Arial"/>
      <family val="2"/>
    </font>
    <font>
      <sz val="10"/>
      <color indexed="8"/>
      <name val="Arial"/>
      <family val="2"/>
    </font>
    <font>
      <sz val="10"/>
      <color indexed="62"/>
      <name val="Arial"/>
      <family val="2"/>
    </font>
    <font>
      <b/>
      <sz val="10"/>
      <color indexed="62"/>
      <name val="Arial"/>
      <family val="2"/>
    </font>
    <font>
      <b/>
      <sz val="12"/>
      <color indexed="62"/>
      <name val="Arial"/>
      <family val="2"/>
    </font>
    <font>
      <sz val="8"/>
      <name val="Arial"/>
      <family val="2"/>
    </font>
    <font>
      <b/>
      <sz val="14"/>
      <name val="Arial"/>
      <family val="2"/>
    </font>
    <font>
      <vertAlign val="superscript"/>
      <sz val="10"/>
      <name val="Arial"/>
      <family val="2"/>
    </font>
    <font>
      <sz val="10"/>
      <color indexed="56"/>
      <name val="Arial"/>
      <family val="2"/>
    </font>
    <font>
      <sz val="12"/>
      <name val="Arial"/>
      <family val="2"/>
    </font>
    <font>
      <sz val="10"/>
      <color indexed="18"/>
      <name val="Arial"/>
      <family val="2"/>
    </font>
    <font>
      <sz val="8"/>
      <color indexed="81"/>
      <name val="Tahoma"/>
      <family val="2"/>
    </font>
    <font>
      <b/>
      <sz val="8"/>
      <color indexed="81"/>
      <name val="Tahoma"/>
      <family val="2"/>
    </font>
    <font>
      <b/>
      <sz val="16"/>
      <name val="Arial"/>
      <family val="2"/>
    </font>
    <font>
      <b/>
      <sz val="8"/>
      <color indexed="62"/>
      <name val="Arial"/>
      <family val="2"/>
    </font>
    <font>
      <vertAlign val="superscript"/>
      <sz val="12"/>
      <name val="Arial"/>
      <family val="2"/>
    </font>
    <font>
      <vertAlign val="subscript"/>
      <sz val="12"/>
      <name val="Arial"/>
      <family val="2"/>
    </font>
    <font>
      <b/>
      <vertAlign val="superscript"/>
      <sz val="10"/>
      <color indexed="62"/>
      <name val="Arial"/>
      <family val="2"/>
    </font>
    <font>
      <sz val="9"/>
      <color indexed="81"/>
      <name val="Tahoma"/>
      <family val="2"/>
    </font>
    <font>
      <b/>
      <sz val="9"/>
      <color indexed="81"/>
      <name val="Tahoma"/>
      <family val="2"/>
    </font>
    <font>
      <sz val="11"/>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6" fillId="0" borderId="0"/>
    <xf numFmtId="9" fontId="1" fillId="0" borderId="0" applyFont="0" applyFill="0" applyBorder="0" applyAlignment="0" applyProtection="0"/>
  </cellStyleXfs>
  <cellXfs count="462">
    <xf numFmtId="0" fontId="0" fillId="0" borderId="0" xfId="0"/>
    <xf numFmtId="0" fontId="0" fillId="0" borderId="1" xfId="0" applyBorder="1" applyAlignment="1">
      <alignment horizontal="right"/>
    </xf>
    <xf numFmtId="0" fontId="0" fillId="0" borderId="2" xfId="0" applyBorder="1"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0" xfId="0" applyBorder="1" applyAlignment="1">
      <alignment horizontal="right"/>
    </xf>
    <xf numFmtId="9" fontId="0" fillId="0" borderId="1" xfId="3" applyFont="1" applyBorder="1"/>
    <xf numFmtId="9" fontId="0" fillId="0" borderId="0" xfId="3" applyFont="1" applyBorder="1"/>
    <xf numFmtId="43" fontId="0" fillId="0" borderId="2" xfId="1" applyFont="1" applyBorder="1"/>
    <xf numFmtId="9" fontId="0" fillId="0" borderId="3" xfId="3" applyFont="1" applyBorder="1"/>
    <xf numFmtId="9" fontId="0" fillId="0" borderId="5" xfId="3" applyFont="1" applyBorder="1"/>
    <xf numFmtId="0" fontId="0" fillId="0" borderId="5" xfId="0" applyBorder="1"/>
    <xf numFmtId="43" fontId="0" fillId="0" borderId="4" xfId="1" applyFont="1" applyBorder="1"/>
    <xf numFmtId="2" fontId="0" fillId="0" borderId="2" xfId="1" applyNumberFormat="1" applyFont="1" applyBorder="1"/>
    <xf numFmtId="2" fontId="0" fillId="0" borderId="4" xfId="1" applyNumberFormat="1" applyFont="1" applyBorder="1"/>
    <xf numFmtId="167" fontId="0" fillId="0" borderId="0" xfId="0" applyNumberFormat="1"/>
    <xf numFmtId="2" fontId="0" fillId="0" borderId="0" xfId="0" applyNumberFormat="1"/>
    <xf numFmtId="0" fontId="4" fillId="0" borderId="0" xfId="0" applyFont="1"/>
    <xf numFmtId="0" fontId="0" fillId="0" borderId="0" xfId="0" applyBorder="1" applyProtection="1">
      <protection locked="0"/>
    </xf>
    <xf numFmtId="0" fontId="4" fillId="0" borderId="0" xfId="0" applyFont="1" applyProtection="1">
      <protection hidden="1"/>
    </xf>
    <xf numFmtId="0" fontId="0" fillId="0" borderId="0" xfId="0" applyProtection="1">
      <protection hidden="1"/>
    </xf>
    <xf numFmtId="0" fontId="0" fillId="0" borderId="6" xfId="0" applyBorder="1" applyProtection="1">
      <protection hidden="1"/>
    </xf>
    <xf numFmtId="0" fontId="0" fillId="0" borderId="7" xfId="0" applyBorder="1" applyProtection="1">
      <protection hidden="1"/>
    </xf>
    <xf numFmtId="0" fontId="5" fillId="0" borderId="7" xfId="0" applyFont="1" applyBorder="1" applyProtection="1">
      <protection hidden="1"/>
    </xf>
    <xf numFmtId="0" fontId="0" fillId="0" borderId="8" xfId="0" applyBorder="1" applyProtection="1">
      <protection hidden="1"/>
    </xf>
    <xf numFmtId="0" fontId="0" fillId="0" borderId="6" xfId="0" applyBorder="1" applyAlignment="1" applyProtection="1">
      <alignment horizontal="right"/>
      <protection hidden="1"/>
    </xf>
    <xf numFmtId="0" fontId="0" fillId="0" borderId="7" xfId="0" applyBorder="1" applyAlignment="1" applyProtection="1">
      <alignment horizontal="right"/>
      <protection hidden="1"/>
    </xf>
    <xf numFmtId="0" fontId="0" fillId="0" borderId="8" xfId="0" applyBorder="1" applyAlignment="1" applyProtection="1">
      <alignment horizontal="right"/>
      <protection hidden="1"/>
    </xf>
    <xf numFmtId="0" fontId="5" fillId="0" borderId="0" xfId="0" applyFont="1" applyProtection="1">
      <protection hidden="1"/>
    </xf>
    <xf numFmtId="0" fontId="5" fillId="0" borderId="5" xfId="0" applyFont="1" applyBorder="1" applyAlignment="1" applyProtection="1">
      <alignment horizontal="center"/>
      <protection hidden="1"/>
    </xf>
    <xf numFmtId="0" fontId="5" fillId="0" borderId="5" xfId="0" applyFont="1" applyBorder="1" applyProtection="1">
      <protection hidden="1"/>
    </xf>
    <xf numFmtId="0" fontId="5" fillId="0" borderId="4" xfId="0" applyFont="1" applyBorder="1" applyProtection="1">
      <protection hidden="1"/>
    </xf>
    <xf numFmtId="0" fontId="0" fillId="0" borderId="0" xfId="0" applyAlignment="1" applyProtection="1">
      <alignment horizontal="right"/>
      <protection hidden="1"/>
    </xf>
    <xf numFmtId="0" fontId="3" fillId="0" borderId="0" xfId="0" applyFont="1" applyBorder="1" applyProtection="1">
      <protection hidden="1"/>
    </xf>
    <xf numFmtId="0" fontId="3" fillId="0" borderId="2" xfId="0" applyFont="1" applyBorder="1" applyProtection="1">
      <protection hidden="1"/>
    </xf>
    <xf numFmtId="9" fontId="0" fillId="0" borderId="0" xfId="3" applyFont="1" applyBorder="1" applyAlignment="1" applyProtection="1">
      <alignment horizontal="center"/>
      <protection hidden="1"/>
    </xf>
    <xf numFmtId="167" fontId="0" fillId="0" borderId="0" xfId="0" applyNumberFormat="1" applyBorder="1" applyProtection="1">
      <protection hidden="1"/>
    </xf>
    <xf numFmtId="167" fontId="0" fillId="0" borderId="2" xfId="0" applyNumberFormat="1" applyBorder="1" applyProtection="1">
      <protection hidden="1"/>
    </xf>
    <xf numFmtId="1" fontId="0" fillId="0" borderId="0" xfId="0" applyNumberFormat="1" applyProtection="1">
      <protection hidden="1"/>
    </xf>
    <xf numFmtId="0" fontId="0" fillId="0" borderId="0" xfId="0" applyBorder="1" applyProtection="1">
      <protection hidden="1"/>
    </xf>
    <xf numFmtId="164" fontId="0" fillId="0" borderId="0" xfId="0" applyNumberFormat="1" applyProtection="1">
      <protection hidden="1"/>
    </xf>
    <xf numFmtId="2" fontId="0" fillId="0" borderId="0" xfId="0" applyNumberFormat="1" applyProtection="1">
      <protection hidden="1"/>
    </xf>
    <xf numFmtId="164" fontId="0" fillId="0" borderId="0" xfId="0" applyNumberFormat="1" applyAlignment="1" applyProtection="1">
      <alignment horizontal="right"/>
      <protection hidden="1"/>
    </xf>
    <xf numFmtId="0" fontId="7" fillId="0" borderId="0" xfId="0" applyFont="1"/>
    <xf numFmtId="164" fontId="0" fillId="0" borderId="0" xfId="0" applyNumberFormat="1"/>
    <xf numFmtId="0" fontId="9" fillId="0" borderId="0" xfId="0" applyFont="1"/>
    <xf numFmtId="0" fontId="9" fillId="0" borderId="1" xfId="0" applyFont="1" applyBorder="1" applyAlignment="1">
      <alignment horizontal="left"/>
    </xf>
    <xf numFmtId="0" fontId="8" fillId="0" borderId="0" xfId="0" applyFont="1" applyBorder="1" applyAlignment="1">
      <alignment horizontal="right"/>
    </xf>
    <xf numFmtId="1" fontId="3" fillId="0" borderId="0" xfId="0" applyNumberFormat="1" applyFont="1"/>
    <xf numFmtId="0" fontId="0" fillId="0" borderId="0" xfId="0" applyFill="1"/>
    <xf numFmtId="0" fontId="0" fillId="0" borderId="0" xfId="0" applyFill="1" applyBorder="1"/>
    <xf numFmtId="0" fontId="3" fillId="0" borderId="0" xfId="0" applyFont="1"/>
    <xf numFmtId="167" fontId="3" fillId="0" borderId="0" xfId="0" applyNumberFormat="1" applyFont="1"/>
    <xf numFmtId="0" fontId="0" fillId="0" borderId="0" xfId="0" applyAlignment="1">
      <alignment horizontal="centerContinuous"/>
    </xf>
    <xf numFmtId="0" fontId="3" fillId="0" borderId="0" xfId="0" applyFont="1" applyAlignment="1">
      <alignment horizontal="centerContinuous"/>
    </xf>
    <xf numFmtId="9" fontId="0" fillId="0" borderId="0" xfId="3" applyFont="1"/>
    <xf numFmtId="0" fontId="13" fillId="0" borderId="0" xfId="0" applyFont="1"/>
    <xf numFmtId="0" fontId="13" fillId="0" borderId="0" xfId="0" applyFont="1" applyAlignment="1">
      <alignment horizontal="right"/>
    </xf>
    <xf numFmtId="1" fontId="13" fillId="0" borderId="0" xfId="0" applyNumberFormat="1" applyFont="1" applyAlignment="1">
      <alignment horizontal="right"/>
    </xf>
    <xf numFmtId="164" fontId="13" fillId="0" borderId="0" xfId="0" applyNumberFormat="1" applyFont="1" applyAlignment="1">
      <alignment horizontal="right"/>
    </xf>
    <xf numFmtId="2" fontId="3" fillId="0" borderId="0" xfId="0" applyNumberFormat="1" applyFont="1"/>
    <xf numFmtId="167" fontId="13" fillId="0" borderId="0" xfId="0" applyNumberFormat="1" applyFont="1" applyAlignment="1">
      <alignment horizontal="right"/>
    </xf>
    <xf numFmtId="164" fontId="13" fillId="0" borderId="0" xfId="0" applyNumberFormat="1" applyFont="1"/>
    <xf numFmtId="1" fontId="13" fillId="0" borderId="0" xfId="0" applyNumberFormat="1" applyFont="1"/>
    <xf numFmtId="164" fontId="3" fillId="0" borderId="0" xfId="0" applyNumberFormat="1" applyFont="1"/>
    <xf numFmtId="1" fontId="3" fillId="0" borderId="0" xfId="0" applyNumberFormat="1" applyFont="1" applyAlignment="1">
      <alignment horizontal="right"/>
    </xf>
    <xf numFmtId="1" fontId="0" fillId="0" borderId="0" xfId="0" applyNumberFormat="1" applyBorder="1"/>
    <xf numFmtId="0" fontId="10" fillId="0" borderId="0" xfId="0" applyFont="1"/>
    <xf numFmtId="0" fontId="3" fillId="0" borderId="0" xfId="0" applyFont="1" applyFill="1" applyBorder="1" applyProtection="1"/>
    <xf numFmtId="0" fontId="3" fillId="0" borderId="0" xfId="0" applyFont="1" applyFill="1" applyBorder="1" applyAlignment="1">
      <alignment horizontal="right"/>
    </xf>
    <xf numFmtId="0" fontId="0" fillId="0" borderId="0" xfId="0" applyAlignment="1">
      <alignment horizontal="center"/>
    </xf>
    <xf numFmtId="0" fontId="4" fillId="0" borderId="9" xfId="0" applyFont="1" applyBorder="1"/>
    <xf numFmtId="0" fontId="3" fillId="0" borderId="10" xfId="0" applyFont="1" applyFill="1" applyBorder="1" applyProtection="1"/>
    <xf numFmtId="1" fontId="0" fillId="0" borderId="0" xfId="0" applyNumberFormat="1" applyBorder="1" applyAlignment="1">
      <alignment horizontal="center"/>
    </xf>
    <xf numFmtId="1" fontId="0" fillId="0" borderId="11" xfId="0" applyNumberFormat="1" applyBorder="1" applyAlignment="1">
      <alignment horizont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8" fillId="0" borderId="0" xfId="0" applyFont="1"/>
    <xf numFmtId="0" fontId="0" fillId="0" borderId="0" xfId="0" quotePrefix="1" applyProtection="1">
      <protection hidden="1"/>
    </xf>
    <xf numFmtId="166" fontId="0" fillId="0" borderId="0" xfId="0" quotePrefix="1" applyNumberFormat="1" applyProtection="1">
      <protection hidden="1"/>
    </xf>
    <xf numFmtId="0" fontId="11" fillId="0" borderId="0" xfId="0" applyFont="1"/>
    <xf numFmtId="0" fontId="14" fillId="0" borderId="0" xfId="0" applyFont="1"/>
    <xf numFmtId="0" fontId="14" fillId="0" borderId="0" xfId="0" applyFont="1" applyAlignment="1">
      <alignment vertical="center"/>
    </xf>
    <xf numFmtId="0" fontId="14" fillId="0" borderId="0" xfId="0" quotePrefix="1" applyFont="1" applyAlignment="1">
      <alignment horizontal="left" vertical="center"/>
    </xf>
    <xf numFmtId="0" fontId="14" fillId="0" borderId="0" xfId="0" applyFont="1" applyAlignment="1">
      <alignment horizontal="left" vertical="center"/>
    </xf>
    <xf numFmtId="1" fontId="0" fillId="0" borderId="0" xfId="0" applyNumberFormat="1" applyFill="1" applyBorder="1" applyAlignment="1">
      <alignment horizontal="center"/>
    </xf>
    <xf numFmtId="0" fontId="8" fillId="0" borderId="9" xfId="0" applyFont="1" applyFill="1" applyBorder="1" applyAlignment="1">
      <alignment horizontal="left" wrapText="1"/>
    </xf>
    <xf numFmtId="0" fontId="8" fillId="0" borderId="12" xfId="0" applyFont="1" applyFill="1" applyBorder="1" applyAlignment="1">
      <alignment horizontal="left" wrapText="1"/>
    </xf>
    <xf numFmtId="0" fontId="8" fillId="0" borderId="12" xfId="0" applyFont="1" applyFill="1" applyBorder="1" applyAlignment="1">
      <alignment horizont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wrapText="1"/>
    </xf>
    <xf numFmtId="0" fontId="0" fillId="2" borderId="0" xfId="0" applyFill="1" applyProtection="1">
      <protection hidden="1"/>
    </xf>
    <xf numFmtId="0" fontId="0" fillId="2" borderId="0" xfId="0" applyFill="1" applyBorder="1" applyProtection="1">
      <protection hidden="1"/>
    </xf>
    <xf numFmtId="167" fontId="0" fillId="2" borderId="0" xfId="0" applyNumberFormat="1" applyFill="1" applyBorder="1" applyProtection="1">
      <protection hidden="1"/>
    </xf>
    <xf numFmtId="167" fontId="0" fillId="2" borderId="2" xfId="0" applyNumberFormat="1" applyFill="1" applyBorder="1" applyProtection="1">
      <protection hidden="1"/>
    </xf>
    <xf numFmtId="0" fontId="0" fillId="0" borderId="0" xfId="0" applyFill="1" applyProtection="1">
      <protection hidden="1"/>
    </xf>
    <xf numFmtId="164" fontId="0" fillId="0" borderId="0" xfId="0" applyNumberFormat="1" applyFill="1" applyProtection="1">
      <protection hidden="1"/>
    </xf>
    <xf numFmtId="1" fontId="0" fillId="0" borderId="0" xfId="0" applyNumberFormat="1" applyFill="1" applyProtection="1">
      <protection hidden="1"/>
    </xf>
    <xf numFmtId="167" fontId="0" fillId="0" borderId="0" xfId="0" applyNumberFormat="1" applyFill="1" applyBorder="1" applyProtection="1">
      <protection hidden="1"/>
    </xf>
    <xf numFmtId="0" fontId="0" fillId="0" borderId="0" xfId="0" applyFill="1" applyBorder="1" applyProtection="1">
      <protection hidden="1"/>
    </xf>
    <xf numFmtId="9" fontId="2" fillId="0" borderId="0" xfId="3" applyFont="1" applyFill="1" applyProtection="1">
      <protection hidden="1"/>
    </xf>
    <xf numFmtId="0" fontId="0" fillId="0" borderId="0" xfId="0" applyFill="1" applyBorder="1" applyAlignment="1" applyProtection="1">
      <alignment horizontal="right"/>
      <protection hidden="1"/>
    </xf>
    <xf numFmtId="1" fontId="0" fillId="0" borderId="0" xfId="0" applyNumberFormat="1" applyFill="1" applyBorder="1" applyProtection="1">
      <protection hidden="1"/>
    </xf>
    <xf numFmtId="0" fontId="3" fillId="0" borderId="0" xfId="0" applyFont="1" applyBorder="1" applyAlignment="1">
      <alignment horizontal="center"/>
    </xf>
    <xf numFmtId="164" fontId="3" fillId="0" borderId="0" xfId="0" applyNumberFormat="1" applyFont="1" applyFill="1" applyBorder="1" applyProtection="1"/>
    <xf numFmtId="1" fontId="0" fillId="0" borderId="11" xfId="0" applyNumberFormat="1" applyFill="1" applyBorder="1" applyAlignment="1">
      <alignment horizontal="center"/>
    </xf>
    <xf numFmtId="0" fontId="8" fillId="0" borderId="0" xfId="0" applyFont="1" applyBorder="1" applyAlignment="1">
      <alignment horizontal="center"/>
    </xf>
    <xf numFmtId="0" fontId="5" fillId="0" borderId="3" xfId="0" applyFont="1" applyBorder="1" applyProtection="1">
      <protection hidden="1"/>
    </xf>
    <xf numFmtId="9" fontId="0" fillId="0" borderId="1" xfId="3" applyFont="1" applyBorder="1" applyAlignment="1" applyProtection="1">
      <alignment horizontal="center"/>
      <protection hidden="1"/>
    </xf>
    <xf numFmtId="0" fontId="0" fillId="0" borderId="1" xfId="0" applyBorder="1" applyProtection="1">
      <protection hidden="1"/>
    </xf>
    <xf numFmtId="0" fontId="0" fillId="0" borderId="2" xfId="0" applyBorder="1" applyProtection="1">
      <protection hidden="1"/>
    </xf>
    <xf numFmtId="0" fontId="0" fillId="0" borderId="1" xfId="0" applyFill="1" applyBorder="1" applyProtection="1">
      <protection hidden="1"/>
    </xf>
    <xf numFmtId="0" fontId="0" fillId="0" borderId="2" xfId="0" applyFill="1" applyBorder="1" applyProtection="1">
      <protection hidden="1"/>
    </xf>
    <xf numFmtId="0" fontId="0" fillId="0" borderId="1" xfId="0" applyBorder="1" applyAlignment="1" applyProtection="1">
      <alignment horizontal="right"/>
      <protection hidden="1"/>
    </xf>
    <xf numFmtId="0" fontId="0" fillId="0" borderId="0" xfId="0" applyBorder="1" applyAlignment="1" applyProtection="1">
      <alignment horizontal="right"/>
      <protection hidden="1"/>
    </xf>
    <xf numFmtId="0" fontId="0" fillId="0" borderId="2" xfId="0" applyBorder="1" applyAlignment="1" applyProtection="1">
      <alignment horizontal="right"/>
      <protection hidden="1"/>
    </xf>
    <xf numFmtId="167" fontId="0" fillId="2" borderId="5" xfId="0" applyNumberFormat="1" applyFill="1" applyBorder="1" applyProtection="1">
      <protection hidden="1"/>
    </xf>
    <xf numFmtId="167" fontId="0" fillId="2" borderId="4" xfId="0" applyNumberFormat="1" applyFill="1" applyBorder="1" applyProtection="1">
      <protection hidden="1"/>
    </xf>
    <xf numFmtId="0" fontId="0" fillId="0" borderId="5" xfId="0" applyBorder="1" applyProtection="1">
      <protection hidden="1"/>
    </xf>
    <xf numFmtId="9" fontId="0" fillId="2" borderId="0" xfId="3" applyFont="1" applyFill="1" applyBorder="1" applyAlignment="1" applyProtection="1">
      <alignment horizontal="center"/>
      <protection hidden="1"/>
    </xf>
    <xf numFmtId="9" fontId="0" fillId="2" borderId="1" xfId="3" applyFont="1" applyFill="1" applyBorder="1" applyAlignment="1" applyProtection="1">
      <alignment horizontal="center"/>
      <protection hidden="1"/>
    </xf>
    <xf numFmtId="0" fontId="0" fillId="2" borderId="1" xfId="0" applyFill="1" applyBorder="1" applyProtection="1">
      <protection hidden="1"/>
    </xf>
    <xf numFmtId="0" fontId="0" fillId="2" borderId="2" xfId="0" applyFill="1" applyBorder="1" applyProtection="1">
      <protection hidden="1"/>
    </xf>
    <xf numFmtId="9" fontId="0" fillId="2" borderId="3" xfId="3" applyFont="1" applyFill="1" applyBorder="1" applyAlignment="1" applyProtection="1">
      <alignment horizontal="center"/>
      <protection hidden="1"/>
    </xf>
    <xf numFmtId="9" fontId="0" fillId="2" borderId="5" xfId="3" applyFont="1" applyFill="1" applyBorder="1" applyAlignment="1" applyProtection="1">
      <alignment horizontal="center"/>
      <protection hidden="1"/>
    </xf>
    <xf numFmtId="0" fontId="0" fillId="3" borderId="0" xfId="0" applyFill="1" applyProtection="1">
      <protection hidden="1"/>
    </xf>
    <xf numFmtId="9" fontId="0" fillId="3" borderId="1" xfId="3" applyFont="1" applyFill="1" applyBorder="1" applyAlignment="1" applyProtection="1">
      <alignment horizontal="center"/>
      <protection hidden="1"/>
    </xf>
    <xf numFmtId="9" fontId="0" fillId="3" borderId="0" xfId="3" applyFont="1" applyFill="1" applyBorder="1" applyAlignment="1" applyProtection="1">
      <alignment horizontal="center"/>
      <protection hidden="1"/>
    </xf>
    <xf numFmtId="167" fontId="0" fillId="3" borderId="0" xfId="0" applyNumberFormat="1" applyFill="1" applyBorder="1" applyProtection="1">
      <protection hidden="1"/>
    </xf>
    <xf numFmtId="167" fontId="0" fillId="3" borderId="2" xfId="0" applyNumberFormat="1" applyFill="1" applyBorder="1" applyProtection="1">
      <protection hidden="1"/>
    </xf>
    <xf numFmtId="0" fontId="0" fillId="4" borderId="0" xfId="0" applyFill="1" applyProtection="1">
      <protection hidden="1"/>
    </xf>
    <xf numFmtId="9" fontId="0" fillId="4" borderId="1" xfId="3" applyFont="1" applyFill="1" applyBorder="1" applyAlignment="1" applyProtection="1">
      <alignment horizontal="center"/>
      <protection hidden="1"/>
    </xf>
    <xf numFmtId="9" fontId="0" fillId="4" borderId="0" xfId="3" applyFont="1" applyFill="1" applyBorder="1" applyAlignment="1" applyProtection="1">
      <alignment horizontal="center"/>
      <protection hidden="1"/>
    </xf>
    <xf numFmtId="167" fontId="0" fillId="4" borderId="0" xfId="0" applyNumberFormat="1" applyFill="1" applyBorder="1" applyProtection="1">
      <protection hidden="1"/>
    </xf>
    <xf numFmtId="167" fontId="0" fillId="4" borderId="2" xfId="0" applyNumberFormat="1" applyFill="1" applyBorder="1" applyProtection="1">
      <protection hidden="1"/>
    </xf>
    <xf numFmtId="0" fontId="0" fillId="4" borderId="5" xfId="0" applyFill="1" applyBorder="1" applyProtection="1">
      <protection hidden="1"/>
    </xf>
    <xf numFmtId="9" fontId="0" fillId="4" borderId="3" xfId="3" applyFont="1" applyFill="1" applyBorder="1" applyAlignment="1" applyProtection="1">
      <alignment horizontal="center"/>
      <protection hidden="1"/>
    </xf>
    <xf numFmtId="9" fontId="0" fillId="4" borderId="5" xfId="3" applyFont="1" applyFill="1" applyBorder="1" applyAlignment="1" applyProtection="1">
      <alignment horizontal="center"/>
      <protection hidden="1"/>
    </xf>
    <xf numFmtId="167" fontId="0" fillId="4" borderId="5" xfId="0" applyNumberFormat="1" applyFill="1" applyBorder="1" applyProtection="1">
      <protection hidden="1"/>
    </xf>
    <xf numFmtId="167" fontId="0" fillId="4" borderId="4" xfId="0" applyNumberFormat="1" applyFill="1" applyBorder="1" applyProtection="1">
      <protection hidden="1"/>
    </xf>
    <xf numFmtId="1" fontId="0" fillId="5" borderId="0" xfId="0" applyNumberFormat="1" applyFill="1" applyProtection="1">
      <protection hidden="1"/>
    </xf>
    <xf numFmtId="9" fontId="0" fillId="5" borderId="1" xfId="3" applyFont="1" applyFill="1" applyBorder="1" applyProtection="1">
      <protection hidden="1"/>
    </xf>
    <xf numFmtId="9" fontId="0" fillId="5" borderId="0" xfId="3" applyFont="1" applyFill="1" applyBorder="1" applyProtection="1">
      <protection hidden="1"/>
    </xf>
    <xf numFmtId="167" fontId="0" fillId="5" borderId="0" xfId="0" applyNumberFormat="1" applyFill="1" applyBorder="1" applyProtection="1">
      <protection hidden="1"/>
    </xf>
    <xf numFmtId="167" fontId="0" fillId="5" borderId="2" xfId="0" applyNumberFormat="1" applyFill="1" applyBorder="1" applyProtection="1">
      <protection hidden="1"/>
    </xf>
    <xf numFmtId="0" fontId="0" fillId="5" borderId="0" xfId="0" applyFill="1" applyProtection="1">
      <protection hidden="1"/>
    </xf>
    <xf numFmtId="164" fontId="0" fillId="5" borderId="0" xfId="0" applyNumberFormat="1" applyFill="1" applyProtection="1">
      <protection hidden="1"/>
    </xf>
    <xf numFmtId="9" fontId="0" fillId="5" borderId="3" xfId="3" applyFont="1" applyFill="1" applyBorder="1" applyProtection="1">
      <protection hidden="1"/>
    </xf>
    <xf numFmtId="9" fontId="0" fillId="5" borderId="5" xfId="3" applyFont="1" applyFill="1" applyBorder="1" applyProtection="1">
      <protection hidden="1"/>
    </xf>
    <xf numFmtId="167" fontId="0" fillId="5" borderId="5" xfId="0" applyNumberFormat="1" applyFill="1" applyBorder="1" applyProtection="1">
      <protection hidden="1"/>
    </xf>
    <xf numFmtId="167" fontId="0" fillId="5" borderId="4" xfId="0" applyNumberFormat="1" applyFill="1" applyBorder="1" applyProtection="1">
      <protection hidden="1"/>
    </xf>
    <xf numFmtId="0" fontId="0" fillId="6" borderId="0" xfId="0" applyFill="1" applyProtection="1">
      <protection hidden="1"/>
    </xf>
    <xf numFmtId="9" fontId="0" fillId="6" borderId="1" xfId="3" applyFont="1" applyFill="1" applyBorder="1" applyAlignment="1" applyProtection="1">
      <alignment horizontal="center"/>
      <protection hidden="1"/>
    </xf>
    <xf numFmtId="9" fontId="0" fillId="6" borderId="0" xfId="3" applyFont="1" applyFill="1" applyBorder="1" applyAlignment="1" applyProtection="1">
      <alignment horizontal="center"/>
      <protection hidden="1"/>
    </xf>
    <xf numFmtId="167" fontId="0" fillId="6" borderId="0" xfId="0" applyNumberFormat="1" applyFill="1" applyBorder="1" applyProtection="1">
      <protection hidden="1"/>
    </xf>
    <xf numFmtId="167" fontId="0" fillId="6" borderId="2" xfId="0" applyNumberFormat="1" applyFill="1" applyBorder="1" applyProtection="1">
      <protection hidden="1"/>
    </xf>
    <xf numFmtId="2" fontId="0" fillId="6" borderId="0" xfId="0" applyNumberFormat="1" applyFill="1"/>
    <xf numFmtId="0" fontId="0" fillId="6" borderId="1" xfId="0" applyFill="1" applyBorder="1" applyProtection="1">
      <protection hidden="1"/>
    </xf>
    <xf numFmtId="0" fontId="0" fillId="6" borderId="0" xfId="0" applyFill="1" applyBorder="1" applyProtection="1">
      <protection hidden="1"/>
    </xf>
    <xf numFmtId="0" fontId="0" fillId="6" borderId="2" xfId="0" applyFill="1" applyBorder="1" applyProtection="1">
      <protection hidden="1"/>
    </xf>
    <xf numFmtId="9" fontId="0" fillId="6" borderId="3" xfId="3" applyFont="1" applyFill="1" applyBorder="1" applyAlignment="1" applyProtection="1">
      <alignment horizontal="center"/>
      <protection hidden="1"/>
    </xf>
    <xf numFmtId="9" fontId="0" fillId="6" borderId="5" xfId="3" applyFont="1" applyFill="1" applyBorder="1" applyAlignment="1" applyProtection="1">
      <alignment horizontal="center"/>
      <protection hidden="1"/>
    </xf>
    <xf numFmtId="167" fontId="0" fillId="6" borderId="5" xfId="0" applyNumberFormat="1" applyFill="1" applyBorder="1" applyProtection="1">
      <protection hidden="1"/>
    </xf>
    <xf numFmtId="167" fontId="0" fillId="6" borderId="4" xfId="0" applyNumberFormat="1" applyFill="1" applyBorder="1" applyProtection="1">
      <protection hidden="1"/>
    </xf>
    <xf numFmtId="0" fontId="3" fillId="3" borderId="0" xfId="0" applyFont="1" applyFill="1" applyProtection="1">
      <protection hidden="1"/>
    </xf>
    <xf numFmtId="1" fontId="3" fillId="3" borderId="0" xfId="0" applyNumberFormat="1" applyFont="1" applyFill="1" applyProtection="1">
      <protection hidden="1"/>
    </xf>
    <xf numFmtId="0" fontId="0" fillId="7" borderId="0" xfId="0" applyFill="1" applyProtection="1">
      <protection hidden="1"/>
    </xf>
    <xf numFmtId="1" fontId="0" fillId="7" borderId="0" xfId="0" applyNumberFormat="1" applyFill="1" applyProtection="1">
      <protection hidden="1"/>
    </xf>
    <xf numFmtId="164" fontId="0" fillId="7" borderId="0" xfId="0" applyNumberFormat="1" applyFill="1" applyProtection="1">
      <protection hidden="1"/>
    </xf>
    <xf numFmtId="167" fontId="0" fillId="7" borderId="0" xfId="0" applyNumberFormat="1" applyFill="1" applyProtection="1">
      <protection hidden="1"/>
    </xf>
    <xf numFmtId="168" fontId="0" fillId="7" borderId="0" xfId="0" applyNumberFormat="1" applyFill="1" applyProtection="1">
      <protection hidden="1"/>
    </xf>
    <xf numFmtId="2" fontId="0" fillId="7" borderId="0" xfId="0" applyNumberFormat="1" applyFill="1" applyProtection="1">
      <protection hidden="1"/>
    </xf>
    <xf numFmtId="166" fontId="0" fillId="7" borderId="0" xfId="0" applyNumberFormat="1" applyFill="1" applyProtection="1">
      <protection hidden="1"/>
    </xf>
    <xf numFmtId="9" fontId="0" fillId="7" borderId="1" xfId="3" applyFont="1" applyFill="1" applyBorder="1" applyAlignment="1" applyProtection="1">
      <alignment horizontal="center"/>
      <protection hidden="1"/>
    </xf>
    <xf numFmtId="9" fontId="0" fillId="7" borderId="0" xfId="3" applyFont="1" applyFill="1" applyBorder="1" applyAlignment="1" applyProtection="1">
      <alignment horizontal="center"/>
      <protection hidden="1"/>
    </xf>
    <xf numFmtId="167" fontId="0" fillId="7" borderId="0" xfId="0" applyNumberFormat="1" applyFill="1" applyBorder="1" applyProtection="1">
      <protection hidden="1"/>
    </xf>
    <xf numFmtId="167" fontId="0" fillId="7" borderId="2" xfId="0" applyNumberFormat="1" applyFill="1" applyBorder="1" applyProtection="1">
      <protection hidden="1"/>
    </xf>
    <xf numFmtId="0" fontId="0" fillId="7" borderId="0" xfId="0" applyFill="1" applyAlignment="1" applyProtection="1">
      <alignment horizontal="right"/>
      <protection hidden="1"/>
    </xf>
    <xf numFmtId="0" fontId="0" fillId="7" borderId="0" xfId="0" applyFill="1" applyBorder="1" applyProtection="1">
      <protection hidden="1"/>
    </xf>
    <xf numFmtId="1" fontId="2" fillId="7" borderId="0" xfId="0" applyNumberFormat="1" applyFont="1" applyFill="1" applyProtection="1">
      <protection hidden="1"/>
    </xf>
    <xf numFmtId="0" fontId="2" fillId="7" borderId="0" xfId="0" applyFont="1" applyFill="1" applyBorder="1" applyAlignment="1" applyProtection="1">
      <alignment horizontal="center"/>
      <protection hidden="1"/>
    </xf>
    <xf numFmtId="1" fontId="0" fillId="3" borderId="0" xfId="0" applyNumberFormat="1" applyFill="1" applyProtection="1">
      <protection hidden="1"/>
    </xf>
    <xf numFmtId="2" fontId="0" fillId="3" borderId="0" xfId="0" applyNumberFormat="1" applyFill="1" applyProtection="1">
      <protection hidden="1"/>
    </xf>
    <xf numFmtId="164" fontId="0" fillId="3" borderId="0" xfId="0" applyNumberFormat="1" applyFill="1" applyProtection="1">
      <protection hidden="1"/>
    </xf>
    <xf numFmtId="167" fontId="0" fillId="3" borderId="0" xfId="0" applyNumberFormat="1" applyFill="1" applyProtection="1">
      <protection hidden="1"/>
    </xf>
    <xf numFmtId="168" fontId="0" fillId="3" borderId="0" xfId="0" applyNumberFormat="1" applyFill="1" applyProtection="1">
      <protection hidden="1"/>
    </xf>
    <xf numFmtId="11" fontId="0" fillId="3" borderId="0" xfId="0" applyNumberFormat="1" applyFill="1" applyProtection="1">
      <protection hidden="1"/>
    </xf>
    <xf numFmtId="0" fontId="3" fillId="0" borderId="0" xfId="0" applyFont="1" applyBorder="1" applyAlignment="1">
      <alignment horizontal="right"/>
    </xf>
    <xf numFmtId="14" fontId="3" fillId="0" borderId="0" xfId="0" applyNumberFormat="1" applyFont="1" applyBorder="1" applyAlignment="1">
      <alignment horizontal="right"/>
    </xf>
    <xf numFmtId="167" fontId="3" fillId="0" borderId="0" xfId="0" applyNumberFormat="1" applyFont="1" applyBorder="1" applyAlignment="1">
      <alignment horizontal="center"/>
    </xf>
    <xf numFmtId="9" fontId="2" fillId="6" borderId="0" xfId="3" applyFont="1" applyFill="1" applyProtection="1">
      <protection hidden="1"/>
    </xf>
    <xf numFmtId="164" fontId="0" fillId="6" borderId="0" xfId="0" applyNumberFormat="1" applyFill="1" applyProtection="1">
      <protection hidden="1"/>
    </xf>
    <xf numFmtId="0" fontId="0" fillId="5" borderId="0" xfId="0" applyFill="1"/>
    <xf numFmtId="0" fontId="0" fillId="4" borderId="0" xfId="0" applyFill="1"/>
    <xf numFmtId="0" fontId="0" fillId="5" borderId="0" xfId="0" applyFill="1" applyAlignment="1">
      <alignment horizontal="right"/>
    </xf>
    <xf numFmtId="0" fontId="0" fillId="6" borderId="0" xfId="0" applyFill="1" applyAlignment="1" applyProtection="1">
      <alignment horizontal="right"/>
      <protection hidden="1"/>
    </xf>
    <xf numFmtId="0" fontId="5" fillId="0" borderId="14" xfId="0" applyFont="1" applyBorder="1" applyProtection="1">
      <protection hidden="1"/>
    </xf>
    <xf numFmtId="0" fontId="5" fillId="6" borderId="14" xfId="0" applyFont="1" applyFill="1" applyBorder="1" applyProtection="1">
      <protection hidden="1"/>
    </xf>
    <xf numFmtId="0" fontId="5" fillId="5" borderId="14" xfId="0" applyFont="1" applyFill="1" applyBorder="1"/>
    <xf numFmtId="0" fontId="5" fillId="0" borderId="9" xfId="0" applyFont="1" applyBorder="1" applyProtection="1">
      <protection locked="0"/>
    </xf>
    <xf numFmtId="0" fontId="5" fillId="0" borderId="15" xfId="0" applyFont="1" applyBorder="1" applyProtection="1">
      <protection locked="0"/>
    </xf>
    <xf numFmtId="0" fontId="8" fillId="0" borderId="9" xfId="0" applyFont="1" applyFill="1" applyBorder="1" applyAlignment="1">
      <alignment horizontal="center" wrapText="1"/>
    </xf>
    <xf numFmtId="0" fontId="3" fillId="0" borderId="12" xfId="0" applyFont="1" applyFill="1" applyBorder="1" applyProtection="1"/>
    <xf numFmtId="0" fontId="3" fillId="0" borderId="15" xfId="0" applyFont="1" applyFill="1" applyBorder="1" applyProtection="1"/>
    <xf numFmtId="164" fontId="0" fillId="0" borderId="0" xfId="0" applyNumberFormat="1" applyBorder="1" applyAlignment="1">
      <alignment horizontal="center"/>
    </xf>
    <xf numFmtId="167" fontId="0" fillId="0" borderId="0" xfId="0" applyNumberFormat="1" applyBorder="1" applyAlignment="1">
      <alignment horizontal="center"/>
    </xf>
    <xf numFmtId="167" fontId="0" fillId="0" borderId="11" xfId="0" applyNumberFormat="1" applyBorder="1" applyAlignment="1">
      <alignment horizontal="center"/>
    </xf>
    <xf numFmtId="164" fontId="0" fillId="0" borderId="11" xfId="0" applyNumberFormat="1" applyBorder="1" applyAlignment="1">
      <alignment horizontal="center"/>
    </xf>
    <xf numFmtId="164" fontId="0" fillId="0" borderId="0" xfId="0" applyNumberFormat="1" applyFill="1" applyBorder="1" applyAlignment="1">
      <alignment horizontal="center"/>
    </xf>
    <xf numFmtId="2" fontId="3" fillId="0" borderId="12" xfId="0" applyNumberFormat="1" applyFont="1" applyFill="1" applyBorder="1" applyProtection="1"/>
    <xf numFmtId="2" fontId="3" fillId="0" borderId="0" xfId="0" applyNumberFormat="1" applyFont="1" applyFill="1" applyBorder="1" applyProtection="1"/>
    <xf numFmtId="0" fontId="5" fillId="0" borderId="0" xfId="0" applyFont="1" applyBorder="1" applyAlignment="1">
      <alignment horizontal="center" vertical="center" wrapText="1"/>
    </xf>
    <xf numFmtId="1" fontId="3" fillId="0" borderId="0" xfId="0" applyNumberFormat="1" applyFont="1" applyBorder="1" applyAlignment="1">
      <alignment horizontal="center"/>
    </xf>
    <xf numFmtId="1" fontId="3" fillId="0" borderId="0" xfId="0" applyNumberFormat="1" applyFont="1" applyFill="1" applyBorder="1" applyAlignment="1">
      <alignment horizontal="center"/>
    </xf>
    <xf numFmtId="1" fontId="0" fillId="0" borderId="17" xfId="0" applyNumberFormat="1" applyBorder="1" applyAlignment="1">
      <alignment horizontal="center"/>
    </xf>
    <xf numFmtId="1" fontId="0" fillId="0" borderId="17" xfId="0" applyNumberFormat="1" applyFill="1" applyBorder="1" applyAlignment="1">
      <alignment horizontal="center"/>
    </xf>
    <xf numFmtId="1" fontId="0" fillId="0" borderId="16" xfId="0" applyNumberFormat="1" applyBorder="1" applyAlignment="1">
      <alignment horizontal="center"/>
    </xf>
    <xf numFmtId="0" fontId="3" fillId="0" borderId="11" xfId="0" applyFont="1" applyFill="1" applyBorder="1" applyProtection="1"/>
    <xf numFmtId="0" fontId="0" fillId="0" borderId="0"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5" fillId="0" borderId="0" xfId="0" applyFont="1" applyBorder="1" applyProtection="1"/>
    <xf numFmtId="0" fontId="0" fillId="0" borderId="0" xfId="0" applyBorder="1" applyProtection="1"/>
    <xf numFmtId="0" fontId="4" fillId="0" borderId="0" xfId="0" applyFont="1" applyProtection="1"/>
    <xf numFmtId="0" fontId="0" fillId="0" borderId="0" xfId="0" applyProtection="1"/>
    <xf numFmtId="0" fontId="0" fillId="0" borderId="6" xfId="0" applyBorder="1" applyAlignment="1" applyProtection="1">
      <alignment horizontal="right"/>
    </xf>
    <xf numFmtId="0" fontId="0" fillId="0" borderId="7" xfId="0" applyBorder="1" applyAlignment="1" applyProtection="1">
      <alignment horizontal="right"/>
    </xf>
    <xf numFmtId="0" fontId="0" fillId="0" borderId="7" xfId="0" applyBorder="1" applyProtection="1"/>
    <xf numFmtId="0" fontId="0" fillId="0" borderId="8" xfId="0" applyBorder="1" applyProtection="1"/>
    <xf numFmtId="0" fontId="0" fillId="0" borderId="1" xfId="0" applyBorder="1" applyAlignment="1" applyProtection="1">
      <alignment horizontal="right"/>
    </xf>
    <xf numFmtId="0" fontId="0" fillId="0" borderId="0" xfId="0" applyBorder="1" applyAlignment="1" applyProtection="1">
      <alignment horizontal="right"/>
    </xf>
    <xf numFmtId="0" fontId="0" fillId="0" borderId="2" xfId="0" applyBorder="1" applyProtection="1"/>
    <xf numFmtId="0" fontId="0" fillId="0" borderId="19" xfId="0" applyBorder="1" applyAlignment="1" applyProtection="1">
      <alignment horizontal="center"/>
    </xf>
    <xf numFmtId="0" fontId="0" fillId="0" borderId="7" xfId="0" applyBorder="1" applyAlignment="1" applyProtection="1">
      <alignment horizontal="center"/>
    </xf>
    <xf numFmtId="0" fontId="0" fillId="0" borderId="20" xfId="0" applyBorder="1" applyAlignment="1" applyProtection="1">
      <alignment horizontal="center"/>
    </xf>
    <xf numFmtId="0" fontId="0" fillId="0" borderId="18" xfId="0" applyBorder="1" applyProtection="1"/>
    <xf numFmtId="0" fontId="0" fillId="0" borderId="19" xfId="0" applyBorder="1" applyProtection="1"/>
    <xf numFmtId="165" fontId="0" fillId="0" borderId="19" xfId="0" applyNumberFormat="1" applyBorder="1" applyProtection="1"/>
    <xf numFmtId="0" fontId="0" fillId="0" borderId="20" xfId="0" applyBorder="1" applyProtection="1"/>
    <xf numFmtId="0" fontId="0" fillId="0" borderId="0" xfId="0" applyAlignment="1" applyProtection="1">
      <alignment horizontal="right"/>
    </xf>
    <xf numFmtId="0" fontId="7" fillId="0" borderId="1" xfId="0" applyFont="1" applyBorder="1" applyProtection="1"/>
    <xf numFmtId="0" fontId="7" fillId="0" borderId="0" xfId="0" applyFont="1" applyBorder="1" applyProtection="1"/>
    <xf numFmtId="0" fontId="3" fillId="0" borderId="15" xfId="0" applyFont="1" applyFill="1" applyBorder="1" applyAlignment="1" applyProtection="1">
      <alignment horizont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wrapText="1"/>
    </xf>
    <xf numFmtId="0" fontId="3" fillId="0" borderId="11" xfId="0" applyFont="1" applyFill="1" applyBorder="1" applyAlignment="1" applyProtection="1">
      <alignment horizontal="center" wrapText="1"/>
    </xf>
    <xf numFmtId="0" fontId="8" fillId="0" borderId="11" xfId="0" applyFont="1" applyFill="1" applyBorder="1" applyAlignment="1" applyProtection="1">
      <alignment horizontal="center" wrapText="1"/>
    </xf>
    <xf numFmtId="0" fontId="7" fillId="0" borderId="0" xfId="0" applyFont="1" applyAlignment="1" applyProtection="1">
      <alignment horizontal="right"/>
    </xf>
    <xf numFmtId="0" fontId="7" fillId="0" borderId="3" xfId="0" applyFont="1" applyBorder="1" applyAlignment="1" applyProtection="1">
      <alignment horizontal="right"/>
    </xf>
    <xf numFmtId="0" fontId="7" fillId="0" borderId="5" xfId="0" applyFont="1" applyBorder="1" applyAlignment="1" applyProtection="1">
      <alignment horizontal="right"/>
    </xf>
    <xf numFmtId="0" fontId="7" fillId="0" borderId="4" xfId="0" applyFont="1" applyBorder="1" applyAlignment="1" applyProtection="1">
      <alignment horizontal="right"/>
    </xf>
    <xf numFmtId="0" fontId="7" fillId="0" borderId="0" xfId="0" applyFont="1" applyProtection="1"/>
    <xf numFmtId="0" fontId="7" fillId="0" borderId="0" xfId="0" applyFont="1" applyFill="1" applyBorder="1" applyAlignment="1" applyProtection="1">
      <alignment horizontal="right"/>
    </xf>
    <xf numFmtId="0" fontId="7" fillId="0" borderId="0" xfId="0" applyFont="1" applyFill="1" applyAlignment="1" applyProtection="1">
      <alignment horizontal="center"/>
    </xf>
    <xf numFmtId="0" fontId="7" fillId="0" borderId="0" xfId="0" applyFont="1" applyFill="1" applyBorder="1" applyAlignment="1" applyProtection="1">
      <alignment horizontal="center" vertical="center" wrapText="1"/>
    </xf>
    <xf numFmtId="2" fontId="7" fillId="0" borderId="12" xfId="0" applyNumberFormat="1" applyFont="1" applyFill="1" applyBorder="1" applyAlignment="1" applyProtection="1">
      <alignment horizontal="center"/>
    </xf>
    <xf numFmtId="9" fontId="15" fillId="0" borderId="13" xfId="3" applyNumberFormat="1" applyFont="1" applyFill="1" applyBorder="1" applyAlignment="1" applyProtection="1">
      <alignment horizontal="center"/>
    </xf>
    <xf numFmtId="2" fontId="0" fillId="0" borderId="0" xfId="0" applyNumberFormat="1" applyFill="1" applyBorder="1" applyProtection="1"/>
    <xf numFmtId="9" fontId="0" fillId="0" borderId="0" xfId="3" applyFont="1" applyFill="1" applyBorder="1" applyAlignment="1" applyProtection="1">
      <alignment horizontal="center"/>
    </xf>
    <xf numFmtId="167" fontId="0" fillId="0" borderId="0" xfId="0" applyNumberFormat="1" applyFill="1" applyBorder="1" applyProtection="1"/>
    <xf numFmtId="167" fontId="0" fillId="0" borderId="2" xfId="0" applyNumberFormat="1" applyFill="1" applyBorder="1" applyProtection="1"/>
    <xf numFmtId="0" fontId="0" fillId="0" borderId="0" xfId="0" applyFill="1" applyProtection="1"/>
    <xf numFmtId="2" fontId="0" fillId="0" borderId="0" xfId="0" applyNumberFormat="1" applyFill="1" applyProtection="1"/>
    <xf numFmtId="167" fontId="0" fillId="0" borderId="0" xfId="0" applyNumberFormat="1" applyFill="1" applyProtection="1"/>
    <xf numFmtId="164" fontId="0" fillId="0" borderId="0" xfId="0" applyNumberFormat="1" applyFill="1" applyAlignment="1" applyProtection="1">
      <alignment horizontal="center"/>
    </xf>
    <xf numFmtId="2" fontId="7" fillId="0" borderId="0" xfId="0" applyNumberFormat="1" applyFont="1" applyFill="1" applyBorder="1" applyAlignment="1" applyProtection="1">
      <alignment horizontal="center"/>
    </xf>
    <xf numFmtId="9" fontId="15" fillId="0" borderId="17" xfId="3" applyNumberFormat="1" applyFont="1" applyFill="1" applyBorder="1" applyAlignment="1" applyProtection="1">
      <alignment horizontal="center"/>
    </xf>
    <xf numFmtId="0" fontId="2" fillId="0" borderId="0" xfId="0" applyFont="1" applyFill="1" applyProtection="1"/>
    <xf numFmtId="0" fontId="0" fillId="0" borderId="0" xfId="0" applyFill="1" applyBorder="1" applyProtection="1"/>
    <xf numFmtId="2" fontId="7" fillId="0" borderId="11" xfId="0" applyNumberFormat="1" applyFont="1" applyFill="1" applyBorder="1" applyAlignment="1" applyProtection="1">
      <alignment horizontal="center"/>
    </xf>
    <xf numFmtId="9" fontId="15" fillId="0" borderId="16" xfId="3" applyNumberFormat="1" applyFont="1" applyFill="1" applyBorder="1" applyAlignment="1" applyProtection="1">
      <alignment horizontal="center"/>
    </xf>
    <xf numFmtId="0" fontId="4" fillId="0" borderId="1" xfId="0" applyFont="1" applyBorder="1" applyAlignment="1" applyProtection="1">
      <alignment horizontal="center"/>
    </xf>
    <xf numFmtId="0" fontId="4" fillId="0" borderId="0" xfId="0" applyFont="1" applyBorder="1" applyAlignment="1" applyProtection="1">
      <alignment horizontal="center"/>
    </xf>
    <xf numFmtId="0" fontId="4" fillId="0" borderId="6" xfId="0" applyFont="1" applyBorder="1" applyAlignment="1" applyProtection="1">
      <alignment horizontal="center"/>
    </xf>
    <xf numFmtId="0" fontId="4" fillId="0" borderId="7" xfId="0" applyFont="1" applyBorder="1" applyAlignment="1" applyProtection="1">
      <alignment horizontal="center"/>
    </xf>
    <xf numFmtId="0" fontId="4" fillId="0" borderId="8" xfId="0" applyFont="1" applyBorder="1" applyAlignment="1" applyProtection="1">
      <alignment horizontal="center"/>
    </xf>
    <xf numFmtId="0" fontId="5" fillId="0" borderId="6" xfId="0" applyFont="1" applyBorder="1" applyProtection="1">
      <protection locked="0"/>
    </xf>
    <xf numFmtId="0" fontId="5" fillId="0" borderId="1" xfId="0" applyFont="1" applyBorder="1" applyProtection="1">
      <protection locked="0"/>
    </xf>
    <xf numFmtId="0" fontId="8" fillId="0" borderId="2" xfId="0" applyFont="1" applyBorder="1" applyAlignment="1">
      <alignment horizontal="right"/>
    </xf>
    <xf numFmtId="0" fontId="8" fillId="0" borderId="1" xfId="0" applyFont="1" applyBorder="1" applyAlignment="1">
      <alignment horizontal="right"/>
    </xf>
    <xf numFmtId="0" fontId="8" fillId="0" borderId="3" xfId="0" applyFont="1" applyBorder="1" applyAlignment="1">
      <alignment horizontal="right"/>
    </xf>
    <xf numFmtId="0" fontId="9" fillId="0" borderId="1" xfId="0" applyFont="1" applyBorder="1" applyAlignment="1">
      <alignment horizontal="center"/>
    </xf>
    <xf numFmtId="0" fontId="8" fillId="0" borderId="5" xfId="0" applyFont="1" applyBorder="1" applyAlignment="1">
      <alignment horizontal="right"/>
    </xf>
    <xf numFmtId="0" fontId="7" fillId="0" borderId="5" xfId="0" applyFont="1" applyBorder="1" applyAlignment="1" applyProtection="1">
      <alignment horizontal="center"/>
    </xf>
    <xf numFmtId="0" fontId="8" fillId="0" borderId="7" xfId="0" applyFont="1" applyBorder="1" applyAlignment="1" applyProtection="1">
      <alignment horizontal="right"/>
    </xf>
    <xf numFmtId="0" fontId="8" fillId="0" borderId="0" xfId="0" applyFont="1" applyBorder="1" applyAlignment="1" applyProtection="1">
      <alignment horizontal="right"/>
    </xf>
    <xf numFmtId="0" fontId="8" fillId="0" borderId="5" xfId="0" applyFont="1" applyBorder="1" applyAlignment="1" applyProtection="1">
      <alignment horizontal="right"/>
    </xf>
    <xf numFmtId="0" fontId="7" fillId="0" borderId="0" xfId="0" applyFont="1" applyBorder="1" applyAlignment="1" applyProtection="1">
      <alignment horizontal="center"/>
    </xf>
    <xf numFmtId="0" fontId="0" fillId="0" borderId="6" xfId="0" applyBorder="1" applyProtection="1"/>
    <xf numFmtId="0" fontId="0" fillId="0" borderId="1" xfId="0" applyBorder="1" applyProtection="1"/>
    <xf numFmtId="0" fontId="7" fillId="0" borderId="1" xfId="0" applyFont="1" applyBorder="1" applyAlignment="1" applyProtection="1">
      <alignment horizontal="center"/>
    </xf>
    <xf numFmtId="0" fontId="7" fillId="0" borderId="2" xfId="0" applyFont="1" applyBorder="1" applyAlignment="1" applyProtection="1">
      <alignment horizontal="center"/>
    </xf>
    <xf numFmtId="9" fontId="0" fillId="0" borderId="6" xfId="3" applyFont="1" applyFill="1" applyBorder="1" applyAlignment="1" applyProtection="1">
      <alignment horizontal="center"/>
    </xf>
    <xf numFmtId="9" fontId="0" fillId="0" borderId="1" xfId="3" applyFont="1" applyFill="1" applyBorder="1" applyAlignment="1" applyProtection="1">
      <alignment horizontal="center"/>
    </xf>
    <xf numFmtId="0" fontId="7" fillId="0" borderId="3" xfId="0" applyFont="1" applyBorder="1" applyAlignment="1" applyProtection="1">
      <alignment horizontal="center"/>
    </xf>
    <xf numFmtId="0" fontId="7" fillId="0" borderId="4" xfId="0" applyFont="1" applyBorder="1" applyAlignment="1" applyProtection="1">
      <alignment horizontal="center"/>
    </xf>
    <xf numFmtId="0" fontId="5" fillId="0" borderId="3" xfId="0" applyFont="1" applyBorder="1" applyProtection="1">
      <protection locked="0"/>
    </xf>
    <xf numFmtId="0" fontId="5" fillId="0" borderId="21"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5" fillId="0" borderId="21" xfId="0" applyFont="1" applyBorder="1" applyProtection="1">
      <protection locked="0"/>
    </xf>
    <xf numFmtId="0" fontId="5" fillId="0" borderId="22" xfId="0" applyFont="1" applyBorder="1" applyProtection="1">
      <protection locked="0"/>
    </xf>
    <xf numFmtId="0" fontId="5" fillId="0" borderId="23" xfId="0" applyFont="1" applyBorder="1" applyProtection="1">
      <protection locked="0"/>
    </xf>
    <xf numFmtId="0" fontId="8" fillId="0" borderId="5" xfId="0" applyFont="1" applyBorder="1" applyAlignment="1">
      <alignment horizontal="center"/>
    </xf>
    <xf numFmtId="0" fontId="3" fillId="0" borderId="12"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11" xfId="0" applyFont="1" applyFill="1" applyBorder="1" applyAlignment="1" applyProtection="1">
      <alignment horizontal="center"/>
    </xf>
    <xf numFmtId="164" fontId="0" fillId="0" borderId="0" xfId="0" applyNumberFormat="1" applyFill="1" applyBorder="1" applyProtection="1"/>
    <xf numFmtId="0" fontId="5" fillId="0" borderId="0" xfId="0" applyFont="1" applyProtection="1"/>
    <xf numFmtId="0" fontId="3" fillId="0" borderId="0" xfId="0" applyFont="1" applyBorder="1" applyProtection="1"/>
    <xf numFmtId="0" fontId="3" fillId="0" borderId="0" xfId="0" applyFont="1" applyProtection="1">
      <protection hidden="1"/>
    </xf>
    <xf numFmtId="0" fontId="5" fillId="0" borderId="0" xfId="0" applyFont="1"/>
    <xf numFmtId="0" fontId="0" fillId="0" borderId="0" xfId="0" applyAlignment="1">
      <alignment horizontal="right"/>
    </xf>
    <xf numFmtId="43" fontId="0" fillId="0" borderId="0" xfId="1" applyFont="1" applyBorder="1"/>
    <xf numFmtId="2" fontId="0" fillId="0" borderId="0" xfId="1" applyNumberFormat="1" applyFont="1" applyBorder="1"/>
    <xf numFmtId="9" fontId="0" fillId="0" borderId="0" xfId="3" applyFont="1" applyBorder="1" applyAlignment="1">
      <alignment horizontal="center"/>
    </xf>
    <xf numFmtId="167" fontId="0" fillId="0" borderId="0" xfId="0" applyNumberFormat="1" applyBorder="1"/>
    <xf numFmtId="167" fontId="0" fillId="0" borderId="2" xfId="0" applyNumberFormat="1" applyBorder="1"/>
    <xf numFmtId="0" fontId="0" fillId="0" borderId="6"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9" fontId="0" fillId="0" borderId="1" xfId="3" applyFont="1" applyBorder="1" applyAlignment="1">
      <alignment horizontal="center"/>
    </xf>
    <xf numFmtId="9" fontId="0" fillId="0" borderId="1" xfId="0" applyNumberFormat="1" applyBorder="1"/>
    <xf numFmtId="9" fontId="0" fillId="0" borderId="0" xfId="0" applyNumberFormat="1" applyBorder="1"/>
    <xf numFmtId="43" fontId="0" fillId="0" borderId="5" xfId="1" applyFont="1" applyBorder="1"/>
    <xf numFmtId="0" fontId="7" fillId="0" borderId="0" xfId="0" applyFont="1" applyFill="1"/>
    <xf numFmtId="0" fontId="7" fillId="0" borderId="0" xfId="0" applyFont="1" applyAlignment="1">
      <alignment horizontal="center" wrapText="1"/>
    </xf>
    <xf numFmtId="1" fontId="0" fillId="0" borderId="0" xfId="0" applyNumberFormat="1" applyFill="1" applyAlignment="1" applyProtection="1">
      <alignment horizontal="center"/>
    </xf>
    <xf numFmtId="0" fontId="5" fillId="0" borderId="10" xfId="0" applyFont="1" applyBorder="1" applyProtection="1">
      <protection locked="0"/>
    </xf>
    <xf numFmtId="0" fontId="0" fillId="0" borderId="6" xfId="0" applyBorder="1"/>
    <xf numFmtId="0" fontId="4" fillId="0" borderId="7" xfId="0" applyFont="1" applyBorder="1"/>
    <xf numFmtId="0" fontId="9" fillId="0" borderId="7" xfId="0" applyFont="1" applyBorder="1"/>
    <xf numFmtId="0" fontId="4" fillId="0" borderId="8" xfId="0" applyFont="1" applyBorder="1"/>
    <xf numFmtId="0" fontId="4" fillId="0" borderId="0" xfId="0" applyFont="1" applyBorder="1"/>
    <xf numFmtId="0" fontId="9" fillId="0" borderId="0" xfId="0" applyFont="1" applyBorder="1"/>
    <xf numFmtId="0" fontId="4" fillId="0" borderId="2" xfId="0" applyFont="1" applyBorder="1"/>
    <xf numFmtId="0" fontId="5" fillId="0" borderId="9" xfId="0" applyFont="1" applyBorder="1" applyAlignment="1" applyProtection="1">
      <alignment horizontal="center"/>
      <protection locked="0"/>
    </xf>
    <xf numFmtId="0" fontId="5" fillId="0" borderId="15" xfId="0" applyFont="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25" fillId="0" borderId="0" xfId="0" applyFont="1"/>
    <xf numFmtId="0" fontId="9" fillId="0" borderId="6" xfId="0" applyFont="1" applyBorder="1"/>
    <xf numFmtId="0" fontId="4" fillId="0" borderId="7" xfId="0" applyFont="1" applyBorder="1" applyProtection="1"/>
    <xf numFmtId="0" fontId="4" fillId="0" borderId="8" xfId="0" applyFont="1" applyBorder="1" applyProtection="1"/>
    <xf numFmtId="0" fontId="9" fillId="0" borderId="1" xfId="0" applyFont="1" applyBorder="1"/>
    <xf numFmtId="0" fontId="4" fillId="0" borderId="0" xfId="0" applyFont="1" applyBorder="1" applyProtection="1"/>
    <xf numFmtId="0" fontId="4" fillId="0" borderId="2" xfId="0" applyFont="1" applyBorder="1" applyProtection="1"/>
    <xf numFmtId="0" fontId="0" fillId="0" borderId="3" xfId="0" applyBorder="1" applyProtection="1"/>
    <xf numFmtId="0" fontId="0" fillId="0" borderId="5" xfId="0" applyBorder="1" applyProtection="1"/>
    <xf numFmtId="0" fontId="0" fillId="0" borderId="4" xfId="0" applyBorder="1" applyProtection="1"/>
    <xf numFmtId="0" fontId="3" fillId="0" borderId="1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170" fontId="6" fillId="0" borderId="12" xfId="2" applyNumberFormat="1" applyFont="1" applyFill="1" applyBorder="1" applyAlignment="1" applyProtection="1">
      <alignment horizontal="right" wrapText="1"/>
      <protection locked="0"/>
    </xf>
    <xf numFmtId="170" fontId="6" fillId="0" borderId="0" xfId="2" applyNumberFormat="1" applyFont="1" applyFill="1" applyBorder="1" applyAlignment="1" applyProtection="1">
      <alignment horizontal="right" wrapText="1"/>
      <protection locked="0"/>
    </xf>
    <xf numFmtId="170" fontId="1" fillId="0" borderId="0" xfId="0" applyNumberFormat="1" applyFont="1" applyFill="1" applyBorder="1" applyProtection="1">
      <protection locked="0"/>
    </xf>
    <xf numFmtId="170" fontId="6" fillId="0" borderId="11" xfId="2" applyNumberFormat="1" applyFont="1" applyFill="1" applyBorder="1" applyAlignment="1" applyProtection="1">
      <alignment horizontal="right" wrapText="1"/>
      <protection locked="0"/>
    </xf>
    <xf numFmtId="0" fontId="1" fillId="0" borderId="12"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11" xfId="0" applyFont="1" applyBorder="1" applyAlignment="1" applyProtection="1">
      <alignment horizontal="center" vertical="center"/>
      <protection locked="0"/>
    </xf>
    <xf numFmtId="9" fontId="1" fillId="0" borderId="12" xfId="3" applyFont="1" applyFill="1" applyBorder="1" applyAlignment="1" applyProtection="1">
      <alignment horizontal="center" vertical="center"/>
      <protection locked="0"/>
    </xf>
    <xf numFmtId="9" fontId="1" fillId="0" borderId="0" xfId="0" applyNumberFormat="1" applyFont="1" applyFill="1" applyBorder="1" applyAlignment="1" applyProtection="1">
      <alignment horizontal="center" vertical="center"/>
      <protection locked="0"/>
    </xf>
    <xf numFmtId="9" fontId="1" fillId="0" borderId="11" xfId="0" applyNumberFormat="1" applyFont="1" applyFill="1" applyBorder="1" applyAlignment="1" applyProtection="1">
      <alignment horizontal="center" vertical="center"/>
      <protection locked="0"/>
    </xf>
    <xf numFmtId="0" fontId="1" fillId="0" borderId="12" xfId="0" applyNumberFormat="1" applyFont="1" applyBorder="1" applyAlignment="1" applyProtection="1">
      <alignment horizontal="center" vertical="center"/>
      <protection locked="0"/>
    </xf>
    <xf numFmtId="1" fontId="1" fillId="0" borderId="12" xfId="0" applyNumberFormat="1"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protection locked="0"/>
    </xf>
    <xf numFmtId="2" fontId="1" fillId="0" borderId="12" xfId="0" applyNumberFormat="1" applyFont="1" applyBorder="1" applyAlignment="1" applyProtection="1">
      <alignment horizontal="center" vertical="center"/>
      <protection locked="0"/>
    </xf>
    <xf numFmtId="169" fontId="1" fillId="0" borderId="12" xfId="0" applyNumberFormat="1" applyFont="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1" fontId="1" fillId="0" borderId="0" xfId="0" applyNumberFormat="1" applyFont="1" applyBorder="1" applyAlignment="1" applyProtection="1">
      <alignment horizontal="center" vertical="center"/>
      <protection locked="0"/>
    </xf>
    <xf numFmtId="164" fontId="1" fillId="0" borderId="0" xfId="0" applyNumberFormat="1" applyFont="1" applyBorder="1" applyAlignment="1" applyProtection="1">
      <alignment horizontal="center" vertical="center"/>
      <protection locked="0"/>
    </xf>
    <xf numFmtId="2" fontId="1" fillId="0" borderId="0" xfId="0" applyNumberFormat="1" applyFont="1" applyBorder="1" applyAlignment="1" applyProtection="1">
      <alignment horizontal="center" vertical="center"/>
      <protection locked="0"/>
    </xf>
    <xf numFmtId="1" fontId="1" fillId="0" borderId="0" xfId="0" applyNumberFormat="1" applyFont="1" applyFill="1" applyBorder="1" applyAlignment="1" applyProtection="1">
      <alignment horizontal="center" vertical="center"/>
      <protection locked="0"/>
    </xf>
    <xf numFmtId="169" fontId="1" fillId="0" borderId="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horizontal="center" vertical="center"/>
      <protection locked="0"/>
    </xf>
    <xf numFmtId="169" fontId="1" fillId="0" borderId="0" xfId="0" applyNumberFormat="1" applyFont="1" applyFill="1" applyBorder="1" applyAlignment="1" applyProtection="1">
      <alignment horizontal="center" vertical="center"/>
      <protection locked="0"/>
    </xf>
    <xf numFmtId="164" fontId="1" fillId="0" borderId="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center" vertical="center"/>
      <protection locked="0"/>
    </xf>
    <xf numFmtId="0" fontId="1" fillId="0" borderId="11" xfId="0" applyNumberFormat="1" applyFont="1" applyBorder="1" applyAlignment="1" applyProtection="1">
      <alignment horizontal="center" vertical="center"/>
      <protection locked="0"/>
    </xf>
    <xf numFmtId="1" fontId="1" fillId="0" borderId="11"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2" fontId="1" fillId="0" borderId="11" xfId="0" applyNumberFormat="1" applyFont="1" applyBorder="1" applyAlignment="1" applyProtection="1">
      <alignment horizontal="center" vertical="center"/>
      <protection locked="0"/>
    </xf>
    <xf numFmtId="1" fontId="1" fillId="0" borderId="11" xfId="0" applyNumberFormat="1" applyFont="1" applyFill="1" applyBorder="1" applyAlignment="1" applyProtection="1">
      <alignment horizontal="center" vertical="center"/>
      <protection locked="0"/>
    </xf>
    <xf numFmtId="169" fontId="1" fillId="0" borderId="11" xfId="0" applyNumberFormat="1" applyFont="1" applyFill="1" applyBorder="1" applyAlignment="1" applyProtection="1">
      <alignment horizontal="center" vertical="center"/>
      <protection locked="0"/>
    </xf>
    <xf numFmtId="164" fontId="1" fillId="0" borderId="11"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3" fillId="0" borderId="6" xfId="0" applyFont="1"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20" xfId="0" applyBorder="1" applyAlignment="1" applyProtection="1">
      <alignment horizontal="center"/>
      <protection hidden="1"/>
    </xf>
    <xf numFmtId="0" fontId="4" fillId="0" borderId="18" xfId="0" applyFont="1" applyBorder="1" applyAlignment="1" applyProtection="1">
      <alignment horizontal="center"/>
      <protection hidden="1"/>
    </xf>
    <xf numFmtId="0" fontId="4" fillId="0" borderId="19" xfId="0" applyFont="1" applyBorder="1" applyAlignment="1" applyProtection="1">
      <alignment horizontal="center"/>
      <protection hidden="1"/>
    </xf>
    <xf numFmtId="0" fontId="4" fillId="0" borderId="20"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4" fillId="0" borderId="7"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4" fillId="0" borderId="2" xfId="0" applyFont="1" applyBorder="1" applyAlignment="1" applyProtection="1">
      <alignment horizontal="center"/>
      <protection hidden="1"/>
    </xf>
    <xf numFmtId="0" fontId="8" fillId="0" borderId="6" xfId="0" applyFont="1" applyBorder="1" applyAlignment="1">
      <alignment horizontal="center"/>
    </xf>
    <xf numFmtId="0" fontId="8" fillId="0" borderId="7" xfId="0" applyFont="1" applyBorder="1" applyAlignment="1">
      <alignment horizontal="center"/>
    </xf>
    <xf numFmtId="0" fontId="8" fillId="0" borderId="0" xfId="0" applyFont="1" applyBorder="1" applyAlignment="1">
      <alignment horizontal="center"/>
    </xf>
    <xf numFmtId="0" fontId="8" fillId="0" borderId="2" xfId="0" applyFont="1" applyBorder="1" applyAlignment="1">
      <alignment horizont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4" fillId="0" borderId="18" xfId="0" applyFont="1" applyBorder="1" applyAlignment="1" applyProtection="1">
      <alignment horizontal="center"/>
    </xf>
    <xf numFmtId="0" fontId="4" fillId="0" borderId="19" xfId="0" applyFont="1" applyBorder="1" applyAlignment="1" applyProtection="1">
      <alignment horizontal="center"/>
    </xf>
    <xf numFmtId="0" fontId="4" fillId="0" borderId="20" xfId="0" applyFont="1" applyBorder="1" applyAlignment="1" applyProtection="1">
      <alignment horizontal="center"/>
    </xf>
    <xf numFmtId="0" fontId="9" fillId="0" borderId="6" xfId="0" applyFont="1" applyBorder="1" applyAlignment="1">
      <alignment horizontal="center"/>
    </xf>
    <xf numFmtId="0" fontId="9" fillId="0" borderId="8" xfId="0" applyFont="1" applyBorder="1" applyAlignment="1">
      <alignment horizontal="center"/>
    </xf>
    <xf numFmtId="0" fontId="9" fillId="0" borderId="7" xfId="0" applyFont="1" applyBorder="1" applyAlignment="1">
      <alignment horizontal="center"/>
    </xf>
    <xf numFmtId="0" fontId="9" fillId="0" borderId="1" xfId="0" applyFont="1" applyBorder="1" applyAlignment="1">
      <alignment horizontal="center"/>
    </xf>
    <xf numFmtId="0" fontId="9" fillId="0" borderId="0" xfId="0" applyFont="1" applyBorder="1" applyAlignment="1">
      <alignment horizont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3" fillId="0" borderId="18" xfId="0" applyFont="1" applyBorder="1" applyAlignment="1" applyProtection="1">
      <alignment horizontal="center"/>
    </xf>
    <xf numFmtId="0" fontId="3" fillId="0" borderId="19" xfId="0" applyFont="1" applyBorder="1" applyAlignment="1" applyProtection="1">
      <alignment horizontal="center"/>
    </xf>
    <xf numFmtId="0" fontId="3" fillId="0" borderId="20" xfId="0" applyFont="1" applyBorder="1" applyAlignment="1" applyProtection="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4" fillId="0" borderId="1" xfId="0" applyFont="1" applyBorder="1" applyAlignment="1" applyProtection="1">
      <alignment horizontal="center"/>
    </xf>
    <xf numFmtId="0" fontId="4" fillId="0" borderId="0" xfId="0" applyFont="1" applyBorder="1" applyAlignment="1" applyProtection="1">
      <alignment horizontal="center"/>
    </xf>
    <xf numFmtId="0" fontId="4" fillId="0" borderId="2" xfId="0" applyFont="1" applyBorder="1" applyAlignment="1" applyProtection="1">
      <alignment horizontal="center"/>
    </xf>
    <xf numFmtId="0" fontId="3" fillId="0" borderId="1" xfId="0" applyFont="1" applyBorder="1" applyAlignment="1" applyProtection="1">
      <alignment horizontal="center"/>
    </xf>
    <xf numFmtId="0" fontId="3" fillId="0" borderId="0" xfId="0" applyFont="1" applyBorder="1" applyAlignment="1" applyProtection="1">
      <alignment horizontal="center"/>
    </xf>
    <xf numFmtId="0" fontId="3" fillId="0" borderId="2" xfId="0" applyFont="1" applyBorder="1" applyAlignment="1" applyProtection="1">
      <alignment horizontal="center"/>
    </xf>
    <xf numFmtId="0" fontId="14" fillId="0" borderId="0" xfId="0" quotePrefix="1" applyFont="1" applyAlignment="1">
      <alignment horizontal="left" vertical="center" wrapText="1"/>
    </xf>
    <xf numFmtId="0" fontId="14" fillId="0" borderId="0" xfId="0" applyFont="1" applyAlignment="1">
      <alignment horizontal="left" vertical="center" wrapText="1"/>
    </xf>
    <xf numFmtId="0" fontId="4" fillId="0" borderId="0" xfId="0" quotePrefix="1" applyFont="1" applyAlignment="1">
      <alignment horizontal="left" vertical="center" wrapText="1"/>
    </xf>
    <xf numFmtId="0" fontId="5" fillId="0" borderId="0" xfId="0" applyFont="1" applyAlignment="1">
      <alignment horizontal="center" vertical="center"/>
    </xf>
    <xf numFmtId="0" fontId="14" fillId="0" borderId="0" xfId="0" quotePrefix="1" applyFont="1" applyAlignment="1">
      <alignment horizontal="left" vertical="top"/>
    </xf>
    <xf numFmtId="0" fontId="14" fillId="0" borderId="0" xfId="0" quotePrefix="1" applyFont="1" applyAlignment="1">
      <alignment horizontal="left" vertical="top" wrapText="1"/>
    </xf>
    <xf numFmtId="0" fontId="14" fillId="0" borderId="0" xfId="0" quotePrefix="1" applyFont="1" applyAlignment="1">
      <alignment horizontal="left"/>
    </xf>
    <xf numFmtId="0" fontId="4" fillId="0" borderId="0" xfId="0" applyFont="1" applyAlignment="1">
      <alignment horizontal="center" vertical="center"/>
    </xf>
    <xf numFmtId="0" fontId="14" fillId="0" borderId="0" xfId="0" quotePrefix="1" applyFont="1" applyAlignment="1">
      <alignment horizontal="left" wrapText="1"/>
    </xf>
    <xf numFmtId="0" fontId="14" fillId="0" borderId="0" xfId="0" applyFont="1" applyAlignment="1">
      <alignment horizontal="left" wrapText="1"/>
    </xf>
  </cellXfs>
  <cellStyles count="4">
    <cellStyle name="Comma" xfId="1" builtinId="3"/>
    <cellStyle name="Normal" xfId="0" builtinId="0"/>
    <cellStyle name="Normal_Sheet1_1" xfId="2"/>
    <cellStyle name="Percent" xfId="3" builtinId="5"/>
  </cellStyles>
  <dxfs count="2">
    <dxf>
      <font>
        <b/>
        <i val="0"/>
        <condense val="0"/>
        <extend val="0"/>
        <color indexed="10"/>
      </font>
    </dxf>
    <dxf>
      <font>
        <condense val="0"/>
        <extend val="0"/>
        <color indexed="18"/>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hartsheet" Target="chartsheets/sheet8.xml"/><Relationship Id="rId13" Type="http://schemas.openxmlformats.org/officeDocument/2006/relationships/chartsheet" Target="chartsheets/sheet13.xml"/><Relationship Id="rId18" Type="http://schemas.openxmlformats.org/officeDocument/2006/relationships/worksheet" Target="worksheets/sheet4.xml"/><Relationship Id="rId3" Type="http://schemas.openxmlformats.org/officeDocument/2006/relationships/chartsheet" Target="chartsheets/sheet3.xml"/><Relationship Id="rId21" Type="http://schemas.openxmlformats.org/officeDocument/2006/relationships/styles" Target="styles.xml"/><Relationship Id="rId7" Type="http://schemas.openxmlformats.org/officeDocument/2006/relationships/chartsheet" Target="chartsheets/sheet7.xml"/><Relationship Id="rId12" Type="http://schemas.openxmlformats.org/officeDocument/2006/relationships/chartsheet" Target="chartsheets/sheet12.xml"/><Relationship Id="rId1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chartsheet" Target="chartsheets/sheet11.xml"/><Relationship Id="rId5" Type="http://schemas.openxmlformats.org/officeDocument/2006/relationships/chartsheet" Target="chartsheets/sheet5.xml"/><Relationship Id="rId15" Type="http://schemas.openxmlformats.org/officeDocument/2006/relationships/worksheet" Target="worksheets/sheet1.xml"/><Relationship Id="rId23" Type="http://schemas.openxmlformats.org/officeDocument/2006/relationships/calcChain" Target="calcChain.xml"/><Relationship Id="rId10" Type="http://schemas.openxmlformats.org/officeDocument/2006/relationships/chartsheet" Target="chartsheets/sheet10.xml"/><Relationship Id="rId19" Type="http://schemas.openxmlformats.org/officeDocument/2006/relationships/worksheet" Target="worksheets/sheet5.xml"/><Relationship Id="rId4" Type="http://schemas.openxmlformats.org/officeDocument/2006/relationships/chartsheet" Target="chartsheets/sheet4.xml"/><Relationship Id="rId9" Type="http://schemas.openxmlformats.org/officeDocument/2006/relationships/chartsheet" Target="chartsheets/sheet9.xml"/><Relationship Id="rId14" Type="http://schemas.openxmlformats.org/officeDocument/2006/relationships/chartsheet" Target="chart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8779134295227528E-2"/>
          <c:y val="6.5252854812398092E-2"/>
          <c:w val="0.88346281908989999"/>
          <c:h val="0.78466557911908663"/>
        </c:manualLayout>
      </c:layout>
      <c:scatterChart>
        <c:scatterStyle val="lineMarker"/>
        <c:ser>
          <c:idx val="1"/>
          <c:order val="0"/>
          <c:tx>
            <c:v>Meteoric trend line</c:v>
          </c:tx>
          <c:spPr>
            <a:ln w="25400">
              <a:solidFill>
                <a:srgbClr val="808080"/>
              </a:solidFill>
              <a:prstDash val="solid"/>
            </a:ln>
          </c:spPr>
          <c:marker>
            <c:symbol val="none"/>
          </c:marker>
          <c:dLbls>
            <c:dLbl>
              <c:idx val="1"/>
              <c:layout>
                <c:manualLayout>
                  <c:x val="-0.13583425823159453"/>
                  <c:y val="-1.5524698890615841E-2"/>
                </c:manualLayout>
              </c:layout>
              <c:tx>
                <c:rich>
                  <a:bodyPr rot="-2580000" vert="horz"/>
                  <a:lstStyle/>
                  <a:p>
                    <a:pPr algn="ctr">
                      <a:defRPr sz="1375" b="1" i="0" u="none" strike="noStrike" baseline="0">
                        <a:solidFill>
                          <a:srgbClr val="808080"/>
                        </a:solidFill>
                        <a:latin typeface="Arial"/>
                        <a:ea typeface="Arial"/>
                        <a:cs typeface="Arial"/>
                      </a:defRPr>
                    </a:pPr>
                    <a:r>
                      <a:rPr lang="en-NZ"/>
                      <a:t>Meteoric Trend Line</a:t>
                    </a:r>
                  </a:p>
                </c:rich>
              </c:tx>
              <c:spPr>
                <a:noFill/>
                <a:ln w="25400">
                  <a:noFill/>
                </a:ln>
              </c:spPr>
              <c:dLblPos val="r"/>
            </c:dLbl>
            <c:delete val="1"/>
          </c:dLbls>
          <c:xVal>
            <c:numRef>
              <c:f>Ref!$B$69:$B$71</c:f>
              <c:numCache>
                <c:formatCode>General</c:formatCode>
                <c:ptCount val="3"/>
                <c:pt idx="0">
                  <c:v>-1</c:v>
                </c:pt>
                <c:pt idx="1">
                  <c:v>-16</c:v>
                </c:pt>
                <c:pt idx="2">
                  <c:v>-22</c:v>
                </c:pt>
              </c:numCache>
            </c:numRef>
          </c:xVal>
          <c:yVal>
            <c:numRef>
              <c:f>Ref!$C$69:$C$71</c:f>
              <c:numCache>
                <c:formatCode>General</c:formatCode>
                <c:ptCount val="3"/>
                <c:pt idx="0">
                  <c:v>2</c:v>
                </c:pt>
                <c:pt idx="1">
                  <c:v>-118</c:v>
                </c:pt>
                <c:pt idx="2">
                  <c:v>-166</c:v>
                </c:pt>
              </c:numCache>
            </c:numRef>
          </c:yVal>
        </c:ser>
        <c:ser>
          <c:idx val="4"/>
          <c:order val="1"/>
          <c:tx>
            <c:v>Magmatic Water</c:v>
          </c:tx>
          <c:spPr>
            <a:ln w="38100">
              <a:solidFill>
                <a:srgbClr val="800080"/>
              </a:solidFill>
              <a:prstDash val="solid"/>
            </a:ln>
          </c:spPr>
          <c:marker>
            <c:symbol val="none"/>
          </c:marker>
          <c:dLbls>
            <c:dLbl>
              <c:idx val="0"/>
              <c:delete val="1"/>
            </c:dLbl>
            <c:dLbl>
              <c:idx val="1"/>
              <c:layout>
                <c:manualLayout>
                  <c:x val="-6.2693245475281115E-2"/>
                  <c:y val="-0.10958266432030417"/>
                </c:manualLayout>
              </c:layout>
              <c:tx>
                <c:rich>
                  <a:bodyPr/>
                  <a:lstStyle/>
                  <a:p>
                    <a:pPr>
                      <a:defRPr sz="1175" b="1" i="0" u="none" strike="noStrike" baseline="0">
                        <a:solidFill>
                          <a:srgbClr val="969696"/>
                        </a:solidFill>
                        <a:latin typeface="Arial"/>
                        <a:ea typeface="Arial"/>
                        <a:cs typeface="Arial"/>
                      </a:defRPr>
                    </a:pPr>
                    <a:r>
                      <a:rPr lang="en-NZ"/>
                      <a:t>Andesitic
 Water</a:t>
                    </a:r>
                  </a:p>
                </c:rich>
              </c:tx>
              <c:spPr>
                <a:noFill/>
                <a:ln w="25400">
                  <a:noFill/>
                </a:ln>
              </c:spPr>
              <c:dLblPos val="r"/>
            </c:dLbl>
            <c:dLbl>
              <c:idx val="2"/>
              <c:layout>
                <c:manualLayout>
                  <c:x val="-0.32677019701061288"/>
                  <c:y val="0.13056513939020284"/>
                </c:manualLayout>
              </c:layout>
              <c:tx>
                <c:rich>
                  <a:bodyPr rot="-960000" vert="horz"/>
                  <a:lstStyle/>
                  <a:p>
                    <a:pPr algn="ctr">
                      <a:defRPr sz="1175" b="1" i="0" u="none" strike="noStrike" baseline="0">
                        <a:solidFill>
                          <a:srgbClr val="969696"/>
                        </a:solidFill>
                        <a:latin typeface="Arial"/>
                        <a:ea typeface="Arial"/>
                        <a:cs typeface="Arial"/>
                      </a:defRPr>
                    </a:pPr>
                    <a:r>
                      <a:rPr lang="en-NZ"/>
                      <a:t>Mixing Line</a:t>
                    </a:r>
                  </a:p>
                </c:rich>
              </c:tx>
              <c:spPr>
                <a:noFill/>
                <a:ln w="25400">
                  <a:noFill/>
                </a:ln>
              </c:spPr>
              <c:dLblPos val="r"/>
            </c:dLbl>
            <c:dLbl>
              <c:idx val="3"/>
              <c:delete val="1"/>
            </c:dLbl>
            <c:dLbl>
              <c:idx val="4"/>
              <c:delete val="1"/>
            </c:dLbl>
            <c:spPr>
              <a:noFill/>
              <a:ln w="25400">
                <a:noFill/>
              </a:ln>
            </c:spPr>
            <c:txPr>
              <a:bodyPr/>
              <a:lstStyle/>
              <a:p>
                <a:pPr>
                  <a:defRPr sz="1175" b="0" i="0" u="none" strike="noStrike" baseline="0">
                    <a:solidFill>
                      <a:srgbClr val="969696"/>
                    </a:solidFill>
                    <a:latin typeface="Arial"/>
                    <a:ea typeface="Arial"/>
                    <a:cs typeface="Arial"/>
                  </a:defRPr>
                </a:pPr>
                <a:endParaRPr lang="en-US"/>
              </a:p>
            </c:txPr>
            <c:showVal val="1"/>
          </c:dLbls>
          <c:xVal>
            <c:numRef>
              <c:f>Ref!$B$73:$B$77</c:f>
              <c:numCache>
                <c:formatCode>General</c:formatCode>
                <c:ptCount val="5"/>
                <c:pt idx="0">
                  <c:v>8</c:v>
                </c:pt>
                <c:pt idx="1">
                  <c:v>8</c:v>
                </c:pt>
                <c:pt idx="2">
                  <c:v>10</c:v>
                </c:pt>
                <c:pt idx="3">
                  <c:v>10</c:v>
                </c:pt>
                <c:pt idx="4">
                  <c:v>8</c:v>
                </c:pt>
              </c:numCache>
            </c:numRef>
          </c:xVal>
          <c:yVal>
            <c:numRef>
              <c:f>Ref!$C$73:$C$77</c:f>
              <c:numCache>
                <c:formatCode>General</c:formatCode>
                <c:ptCount val="5"/>
                <c:pt idx="0">
                  <c:v>-10</c:v>
                </c:pt>
                <c:pt idx="1">
                  <c:v>-30</c:v>
                </c:pt>
                <c:pt idx="2">
                  <c:v>-30</c:v>
                </c:pt>
                <c:pt idx="3">
                  <c:v>-10</c:v>
                </c:pt>
                <c:pt idx="4">
                  <c:v>-10</c:v>
                </c:pt>
              </c:numCache>
            </c:numRef>
          </c:yVal>
        </c:ser>
        <c:ser>
          <c:idx val="5"/>
          <c:order val="2"/>
          <c:tx>
            <c:v>100C</c:v>
          </c:tx>
          <c:spPr>
            <a:ln w="12700">
              <a:solidFill>
                <a:srgbClr val="808080"/>
              </a:solidFill>
              <a:prstDash val="solid"/>
            </a:ln>
          </c:spPr>
          <c:marker>
            <c:symbol val="none"/>
          </c:marker>
          <c:dLbls>
            <c:dLbl>
              <c:idx val="0"/>
              <c:delete val="1"/>
            </c:dLbl>
            <c:dLbl>
              <c:idx val="1"/>
              <c:layout/>
              <c:tx>
                <c:rich>
                  <a:bodyPr/>
                  <a:lstStyle/>
                  <a:p>
                    <a:r>
                      <a:rPr lang="en-NZ"/>
                      <a:t>100 C</a:t>
                    </a:r>
                  </a:p>
                </c:rich>
              </c:tx>
              <c:dLblPos val="l"/>
            </c:dLbl>
            <c:spPr>
              <a:noFill/>
              <a:ln w="25400">
                <a:noFill/>
              </a:ln>
            </c:spPr>
            <c:txPr>
              <a:bodyPr/>
              <a:lstStyle/>
              <a:p>
                <a:pPr>
                  <a:defRPr sz="800" b="0" i="0" u="none" strike="noStrike" baseline="0">
                    <a:solidFill>
                      <a:srgbClr val="808080"/>
                    </a:solidFill>
                    <a:latin typeface="Arial"/>
                    <a:ea typeface="Arial"/>
                    <a:cs typeface="Arial"/>
                  </a:defRPr>
                </a:pPr>
                <a:endParaRPr lang="en-US"/>
              </a:p>
            </c:txPr>
            <c:dLblPos val="l"/>
            <c:showVal val="1"/>
          </c:dLbls>
          <c:xVal>
            <c:numRef>
              <c:f>Ref!$B$55:$B$56</c:f>
              <c:numCache>
                <c:formatCode>General</c:formatCode>
                <c:ptCount val="2"/>
                <c:pt idx="0">
                  <c:v>-10</c:v>
                </c:pt>
                <c:pt idx="1">
                  <c:v>-15.24</c:v>
                </c:pt>
              </c:numCache>
            </c:numRef>
          </c:xVal>
          <c:yVal>
            <c:numRef>
              <c:f>Ref!$C$55:$C$56</c:f>
              <c:numCache>
                <c:formatCode>General</c:formatCode>
                <c:ptCount val="2"/>
                <c:pt idx="0">
                  <c:v>-20</c:v>
                </c:pt>
                <c:pt idx="1">
                  <c:v>-47.8</c:v>
                </c:pt>
              </c:numCache>
            </c:numRef>
          </c:yVal>
        </c:ser>
        <c:ser>
          <c:idx val="6"/>
          <c:order val="3"/>
          <c:tx>
            <c:v>120C</c:v>
          </c:tx>
          <c:spPr>
            <a:ln w="12700">
              <a:solidFill>
                <a:srgbClr val="808080"/>
              </a:solidFill>
              <a:prstDash val="solid"/>
            </a:ln>
          </c:spPr>
          <c:marker>
            <c:symbol val="none"/>
          </c:marker>
          <c:dLbls>
            <c:dLbl>
              <c:idx val="0"/>
              <c:delete val="1"/>
            </c:dLbl>
            <c:dLbl>
              <c:idx val="1"/>
              <c:layout/>
              <c:tx>
                <c:rich>
                  <a:bodyPr/>
                  <a:lstStyle/>
                  <a:p>
                    <a:r>
                      <a:rPr lang="en-NZ"/>
                      <a:t>120 C</a:t>
                    </a:r>
                  </a:p>
                </c:rich>
              </c:tx>
              <c:dLblPos val="l"/>
            </c:dLbl>
            <c:spPr>
              <a:noFill/>
              <a:ln w="25400">
                <a:noFill/>
              </a:ln>
            </c:spPr>
            <c:txPr>
              <a:bodyPr/>
              <a:lstStyle/>
              <a:p>
                <a:pPr>
                  <a:defRPr sz="800" b="0" i="0" u="none" strike="noStrike" baseline="0">
                    <a:solidFill>
                      <a:srgbClr val="808080"/>
                    </a:solidFill>
                    <a:latin typeface="Arial"/>
                    <a:ea typeface="Arial"/>
                    <a:cs typeface="Arial"/>
                  </a:defRPr>
                </a:pPr>
                <a:endParaRPr lang="en-US"/>
              </a:p>
            </c:txPr>
            <c:dLblPos val="l"/>
            <c:showVal val="1"/>
          </c:dLbls>
          <c:xVal>
            <c:numRef>
              <c:f>(Ref!$B$55,Ref!$B$57)</c:f>
              <c:numCache>
                <c:formatCode>General</c:formatCode>
                <c:ptCount val="2"/>
                <c:pt idx="0">
                  <c:v>-10</c:v>
                </c:pt>
                <c:pt idx="1">
                  <c:v>-14.530000000000001</c:v>
                </c:pt>
              </c:numCache>
            </c:numRef>
          </c:xVal>
          <c:yVal>
            <c:numRef>
              <c:f>(Ref!$C$55,Ref!$C$57)</c:f>
              <c:numCache>
                <c:formatCode>General</c:formatCode>
                <c:ptCount val="2"/>
                <c:pt idx="0">
                  <c:v>-20</c:v>
                </c:pt>
                <c:pt idx="1">
                  <c:v>-41.5</c:v>
                </c:pt>
              </c:numCache>
            </c:numRef>
          </c:yVal>
        </c:ser>
        <c:ser>
          <c:idx val="7"/>
          <c:order val="4"/>
          <c:tx>
            <c:v>140C</c:v>
          </c:tx>
          <c:spPr>
            <a:ln w="12700">
              <a:solidFill>
                <a:srgbClr val="808080"/>
              </a:solidFill>
              <a:prstDash val="solid"/>
            </a:ln>
          </c:spPr>
          <c:marker>
            <c:symbol val="none"/>
          </c:marker>
          <c:dLbls>
            <c:dLbl>
              <c:idx val="0"/>
              <c:delete val="1"/>
            </c:dLbl>
            <c:dLbl>
              <c:idx val="1"/>
              <c:layout/>
              <c:tx>
                <c:rich>
                  <a:bodyPr/>
                  <a:lstStyle/>
                  <a:p>
                    <a:r>
                      <a:rPr lang="en-NZ"/>
                      <a:t>140 C</a:t>
                    </a:r>
                  </a:p>
                </c:rich>
              </c:tx>
              <c:dLblPos val="l"/>
            </c:dLbl>
            <c:spPr>
              <a:noFill/>
              <a:ln w="25400">
                <a:noFill/>
              </a:ln>
            </c:spPr>
            <c:txPr>
              <a:bodyPr/>
              <a:lstStyle/>
              <a:p>
                <a:pPr>
                  <a:defRPr sz="800" b="0" i="0" u="none" strike="noStrike" baseline="0">
                    <a:solidFill>
                      <a:srgbClr val="808080"/>
                    </a:solidFill>
                    <a:latin typeface="Arial"/>
                    <a:ea typeface="Arial"/>
                    <a:cs typeface="Arial"/>
                  </a:defRPr>
                </a:pPr>
                <a:endParaRPr lang="en-US"/>
              </a:p>
            </c:txPr>
            <c:dLblPos val="l"/>
            <c:showVal val="1"/>
          </c:dLbls>
          <c:xVal>
            <c:numRef>
              <c:f>(Ref!$B$55,Ref!$B$58)</c:f>
              <c:numCache>
                <c:formatCode>General</c:formatCode>
                <c:ptCount val="2"/>
                <c:pt idx="0">
                  <c:v>-10</c:v>
                </c:pt>
                <c:pt idx="1">
                  <c:v>-13.91</c:v>
                </c:pt>
              </c:numCache>
            </c:numRef>
          </c:xVal>
          <c:yVal>
            <c:numRef>
              <c:f>(Ref!$C$55,Ref!$C$58)</c:f>
              <c:numCache>
                <c:formatCode>General</c:formatCode>
                <c:ptCount val="2"/>
                <c:pt idx="0">
                  <c:v>-20</c:v>
                </c:pt>
                <c:pt idx="1">
                  <c:v>-36.299999999999997</c:v>
                </c:pt>
              </c:numCache>
            </c:numRef>
          </c:yVal>
        </c:ser>
        <c:ser>
          <c:idx val="8"/>
          <c:order val="5"/>
          <c:tx>
            <c:v>160C</c:v>
          </c:tx>
          <c:spPr>
            <a:ln w="12700">
              <a:solidFill>
                <a:srgbClr val="808080"/>
              </a:solidFill>
              <a:prstDash val="solid"/>
            </a:ln>
          </c:spPr>
          <c:marker>
            <c:symbol val="none"/>
          </c:marker>
          <c:dLbls>
            <c:dLbl>
              <c:idx val="0"/>
              <c:delete val="1"/>
            </c:dLbl>
            <c:dLbl>
              <c:idx val="1"/>
              <c:layout/>
              <c:tx>
                <c:rich>
                  <a:bodyPr/>
                  <a:lstStyle/>
                  <a:p>
                    <a:r>
                      <a:rPr lang="en-NZ"/>
                      <a:t>160 C</a:t>
                    </a:r>
                  </a:p>
                </c:rich>
              </c:tx>
              <c:dLblPos val="l"/>
            </c:dLbl>
            <c:spPr>
              <a:noFill/>
              <a:ln w="25400">
                <a:noFill/>
              </a:ln>
            </c:spPr>
            <c:txPr>
              <a:bodyPr/>
              <a:lstStyle/>
              <a:p>
                <a:pPr>
                  <a:defRPr sz="800" b="0" i="0" u="none" strike="noStrike" baseline="0">
                    <a:solidFill>
                      <a:srgbClr val="808080"/>
                    </a:solidFill>
                    <a:latin typeface="Arial"/>
                    <a:ea typeface="Arial"/>
                    <a:cs typeface="Arial"/>
                  </a:defRPr>
                </a:pPr>
                <a:endParaRPr lang="en-US"/>
              </a:p>
            </c:txPr>
            <c:dLblPos val="l"/>
            <c:showVal val="1"/>
          </c:dLbls>
          <c:xVal>
            <c:numRef>
              <c:f>(Ref!$B$55,Ref!$B$59)</c:f>
              <c:numCache>
                <c:formatCode>General</c:formatCode>
                <c:ptCount val="2"/>
                <c:pt idx="0">
                  <c:v>-10</c:v>
                </c:pt>
                <c:pt idx="1">
                  <c:v>-13.370000000000001</c:v>
                </c:pt>
              </c:numCache>
            </c:numRef>
          </c:xVal>
          <c:yVal>
            <c:numRef>
              <c:f>(Ref!$C$55,Ref!$C$59)</c:f>
              <c:numCache>
                <c:formatCode>General</c:formatCode>
                <c:ptCount val="2"/>
                <c:pt idx="0">
                  <c:v>-20</c:v>
                </c:pt>
                <c:pt idx="1">
                  <c:v>-31.7</c:v>
                </c:pt>
              </c:numCache>
            </c:numRef>
          </c:yVal>
        </c:ser>
        <c:ser>
          <c:idx val="9"/>
          <c:order val="6"/>
          <c:tx>
            <c:v>180C</c:v>
          </c:tx>
          <c:spPr>
            <a:ln w="12700">
              <a:solidFill>
                <a:srgbClr val="808080"/>
              </a:solidFill>
              <a:prstDash val="solid"/>
            </a:ln>
          </c:spPr>
          <c:marker>
            <c:symbol val="none"/>
          </c:marker>
          <c:dLbls>
            <c:dLbl>
              <c:idx val="1"/>
              <c:layout/>
              <c:tx>
                <c:rich>
                  <a:bodyPr/>
                  <a:lstStyle/>
                  <a:p>
                    <a:pPr>
                      <a:defRPr sz="800" b="0" i="0" u="none" strike="noStrike" baseline="0">
                        <a:solidFill>
                          <a:srgbClr val="808080"/>
                        </a:solidFill>
                        <a:latin typeface="Arial"/>
                        <a:ea typeface="Arial"/>
                        <a:cs typeface="Arial"/>
                      </a:defRPr>
                    </a:pPr>
                    <a:r>
                      <a:rPr lang="en-NZ"/>
                      <a:t>180 C</a:t>
                    </a:r>
                  </a:p>
                </c:rich>
              </c:tx>
              <c:spPr>
                <a:noFill/>
                <a:ln w="25400">
                  <a:noFill/>
                </a:ln>
              </c:spPr>
              <c:dLblPos val="l"/>
            </c:dLbl>
            <c:delete val="1"/>
          </c:dLbls>
          <c:xVal>
            <c:numRef>
              <c:f>(Ref!$B$55,Ref!$B$60)</c:f>
              <c:numCache>
                <c:formatCode>General</c:formatCode>
                <c:ptCount val="2"/>
                <c:pt idx="0">
                  <c:v>-10</c:v>
                </c:pt>
                <c:pt idx="1">
                  <c:v>-12.9</c:v>
                </c:pt>
              </c:numCache>
            </c:numRef>
          </c:xVal>
          <c:yVal>
            <c:numRef>
              <c:f>(Ref!$C$55,Ref!$C$60)</c:f>
              <c:numCache>
                <c:formatCode>General</c:formatCode>
                <c:ptCount val="2"/>
                <c:pt idx="0">
                  <c:v>-20</c:v>
                </c:pt>
                <c:pt idx="1">
                  <c:v>-27.4</c:v>
                </c:pt>
              </c:numCache>
            </c:numRef>
          </c:yVal>
        </c:ser>
        <c:ser>
          <c:idx val="10"/>
          <c:order val="7"/>
          <c:tx>
            <c:v>200C</c:v>
          </c:tx>
          <c:spPr>
            <a:ln w="12700">
              <a:solidFill>
                <a:srgbClr val="808080"/>
              </a:solidFill>
              <a:prstDash val="solid"/>
            </a:ln>
          </c:spPr>
          <c:marker>
            <c:symbol val="none"/>
          </c:marker>
          <c:dLbls>
            <c:dLbl>
              <c:idx val="1"/>
              <c:layout/>
              <c:tx>
                <c:rich>
                  <a:bodyPr/>
                  <a:lstStyle/>
                  <a:p>
                    <a:pPr>
                      <a:defRPr sz="800" b="0" i="0" u="none" strike="noStrike" baseline="0">
                        <a:solidFill>
                          <a:srgbClr val="808080"/>
                        </a:solidFill>
                        <a:latin typeface="Arial"/>
                        <a:ea typeface="Arial"/>
                        <a:cs typeface="Arial"/>
                      </a:defRPr>
                    </a:pPr>
                    <a:r>
                      <a:rPr lang="en-NZ"/>
                      <a:t>200 C</a:t>
                    </a:r>
                  </a:p>
                </c:rich>
              </c:tx>
              <c:spPr>
                <a:noFill/>
                <a:ln w="25400">
                  <a:noFill/>
                </a:ln>
              </c:spPr>
              <c:dLblPos val="l"/>
            </c:dLbl>
            <c:delete val="1"/>
          </c:dLbls>
          <c:xVal>
            <c:numRef>
              <c:f>(Ref!$B$55,Ref!$B$61)</c:f>
              <c:numCache>
                <c:formatCode>General</c:formatCode>
                <c:ptCount val="2"/>
                <c:pt idx="0">
                  <c:v>-10</c:v>
                </c:pt>
                <c:pt idx="1">
                  <c:v>-12.48</c:v>
                </c:pt>
              </c:numCache>
            </c:numRef>
          </c:xVal>
          <c:yVal>
            <c:numRef>
              <c:f>(Ref!$C$55,Ref!$C$61)</c:f>
              <c:numCache>
                <c:formatCode>General</c:formatCode>
                <c:ptCount val="2"/>
                <c:pt idx="0">
                  <c:v>-20</c:v>
                </c:pt>
                <c:pt idx="1">
                  <c:v>-23.5</c:v>
                </c:pt>
              </c:numCache>
            </c:numRef>
          </c:yVal>
        </c:ser>
        <c:ser>
          <c:idx val="11"/>
          <c:order val="8"/>
          <c:tx>
            <c:v>220C</c:v>
          </c:tx>
          <c:spPr>
            <a:ln w="12700">
              <a:solidFill>
                <a:srgbClr val="808080"/>
              </a:solidFill>
              <a:prstDash val="solid"/>
            </a:ln>
          </c:spPr>
          <c:marker>
            <c:symbol val="none"/>
          </c:marker>
          <c:dLbls>
            <c:dLbl>
              <c:idx val="1"/>
              <c:layout/>
              <c:tx>
                <c:rich>
                  <a:bodyPr/>
                  <a:lstStyle/>
                  <a:p>
                    <a:pPr>
                      <a:defRPr sz="800" b="0" i="0" u="none" strike="noStrike" baseline="0">
                        <a:solidFill>
                          <a:srgbClr val="808080"/>
                        </a:solidFill>
                        <a:latin typeface="Arial"/>
                        <a:ea typeface="Arial"/>
                        <a:cs typeface="Arial"/>
                      </a:defRPr>
                    </a:pPr>
                    <a:r>
                      <a:rPr lang="en-NZ"/>
                      <a:t>220 C</a:t>
                    </a:r>
                  </a:p>
                </c:rich>
              </c:tx>
              <c:spPr>
                <a:noFill/>
                <a:ln w="25400">
                  <a:noFill/>
                </a:ln>
              </c:spPr>
              <c:dLblPos val="l"/>
            </c:dLbl>
            <c:delete val="1"/>
          </c:dLbls>
          <c:xVal>
            <c:numRef>
              <c:f>(Ref!$B$55,Ref!$B$62)</c:f>
              <c:numCache>
                <c:formatCode>General</c:formatCode>
                <c:ptCount val="2"/>
                <c:pt idx="0">
                  <c:v>-10</c:v>
                </c:pt>
                <c:pt idx="1">
                  <c:v>-12.1</c:v>
                </c:pt>
              </c:numCache>
            </c:numRef>
          </c:xVal>
          <c:yVal>
            <c:numRef>
              <c:f>(Ref!$C$55,Ref!$C$62)</c:f>
              <c:numCache>
                <c:formatCode>General</c:formatCode>
                <c:ptCount val="2"/>
                <c:pt idx="0">
                  <c:v>-20</c:v>
                </c:pt>
                <c:pt idx="1">
                  <c:v>-20.100000000000001</c:v>
                </c:pt>
              </c:numCache>
            </c:numRef>
          </c:yVal>
        </c:ser>
        <c:ser>
          <c:idx val="12"/>
          <c:order val="9"/>
          <c:tx>
            <c:v>240C</c:v>
          </c:tx>
          <c:spPr>
            <a:ln w="12700">
              <a:solidFill>
                <a:srgbClr val="808080"/>
              </a:solidFill>
              <a:prstDash val="solid"/>
            </a:ln>
          </c:spPr>
          <c:marker>
            <c:symbol val="none"/>
          </c:marker>
          <c:dLbls>
            <c:dLbl>
              <c:idx val="1"/>
              <c:layout/>
              <c:tx>
                <c:rich>
                  <a:bodyPr/>
                  <a:lstStyle/>
                  <a:p>
                    <a:pPr>
                      <a:defRPr sz="800" b="0" i="0" u="none" strike="noStrike" baseline="0">
                        <a:solidFill>
                          <a:srgbClr val="808080"/>
                        </a:solidFill>
                        <a:latin typeface="Arial"/>
                        <a:ea typeface="Arial"/>
                        <a:cs typeface="Arial"/>
                      </a:defRPr>
                    </a:pPr>
                    <a:r>
                      <a:rPr lang="en-NZ"/>
                      <a:t>240 C</a:t>
                    </a:r>
                  </a:p>
                </c:rich>
              </c:tx>
              <c:spPr>
                <a:noFill/>
                <a:ln w="25400">
                  <a:noFill/>
                </a:ln>
              </c:spPr>
              <c:dLblPos val="l"/>
            </c:dLbl>
            <c:delete val="1"/>
          </c:dLbls>
          <c:xVal>
            <c:numRef>
              <c:f>(Ref!$B$55,Ref!$B$63)</c:f>
              <c:numCache>
                <c:formatCode>General</c:formatCode>
                <c:ptCount val="2"/>
                <c:pt idx="0">
                  <c:v>-10</c:v>
                </c:pt>
                <c:pt idx="1">
                  <c:v>-11.77</c:v>
                </c:pt>
              </c:numCache>
            </c:numRef>
          </c:xVal>
          <c:yVal>
            <c:numRef>
              <c:f>(Ref!$C$55,Ref!$C$63)</c:f>
              <c:numCache>
                <c:formatCode>General</c:formatCode>
                <c:ptCount val="2"/>
                <c:pt idx="0">
                  <c:v>-20</c:v>
                </c:pt>
                <c:pt idx="1">
                  <c:v>-17.8</c:v>
                </c:pt>
              </c:numCache>
            </c:numRef>
          </c:yVal>
        </c:ser>
        <c:ser>
          <c:idx val="13"/>
          <c:order val="10"/>
          <c:tx>
            <c:v>260C</c:v>
          </c:tx>
          <c:spPr>
            <a:ln w="12700">
              <a:solidFill>
                <a:srgbClr val="808080"/>
              </a:solidFill>
              <a:prstDash val="solid"/>
            </a:ln>
          </c:spPr>
          <c:marker>
            <c:symbol val="none"/>
          </c:marker>
          <c:dLbls>
            <c:dLbl>
              <c:idx val="1"/>
              <c:layout/>
              <c:tx>
                <c:rich>
                  <a:bodyPr/>
                  <a:lstStyle/>
                  <a:p>
                    <a:pPr>
                      <a:defRPr sz="800" b="0" i="0" u="none" strike="noStrike" baseline="0">
                        <a:solidFill>
                          <a:srgbClr val="808080"/>
                        </a:solidFill>
                        <a:latin typeface="Arial"/>
                        <a:ea typeface="Arial"/>
                        <a:cs typeface="Arial"/>
                      </a:defRPr>
                    </a:pPr>
                    <a:r>
                      <a:rPr lang="en-NZ"/>
                      <a:t>260 C</a:t>
                    </a:r>
                  </a:p>
                </c:rich>
              </c:tx>
              <c:spPr>
                <a:noFill/>
                <a:ln w="25400">
                  <a:noFill/>
                </a:ln>
              </c:spPr>
              <c:dLblPos val="l"/>
            </c:dLbl>
            <c:delete val="1"/>
          </c:dLbls>
          <c:xVal>
            <c:numRef>
              <c:f>(Ref!$B$55,Ref!$B$64)</c:f>
              <c:numCache>
                <c:formatCode>General</c:formatCode>
                <c:ptCount val="2"/>
                <c:pt idx="0">
                  <c:v>-10</c:v>
                </c:pt>
                <c:pt idx="1">
                  <c:v>-11.46</c:v>
                </c:pt>
              </c:numCache>
            </c:numRef>
          </c:xVal>
          <c:yVal>
            <c:numRef>
              <c:f>(Ref!$C$55,Ref!$C$64)</c:f>
              <c:numCache>
                <c:formatCode>General</c:formatCode>
                <c:ptCount val="2"/>
                <c:pt idx="0">
                  <c:v>-20</c:v>
                </c:pt>
                <c:pt idx="1">
                  <c:v>-16.399999999999999</c:v>
                </c:pt>
              </c:numCache>
            </c:numRef>
          </c:yVal>
        </c:ser>
        <c:ser>
          <c:idx val="14"/>
          <c:order val="11"/>
          <c:tx>
            <c:v>280C</c:v>
          </c:tx>
          <c:spPr>
            <a:ln w="12700">
              <a:solidFill>
                <a:srgbClr val="808080"/>
              </a:solidFill>
              <a:prstDash val="solid"/>
            </a:ln>
          </c:spPr>
          <c:marker>
            <c:symbol val="none"/>
          </c:marker>
          <c:dLbls>
            <c:dLbl>
              <c:idx val="1"/>
              <c:layout>
                <c:manualLayout>
                  <c:x val="-2.3346820826087068E-2"/>
                  <c:y val="-1.463273860751094E-2"/>
                </c:manualLayout>
              </c:layout>
              <c:tx>
                <c:rich>
                  <a:bodyPr/>
                  <a:lstStyle/>
                  <a:p>
                    <a:pPr>
                      <a:defRPr sz="800" b="0" i="0" u="none" strike="noStrike" baseline="0">
                        <a:solidFill>
                          <a:srgbClr val="808080"/>
                        </a:solidFill>
                        <a:latin typeface="Arial"/>
                        <a:ea typeface="Arial"/>
                        <a:cs typeface="Arial"/>
                      </a:defRPr>
                    </a:pPr>
                    <a:r>
                      <a:rPr lang="en-NZ"/>
                      <a:t>280 C</a:t>
                    </a:r>
                  </a:p>
                </c:rich>
              </c:tx>
              <c:spPr>
                <a:noFill/>
                <a:ln w="25400">
                  <a:noFill/>
                </a:ln>
              </c:spPr>
              <c:dLblPos val="r"/>
            </c:dLbl>
            <c:delete val="1"/>
          </c:dLbls>
          <c:xVal>
            <c:numRef>
              <c:f>(Ref!$B$55,Ref!$B$65)</c:f>
              <c:numCache>
                <c:formatCode>General</c:formatCode>
                <c:ptCount val="2"/>
                <c:pt idx="0">
                  <c:v>-10</c:v>
                </c:pt>
                <c:pt idx="1">
                  <c:v>-11.19</c:v>
                </c:pt>
              </c:numCache>
            </c:numRef>
          </c:xVal>
          <c:yVal>
            <c:numRef>
              <c:f>(Ref!$C$55,Ref!$C$65)</c:f>
              <c:numCache>
                <c:formatCode>General</c:formatCode>
                <c:ptCount val="2"/>
                <c:pt idx="0">
                  <c:v>-20</c:v>
                </c:pt>
                <c:pt idx="1">
                  <c:v>-16</c:v>
                </c:pt>
              </c:numCache>
            </c:numRef>
          </c:yVal>
        </c:ser>
        <c:ser>
          <c:idx val="15"/>
          <c:order val="12"/>
          <c:tx>
            <c:v>300C</c:v>
          </c:tx>
          <c:spPr>
            <a:ln w="12700">
              <a:solidFill>
                <a:srgbClr val="808080"/>
              </a:solidFill>
              <a:prstDash val="solid"/>
            </a:ln>
          </c:spPr>
          <c:marker>
            <c:symbol val="none"/>
          </c:marker>
          <c:dLbls>
            <c:dLbl>
              <c:idx val="0"/>
              <c:layout/>
              <c:tx>
                <c:rich>
                  <a:bodyPr/>
                  <a:lstStyle/>
                  <a:p>
                    <a:pPr>
                      <a:defRPr sz="800" b="1" i="0" u="none" strike="noStrike" baseline="0">
                        <a:solidFill>
                          <a:srgbClr val="808080"/>
                        </a:solidFill>
                        <a:latin typeface="Arial"/>
                        <a:ea typeface="Arial"/>
                        <a:cs typeface="Arial"/>
                      </a:defRPr>
                    </a:pPr>
                    <a:r>
                      <a:rPr lang="en-NZ"/>
                      <a:t>Water</a:t>
                    </a:r>
                  </a:p>
                </c:rich>
              </c:tx>
              <c:spPr>
                <a:solidFill>
                  <a:srgbClr val="FFFFFF"/>
                </a:solidFill>
                <a:ln w="25400">
                  <a:noFill/>
                </a:ln>
              </c:spPr>
              <c:dLblPos val="r"/>
            </c:dLbl>
            <c:dLbl>
              <c:idx val="1"/>
              <c:layout/>
              <c:tx>
                <c:rich>
                  <a:bodyPr/>
                  <a:lstStyle/>
                  <a:p>
                    <a:pPr>
                      <a:defRPr sz="800" b="0" i="0" u="none" strike="noStrike" baseline="0">
                        <a:solidFill>
                          <a:srgbClr val="808080"/>
                        </a:solidFill>
                        <a:latin typeface="Arial"/>
                        <a:ea typeface="Arial"/>
                        <a:cs typeface="Arial"/>
                      </a:defRPr>
                    </a:pPr>
                    <a:r>
                      <a:rPr lang="en-NZ"/>
                      <a:t>300 C</a:t>
                    </a:r>
                  </a:p>
                </c:rich>
              </c:tx>
              <c:spPr>
                <a:noFill/>
                <a:ln w="25400">
                  <a:noFill/>
                </a:ln>
              </c:spPr>
              <c:dLblPos val="r"/>
            </c:dLbl>
            <c:delete val="1"/>
          </c:dLbls>
          <c:xVal>
            <c:numRef>
              <c:f>(Ref!$B$55,Ref!$B$66)</c:f>
              <c:numCache>
                <c:formatCode>General</c:formatCode>
                <c:ptCount val="2"/>
                <c:pt idx="0">
                  <c:v>-10</c:v>
                </c:pt>
                <c:pt idx="1">
                  <c:v>-10.94</c:v>
                </c:pt>
              </c:numCache>
            </c:numRef>
          </c:xVal>
          <c:yVal>
            <c:numRef>
              <c:f>(Ref!$C$55,Ref!$C$66)</c:f>
              <c:numCache>
                <c:formatCode>General</c:formatCode>
                <c:ptCount val="2"/>
                <c:pt idx="0">
                  <c:v>-20</c:v>
                </c:pt>
                <c:pt idx="1">
                  <c:v>-16.600000000000001</c:v>
                </c:pt>
              </c:numCache>
            </c:numRef>
          </c:yVal>
        </c:ser>
        <c:ser>
          <c:idx val="0"/>
          <c:order val="13"/>
          <c:tx>
            <c:v>cluster label line</c:v>
          </c:tx>
          <c:spPr>
            <a:ln w="12700">
              <a:solidFill>
                <a:srgbClr val="808080"/>
              </a:solidFill>
              <a:prstDash val="solid"/>
            </a:ln>
          </c:spPr>
          <c:marker>
            <c:symbol val="none"/>
          </c:marker>
          <c:dLbls>
            <c:dLbl>
              <c:idx val="1"/>
              <c:layout/>
              <c:tx>
                <c:rich>
                  <a:bodyPr/>
                  <a:lstStyle/>
                  <a:p>
                    <a:pPr>
                      <a:defRPr sz="975" b="1" i="0" u="none" strike="noStrike" baseline="0">
                        <a:solidFill>
                          <a:srgbClr val="808080"/>
                        </a:solidFill>
                        <a:latin typeface="Arial"/>
                        <a:ea typeface="Arial"/>
                        <a:cs typeface="Arial"/>
                      </a:defRPr>
                    </a:pPr>
                    <a:r>
                      <a:rPr lang="en-NZ"/>
                      <a:t>Steam</a:t>
                    </a:r>
                  </a:p>
                </c:rich>
              </c:tx>
              <c:spPr>
                <a:noFill/>
                <a:ln w="25400">
                  <a:noFill/>
                </a:ln>
              </c:spPr>
            </c:dLbl>
            <c:delete val="1"/>
          </c:dLbls>
          <c:xVal>
            <c:numRef>
              <c:f>Ref!$B$55:$B$56</c:f>
              <c:numCache>
                <c:formatCode>General</c:formatCode>
                <c:ptCount val="2"/>
                <c:pt idx="0">
                  <c:v>-10</c:v>
                </c:pt>
                <c:pt idx="1">
                  <c:v>-15.24</c:v>
                </c:pt>
              </c:numCache>
            </c:numRef>
          </c:xVal>
          <c:yVal>
            <c:numRef>
              <c:f>Ref!$C$55:$C$56</c:f>
              <c:numCache>
                <c:formatCode>General</c:formatCode>
                <c:ptCount val="2"/>
                <c:pt idx="0">
                  <c:v>-20</c:v>
                </c:pt>
                <c:pt idx="1">
                  <c:v>-47.8</c:v>
                </c:pt>
              </c:numCache>
            </c:numRef>
          </c:yVal>
        </c:ser>
        <c:ser>
          <c:idx val="2"/>
          <c:order val="14"/>
          <c:tx>
            <c:v>data</c:v>
          </c:tx>
          <c:spPr>
            <a:ln w="28575">
              <a:noFill/>
            </a:ln>
          </c:spPr>
          <c:marker>
            <c:symbol val="diamond"/>
            <c:size val="10"/>
            <c:spPr>
              <a:noFill/>
              <a:ln>
                <a:solidFill>
                  <a:srgbClr val="800080"/>
                </a:solidFill>
                <a:prstDash val="solid"/>
              </a:ln>
            </c:spPr>
          </c:marker>
          <c:dLbls>
            <c:dLbl>
              <c:idx val="0"/>
              <c:tx>
                <c:strRef>
                  <c:f>Input!$BL$8</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
              <c:tx>
                <c:strRef>
                  <c:f>Input!$BL$9</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
              <c:tx>
                <c:strRef>
                  <c:f>Input!$BL$10</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3"/>
              <c:tx>
                <c:strRef>
                  <c:f>Input!$BL$11</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4"/>
              <c:tx>
                <c:strRef>
                  <c:f>Input!$BL$12</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5"/>
              <c:tx>
                <c:strRef>
                  <c:f>Input!$BL$13</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6"/>
              <c:tx>
                <c:strRef>
                  <c:f>Input!$BL$14</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7"/>
              <c:tx>
                <c:strRef>
                  <c:f>Input!$BL$15</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8"/>
              <c:tx>
                <c:strRef>
                  <c:f>Input!$BL$16</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9"/>
              <c:tx>
                <c:strRef>
                  <c:f>Input!$BL$17</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0"/>
              <c:tx>
                <c:strRef>
                  <c:f>Input!$BL$18</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1"/>
              <c:tx>
                <c:strRef>
                  <c:f>Input!$BL$19</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2"/>
              <c:tx>
                <c:strRef>
                  <c:f>Input!$BL$20</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3"/>
              <c:tx>
                <c:strRef>
                  <c:f>Input!$BL$21</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4"/>
              <c:tx>
                <c:strRef>
                  <c:f>Input!$BL$22</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5"/>
              <c:tx>
                <c:strRef>
                  <c:f>Input!$BL$23</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6"/>
              <c:tx>
                <c:strRef>
                  <c:f>Input!$BL$24</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7"/>
              <c:tx>
                <c:strRef>
                  <c:f>Input!$BL$25</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8"/>
              <c:tx>
                <c:strRef>
                  <c:f>Input!$BL$26</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19"/>
              <c:tx>
                <c:strRef>
                  <c:f>Input!$BL$27</c:f>
                  <c:strCache>
                    <c:ptCount val="1"/>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0"/>
              <c:layout/>
              <c:tx>
                <c:strRef>
                  <c:f>Input!$BL$28</c:f>
                  <c:strCache>
                    <c:ptCount val="1"/>
                    <c:pt idx="0">
                      <c:v>OH</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1"/>
              <c:layout/>
              <c:tx>
                <c:strRef>
                  <c:f>Input!$BL$29</c:f>
                  <c:strCache>
                    <c:ptCount val="1"/>
                    <c:pt idx="0">
                      <c:v>oh</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2"/>
              <c:layout/>
              <c:tx>
                <c:strRef>
                  <c:f>Input!$BL$30</c:f>
                  <c:strCache>
                    <c:ptCount val="1"/>
                    <c:pt idx="0">
                      <c:v>WK</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3"/>
              <c:layout/>
              <c:tx>
                <c:strRef>
                  <c:f>Input!$BL$31</c:f>
                  <c:strCache>
                    <c:ptCount val="1"/>
                    <c:pt idx="0">
                      <c:v>wk</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4"/>
              <c:layout/>
              <c:tx>
                <c:strRef>
                  <c:f>Input!$BL$32</c:f>
                  <c:strCache>
                    <c:ptCount val="1"/>
                    <c:pt idx="0">
                      <c:v>TG</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5"/>
              <c:layout/>
              <c:tx>
                <c:strRef>
                  <c:f>Input!$BL$33</c:f>
                  <c:strCache>
                    <c:ptCount val="1"/>
                    <c:pt idx="0">
                      <c:v>tg</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6"/>
              <c:layout/>
              <c:tx>
                <c:strRef>
                  <c:f>Input!$BL$34</c:f>
                  <c:strCache>
                    <c:ptCount val="1"/>
                    <c:pt idx="0">
                      <c:v>MV</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7"/>
              <c:layout/>
              <c:tx>
                <c:strRef>
                  <c:f>Input!$BL$35</c:f>
                  <c:strCache>
                    <c:ptCount val="1"/>
                    <c:pt idx="0">
                      <c:v>mv</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8"/>
              <c:layout/>
              <c:tx>
                <c:strRef>
                  <c:f>Input!$BL$36</c:f>
                  <c:strCache>
                    <c:ptCount val="1"/>
                    <c:pt idx="0">
                      <c:v>ZU</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Lbl>
              <c:idx val="29"/>
              <c:layout/>
              <c:tx>
                <c:strRef>
                  <c:f>Input!$BL$37</c:f>
                  <c:strCache>
                    <c:ptCount val="1"/>
                    <c:pt idx="0">
                      <c:v>zu</c:v>
                    </c:pt>
                  </c:strCache>
                </c:strRef>
              </c:tx>
              <c:spPr>
                <a:noFill/>
                <a:ln w="25400">
                  <a:noFill/>
                </a:ln>
              </c:spPr>
              <c:txPr>
                <a:bodyPr/>
                <a:lstStyle/>
                <a:p>
                  <a:pPr>
                    <a:defRPr sz="975" b="0" i="0" u="none" strike="noStrike" baseline="0">
                      <a:solidFill>
                        <a:srgbClr val="000000"/>
                      </a:solidFill>
                      <a:latin typeface="Arial"/>
                      <a:ea typeface="Arial"/>
                      <a:cs typeface="Arial"/>
                    </a:defRPr>
                  </a:pPr>
                  <a:endParaRPr lang="en-US"/>
                </a:p>
              </c:txPr>
              <c:dLblPos val="t"/>
            </c:dLbl>
            <c:delete val="1"/>
          </c:dLbls>
          <c:xVal>
            <c:numRef>
              <c:f>Input!$BJ$8:$BJ$37</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-4.5</c:v>
                </c:pt>
                <c:pt idx="21">
                  <c:v>-7</c:v>
                </c:pt>
                <c:pt idx="22">
                  <c:v>-5.7</c:v>
                </c:pt>
                <c:pt idx="23">
                  <c:v>-6.7</c:v>
                </c:pt>
                <c:pt idx="24">
                  <c:v>-0.6</c:v>
                </c:pt>
                <c:pt idx="25">
                  <c:v>-6.5</c:v>
                </c:pt>
                <c:pt idx="26">
                  <c:v>-2</c:v>
                </c:pt>
                <c:pt idx="27">
                  <c:v>-4.8</c:v>
                </c:pt>
                <c:pt idx="28">
                  <c:v>-8.5</c:v>
                </c:pt>
                <c:pt idx="29">
                  <c:v>-11.5</c:v>
                </c:pt>
              </c:numCache>
            </c:numRef>
          </c:xVal>
          <c:yVal>
            <c:numRef>
              <c:f>Input!$BK$8:$BK$37</c:f>
              <c:numCache>
                <c:formatCode>General</c:formatCode>
                <c:ptCount val="30"/>
                <c:pt idx="0">
                  <c:v>99</c:v>
                </c:pt>
                <c:pt idx="1">
                  <c:v>99</c:v>
                </c:pt>
                <c:pt idx="2">
                  <c:v>99</c:v>
                </c:pt>
                <c:pt idx="3">
                  <c:v>99</c:v>
                </c:pt>
                <c:pt idx="4">
                  <c:v>99</c:v>
                </c:pt>
                <c:pt idx="5">
                  <c:v>99</c:v>
                </c:pt>
                <c:pt idx="6">
                  <c:v>99</c:v>
                </c:pt>
                <c:pt idx="7">
                  <c:v>99</c:v>
                </c:pt>
                <c:pt idx="8">
                  <c:v>99</c:v>
                </c:pt>
                <c:pt idx="9">
                  <c:v>99</c:v>
                </c:pt>
                <c:pt idx="10">
                  <c:v>99</c:v>
                </c:pt>
                <c:pt idx="11">
                  <c:v>99</c:v>
                </c:pt>
                <c:pt idx="12">
                  <c:v>99</c:v>
                </c:pt>
                <c:pt idx="13">
                  <c:v>99</c:v>
                </c:pt>
                <c:pt idx="14">
                  <c:v>99</c:v>
                </c:pt>
                <c:pt idx="15">
                  <c:v>99</c:v>
                </c:pt>
                <c:pt idx="16">
                  <c:v>99</c:v>
                </c:pt>
                <c:pt idx="17">
                  <c:v>99</c:v>
                </c:pt>
                <c:pt idx="18">
                  <c:v>99</c:v>
                </c:pt>
                <c:pt idx="19">
                  <c:v>99</c:v>
                </c:pt>
                <c:pt idx="20">
                  <c:v>-40</c:v>
                </c:pt>
                <c:pt idx="21">
                  <c:v>-45</c:v>
                </c:pt>
                <c:pt idx="22">
                  <c:v>-43</c:v>
                </c:pt>
                <c:pt idx="23">
                  <c:v>-45</c:v>
                </c:pt>
                <c:pt idx="24">
                  <c:v>-30</c:v>
                </c:pt>
                <c:pt idx="25">
                  <c:v>-40</c:v>
                </c:pt>
                <c:pt idx="26">
                  <c:v>-25</c:v>
                </c:pt>
                <c:pt idx="27">
                  <c:v>-28</c:v>
                </c:pt>
                <c:pt idx="28">
                  <c:v>-78</c:v>
                </c:pt>
                <c:pt idx="29">
                  <c:v>-85</c:v>
                </c:pt>
              </c:numCache>
            </c:numRef>
          </c:yVal>
        </c:ser>
        <c:axId val="84649088"/>
        <c:axId val="84651008"/>
      </c:scatterChart>
      <c:valAx>
        <c:axId val="84649088"/>
        <c:scaling>
          <c:orientation val="minMax"/>
          <c:max val="10"/>
          <c:min val="-22"/>
        </c:scaling>
        <c:axPos val="b"/>
        <c:title>
          <c:tx>
            <c:rich>
              <a:bodyPr/>
              <a:lstStyle/>
              <a:p>
                <a:pPr>
                  <a:defRPr sz="1375" b="1" i="0" u="none" strike="noStrike" baseline="0">
                    <a:solidFill>
                      <a:srgbClr val="000000"/>
                    </a:solidFill>
                    <a:latin typeface="Arial"/>
                    <a:ea typeface="Arial"/>
                    <a:cs typeface="Arial"/>
                  </a:defRPr>
                </a:pPr>
                <a:r>
                  <a:rPr lang="en-NZ"/>
                  <a:t>Delta Oxygen 18 - per mil</a:t>
                </a:r>
              </a:p>
            </c:rich>
          </c:tx>
          <c:layout>
            <c:manualLayout>
              <c:xMode val="edge"/>
              <c:yMode val="edge"/>
              <c:x val="0.41509433962264225"/>
              <c:y val="0.92006525285481333"/>
            </c:manualLayout>
          </c:layout>
          <c:spPr>
            <a:noFill/>
            <a:ln w="25400">
              <a:noFill/>
            </a:ln>
          </c:spPr>
        </c:title>
        <c:numFmt formatCode="0" sourceLinked="0"/>
        <c:tickLblPos val="nextTo"/>
        <c:spPr>
          <a:ln w="3175">
            <a:solidFill>
              <a:srgbClr val="000000"/>
            </a:solidFill>
            <a:prstDash val="solid"/>
          </a:ln>
        </c:spPr>
        <c:txPr>
          <a:bodyPr rot="0" vert="horz"/>
          <a:lstStyle/>
          <a:p>
            <a:pPr>
              <a:defRPr sz="1375" b="0" i="0" u="none" strike="noStrike" baseline="0">
                <a:solidFill>
                  <a:srgbClr val="000000"/>
                </a:solidFill>
                <a:latin typeface="Arial"/>
                <a:ea typeface="Arial"/>
                <a:cs typeface="Arial"/>
              </a:defRPr>
            </a:pPr>
            <a:endParaRPr lang="en-US"/>
          </a:p>
        </c:txPr>
        <c:crossAx val="84651008"/>
        <c:crossesAt val="-160"/>
        <c:crossBetween val="midCat"/>
        <c:majorUnit val="2"/>
      </c:valAx>
      <c:valAx>
        <c:axId val="84651008"/>
        <c:scaling>
          <c:orientation val="minMax"/>
          <c:max val="0"/>
          <c:min val="-160"/>
        </c:scaling>
        <c:axPos val="l"/>
        <c:title>
          <c:tx>
            <c:rich>
              <a:bodyPr/>
              <a:lstStyle/>
              <a:p>
                <a:pPr>
                  <a:defRPr sz="1375" b="1" i="0" u="none" strike="noStrike" baseline="0">
                    <a:solidFill>
                      <a:srgbClr val="000000"/>
                    </a:solidFill>
                    <a:latin typeface="Arial"/>
                    <a:ea typeface="Arial"/>
                    <a:cs typeface="Arial"/>
                  </a:defRPr>
                </a:pPr>
                <a:r>
                  <a:rPr lang="en-NZ"/>
                  <a:t>Delta Deuterium - per mil</a:t>
                </a:r>
              </a:p>
            </c:rich>
          </c:tx>
          <c:layout>
            <c:manualLayout>
              <c:xMode val="edge"/>
              <c:yMode val="edge"/>
              <c:x val="4.4395116537180911E-3"/>
              <c:y val="0.27406199021207223"/>
            </c:manualLayout>
          </c:layout>
          <c:spPr>
            <a:noFill/>
            <a:ln w="25400">
              <a:noFill/>
            </a:ln>
          </c:spPr>
        </c:title>
        <c:numFmt formatCode="0" sourceLinked="0"/>
        <c:tickLblPos val="nextTo"/>
        <c:spPr>
          <a:ln w="3175">
            <a:solidFill>
              <a:srgbClr val="000000"/>
            </a:solidFill>
            <a:prstDash val="solid"/>
          </a:ln>
        </c:spPr>
        <c:txPr>
          <a:bodyPr rot="0" vert="horz"/>
          <a:lstStyle/>
          <a:p>
            <a:pPr>
              <a:defRPr sz="1375" b="0" i="0" u="none" strike="noStrike" baseline="0">
                <a:solidFill>
                  <a:srgbClr val="000000"/>
                </a:solidFill>
                <a:latin typeface="Arial"/>
                <a:ea typeface="Arial"/>
                <a:cs typeface="Arial"/>
              </a:defRPr>
            </a:pPr>
            <a:endParaRPr lang="en-US"/>
          </a:p>
        </c:txPr>
        <c:crossAx val="84649088"/>
        <c:crossesAt val="-22"/>
        <c:crossBetween val="midCat"/>
        <c:majorUnit val="20"/>
      </c:valAx>
      <c:spPr>
        <a:noFill/>
        <a:ln w="25400">
          <a:solidFill>
            <a:srgbClr val="808080"/>
          </a:solidFill>
          <a:prstDash val="solid"/>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2208657047724751E-2"/>
          <c:y val="1.9801980198019833E-2"/>
          <c:w val="0.97669256381797998"/>
          <c:h val="0.96605374823196521"/>
        </c:manualLayout>
      </c:layout>
      <c:scatterChart>
        <c:scatterStyle val="lineMarker"/>
        <c:ser>
          <c:idx val="0"/>
          <c:order val="0"/>
          <c:tx>
            <c:v>border</c:v>
          </c:tx>
          <c:spPr>
            <a:ln w="38100">
              <a:solidFill>
                <a:srgbClr val="000000"/>
              </a:solidFill>
              <a:prstDash val="solid"/>
            </a:ln>
          </c:spPr>
          <c:marker>
            <c:symbol val="none"/>
          </c:marker>
          <c:dLbls>
            <c:dLbl>
              <c:idx val="0"/>
              <c:delete val="1"/>
            </c:dLbl>
            <c:dLbl>
              <c:idx val="1"/>
              <c:layout/>
              <c:tx>
                <c:strRef>
                  <c:f>Input!$CA$7</c:f>
                  <c:strCache>
                    <c:ptCount val="1"/>
                    <c:pt idx="0">
                      <c:v>Li</c:v>
                    </c:pt>
                  </c:strCache>
                </c:strRef>
              </c:tx>
              <c:spPr>
                <a:noFill/>
                <a:ln w="25400">
                  <a:noFill/>
                </a:ln>
              </c:spPr>
              <c:txPr>
                <a:bodyPr/>
                <a:lstStyle/>
                <a:p>
                  <a:pPr algn="l">
                    <a:defRPr sz="1600" b="1" i="0" u="none" strike="noStrike" baseline="0">
                      <a:solidFill>
                        <a:srgbClr val="000000"/>
                      </a:solidFill>
                      <a:latin typeface="Arial"/>
                      <a:ea typeface="Arial"/>
                      <a:cs typeface="Arial"/>
                    </a:defRPr>
                  </a:pPr>
                  <a:endParaRPr lang="en-US"/>
                </a:p>
              </c:txPr>
              <c:dLblPos val="t"/>
            </c:dLbl>
            <c:dLbl>
              <c:idx val="2"/>
              <c:layout/>
              <c:tx>
                <c:strRef>
                  <c:f>Input!$CC$7</c:f>
                  <c:strCache>
                    <c:ptCount val="1"/>
                    <c:pt idx="0">
                      <c:v>10 Cs</c:v>
                    </c:pt>
                  </c:strCache>
                </c:strRef>
              </c:tx>
              <c:spPr>
                <a:noFill/>
                <a:ln w="25400">
                  <a:noFill/>
                </a:ln>
              </c:spPr>
              <c:txPr>
                <a:bodyPr/>
                <a:lstStyle/>
                <a:p>
                  <a:pPr algn="l">
                    <a:defRPr sz="1600" b="1" i="0" u="none" strike="noStrike" baseline="0">
                      <a:solidFill>
                        <a:srgbClr val="000000"/>
                      </a:solidFill>
                      <a:latin typeface="Arial"/>
                      <a:ea typeface="Arial"/>
                      <a:cs typeface="Arial"/>
                    </a:defRPr>
                  </a:pPr>
                  <a:endParaRPr lang="en-US"/>
                </a:p>
              </c:txPr>
            </c:dLbl>
            <c:dLbl>
              <c:idx val="3"/>
              <c:layout/>
              <c:tx>
                <c:strRef>
                  <c:f>Input!$CB$7</c:f>
                  <c:strCache>
                    <c:ptCount val="1"/>
                    <c:pt idx="0">
                      <c:v>4 Rb</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dLblPos val="l"/>
            </c:dLbl>
            <c:spPr>
              <a:noFill/>
              <a:ln w="25400">
                <a:noFill/>
              </a:ln>
            </c:spPr>
            <c:txPr>
              <a:bodyPr/>
              <a:lstStyle/>
              <a:p>
                <a:pPr algn="l">
                  <a:defRPr sz="1600" b="0" i="0" u="none" strike="noStrike" baseline="0">
                    <a:solidFill>
                      <a:srgbClr val="000000"/>
                    </a:solidFill>
                    <a:latin typeface="Arial"/>
                    <a:ea typeface="Arial"/>
                    <a:cs typeface="Arial"/>
                  </a:defRPr>
                </a:pPr>
                <a:endParaRPr lang="en-US"/>
              </a:p>
            </c:txPr>
            <c:showVal val="1"/>
          </c:dLbls>
          <c:xVal>
            <c:numRef>
              <c:f>Tgrid!$A$5:$A$8</c:f>
              <c:numCache>
                <c:formatCode>General</c:formatCode>
                <c:ptCount val="4"/>
                <c:pt idx="0">
                  <c:v>0</c:v>
                </c:pt>
                <c:pt idx="1">
                  <c:v>0.57740000000000002</c:v>
                </c:pt>
                <c:pt idx="2">
                  <c:v>1.1547000000000001</c:v>
                </c:pt>
                <c:pt idx="3">
                  <c:v>0</c:v>
                </c:pt>
              </c:numCache>
            </c:numRef>
          </c:xVal>
          <c:yVal>
            <c:numRef>
              <c:f>Tgrid!$B$5:$B$8</c:f>
              <c:numCache>
                <c:formatCode>General</c:formatCode>
                <c:ptCount val="4"/>
                <c:pt idx="0">
                  <c:v>0</c:v>
                </c:pt>
                <c:pt idx="1">
                  <c:v>1</c:v>
                </c:pt>
                <c:pt idx="2">
                  <c:v>0</c:v>
                </c:pt>
                <c:pt idx="3">
                  <c:v>0</c:v>
                </c:pt>
              </c:numCache>
            </c:numRef>
          </c:yVal>
        </c:ser>
        <c:ser>
          <c:idx val="1"/>
          <c:order val="1"/>
          <c:tx>
            <c:v>A grid</c:v>
          </c:tx>
          <c:spPr>
            <a:ln w="3175">
              <a:solidFill>
                <a:srgbClr val="808080"/>
              </a:solidFill>
              <a:prstDash val="sysDash"/>
            </a:ln>
          </c:spPr>
          <c:marker>
            <c:symbol val="none"/>
          </c:marker>
          <c:dLbls>
            <c:dLbl>
              <c:idx val="0"/>
              <c:layout/>
              <c:tx>
                <c:rich>
                  <a:bodyPr/>
                  <a:lstStyle/>
                  <a:p>
                    <a:r>
                      <a:rPr lang="en-NZ"/>
                      <a:t>10%</a:t>
                    </a:r>
                  </a:p>
                </c:rich>
              </c:tx>
              <c:dLblPos val="l"/>
            </c:dLbl>
            <c:dLbl>
              <c:idx val="1"/>
              <c:delete val="1"/>
            </c:dLbl>
            <c:dLbl>
              <c:idx val="2"/>
              <c:delete val="1"/>
            </c:dLbl>
            <c:dLbl>
              <c:idx val="3"/>
              <c:layout/>
              <c:tx>
                <c:rich>
                  <a:bodyPr/>
                  <a:lstStyle/>
                  <a:p>
                    <a:r>
                      <a:rPr lang="en-NZ"/>
                      <a:t>20%</a:t>
                    </a:r>
                  </a:p>
                </c:rich>
              </c:tx>
              <c:dLblPos val="l"/>
            </c:dLbl>
            <c:dLbl>
              <c:idx val="4"/>
              <c:layout/>
              <c:tx>
                <c:rich>
                  <a:bodyPr/>
                  <a:lstStyle/>
                  <a:p>
                    <a:r>
                      <a:rPr lang="en-NZ"/>
                      <a:t>30%</a:t>
                    </a:r>
                  </a:p>
                </c:rich>
              </c:tx>
              <c:dLblPos val="l"/>
            </c:dLbl>
            <c:dLbl>
              <c:idx val="5"/>
              <c:delete val="1"/>
            </c:dLbl>
            <c:dLbl>
              <c:idx val="6"/>
              <c:delete val="1"/>
            </c:dLbl>
            <c:dLbl>
              <c:idx val="7"/>
              <c:layout/>
              <c:tx>
                <c:rich>
                  <a:bodyPr/>
                  <a:lstStyle/>
                  <a:p>
                    <a:r>
                      <a:rPr lang="en-NZ"/>
                      <a:t>40%</a:t>
                    </a:r>
                  </a:p>
                </c:rich>
              </c:tx>
              <c:dLblPos val="l"/>
            </c:dLbl>
            <c:dLbl>
              <c:idx val="8"/>
              <c:layout/>
              <c:tx>
                <c:rich>
                  <a:bodyPr/>
                  <a:lstStyle/>
                  <a:p>
                    <a:r>
                      <a:rPr lang="en-NZ"/>
                      <a:t>50%</a:t>
                    </a:r>
                  </a:p>
                </c:rich>
              </c:tx>
              <c:dLblPos val="l"/>
            </c:dLbl>
            <c:dLbl>
              <c:idx val="9"/>
              <c:delete val="1"/>
            </c:dLbl>
            <c:dLbl>
              <c:idx val="10"/>
              <c:delete val="1"/>
            </c:dLbl>
            <c:dLbl>
              <c:idx val="11"/>
              <c:layout/>
              <c:tx>
                <c:rich>
                  <a:bodyPr/>
                  <a:lstStyle/>
                  <a:p>
                    <a:r>
                      <a:rPr lang="en-NZ"/>
                      <a:t>60%</a:t>
                    </a:r>
                  </a:p>
                </c:rich>
              </c:tx>
              <c:dLblPos val="l"/>
            </c:dLbl>
            <c:dLbl>
              <c:idx val="12"/>
              <c:layout/>
              <c:tx>
                <c:rich>
                  <a:bodyPr/>
                  <a:lstStyle/>
                  <a:p>
                    <a:r>
                      <a:rPr lang="en-NZ"/>
                      <a:t>70%</a:t>
                    </a:r>
                  </a:p>
                </c:rich>
              </c:tx>
              <c:dLblPos val="l"/>
            </c:dLbl>
            <c:dLbl>
              <c:idx val="13"/>
              <c:delete val="1"/>
            </c:dLbl>
            <c:dLbl>
              <c:idx val="14"/>
              <c:delete val="1"/>
            </c:dLbl>
            <c:dLbl>
              <c:idx val="15"/>
              <c:layout/>
              <c:tx>
                <c:rich>
                  <a:bodyPr/>
                  <a:lstStyle/>
                  <a:p>
                    <a:r>
                      <a:rPr lang="en-NZ"/>
                      <a:t>80%</a:t>
                    </a:r>
                  </a:p>
                </c:rich>
              </c:tx>
              <c:dLblPos val="l"/>
            </c:dLbl>
            <c:dLbl>
              <c:idx val="16"/>
              <c:layout/>
              <c:tx>
                <c:rich>
                  <a:bodyPr/>
                  <a:lstStyle/>
                  <a:p>
                    <a:r>
                      <a:rPr lang="en-NZ"/>
                      <a:t>90%</a:t>
                    </a:r>
                  </a:p>
                </c:rich>
              </c:tx>
              <c:dLblPos val="l"/>
            </c:dLbl>
            <c:dLbl>
              <c:idx val="17"/>
              <c:delete val="1"/>
            </c:dLbl>
            <c:spPr>
              <a:noFill/>
              <a:ln w="25400">
                <a:noFill/>
              </a:ln>
            </c:spPr>
            <c:txPr>
              <a:bodyPr/>
              <a:lstStyle/>
              <a:p>
                <a:pPr>
                  <a:defRPr sz="1200" b="0" i="0" u="none" strike="noStrike" baseline="0">
                    <a:solidFill>
                      <a:srgbClr val="808080"/>
                    </a:solidFill>
                    <a:latin typeface="Arial"/>
                    <a:ea typeface="Arial"/>
                    <a:cs typeface="Arial"/>
                  </a:defRPr>
                </a:pPr>
                <a:endParaRPr lang="en-US"/>
              </a:p>
            </c:txPr>
            <c:dLblPos val="l"/>
            <c:showVal val="1"/>
          </c:dLbls>
          <c:xVal>
            <c:numRef>
              <c:f>Tgrid!$F$5:$F$22</c:f>
              <c:numCache>
                <c:formatCode>General</c:formatCode>
                <c:ptCount val="18"/>
                <c:pt idx="0">
                  <c:v>5.7740000000000007E-2</c:v>
                </c:pt>
                <c:pt idx="1">
                  <c:v>1.09697</c:v>
                </c:pt>
                <c:pt idx="2">
                  <c:v>1.0392400000000002</c:v>
                </c:pt>
                <c:pt idx="3">
                  <c:v>0.11548000000000001</c:v>
                </c:pt>
                <c:pt idx="4">
                  <c:v>0.17322000000000001</c:v>
                </c:pt>
                <c:pt idx="5">
                  <c:v>0.98150999999999999</c:v>
                </c:pt>
                <c:pt idx="6">
                  <c:v>0.92378000000000005</c:v>
                </c:pt>
                <c:pt idx="7">
                  <c:v>0.23096000000000003</c:v>
                </c:pt>
                <c:pt idx="8">
                  <c:v>0.28870000000000001</c:v>
                </c:pt>
                <c:pt idx="9">
                  <c:v>0.86604999999999999</c:v>
                </c:pt>
                <c:pt idx="10">
                  <c:v>0.80832000000000015</c:v>
                </c:pt>
                <c:pt idx="11">
                  <c:v>0.34644000000000003</c:v>
                </c:pt>
                <c:pt idx="12">
                  <c:v>0.40417999999999998</c:v>
                </c:pt>
                <c:pt idx="13">
                  <c:v>0.75058999999999998</c:v>
                </c:pt>
                <c:pt idx="14">
                  <c:v>0.69286000000000003</c:v>
                </c:pt>
                <c:pt idx="15">
                  <c:v>0.46192000000000005</c:v>
                </c:pt>
                <c:pt idx="16">
                  <c:v>0.51966000000000001</c:v>
                </c:pt>
                <c:pt idx="17">
                  <c:v>0.63512999999999997</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er>
        <c:ser>
          <c:idx val="2"/>
          <c:order val="2"/>
          <c:tx>
            <c:v>B grid</c:v>
          </c:tx>
          <c:spPr>
            <a:ln w="3175">
              <a:solidFill>
                <a:srgbClr val="808080"/>
              </a:solidFill>
              <a:prstDash val="sysDash"/>
            </a:ln>
          </c:spPr>
          <c:marker>
            <c:symbol val="none"/>
          </c:marker>
          <c:dLbls>
            <c:dLbl>
              <c:idx val="0"/>
              <c:layout>
                <c:manualLayout>
                  <c:x val="-2.0912080773477115E-2"/>
                  <c:y val="3.6075243069863899E-2"/>
                </c:manualLayout>
              </c:layout>
              <c:tx>
                <c:rich>
                  <a:bodyPr/>
                  <a:lstStyle/>
                  <a:p>
                    <a:r>
                      <a:rPr lang="en-NZ"/>
                      <a:t>90%</a:t>
                    </a:r>
                  </a:p>
                </c:rich>
              </c:tx>
              <c:dLblPos val="r"/>
            </c:dLbl>
            <c:dLbl>
              <c:idx val="1"/>
              <c:delete val="1"/>
            </c:dLbl>
            <c:dLbl>
              <c:idx val="2"/>
              <c:delete val="1"/>
            </c:dLbl>
            <c:dLbl>
              <c:idx val="3"/>
              <c:layout>
                <c:manualLayout>
                  <c:x val="-2.4806150063650511E-2"/>
                  <c:y val="3.3246388755861001E-2"/>
                </c:manualLayout>
              </c:layout>
              <c:tx>
                <c:rich>
                  <a:bodyPr/>
                  <a:lstStyle/>
                  <a:p>
                    <a:r>
                      <a:rPr lang="en-NZ"/>
                      <a:t>80%</a:t>
                    </a:r>
                  </a:p>
                </c:rich>
              </c:tx>
              <c:dLblPos val="r"/>
            </c:dLbl>
            <c:dLbl>
              <c:idx val="4"/>
              <c:layout>
                <c:manualLayout>
                  <c:x val="-1.9821079523772111E-2"/>
                  <c:y val="3.6075243069863899E-2"/>
                </c:manualLayout>
              </c:layout>
              <c:tx>
                <c:rich>
                  <a:bodyPr/>
                  <a:lstStyle/>
                  <a:p>
                    <a:r>
                      <a:rPr lang="en-NZ"/>
                      <a:t>70%</a:t>
                    </a:r>
                  </a:p>
                </c:rich>
              </c:tx>
              <c:dLblPos val="r"/>
            </c:dLbl>
            <c:dLbl>
              <c:idx val="5"/>
              <c:delete val="1"/>
            </c:dLbl>
            <c:dLbl>
              <c:idx val="6"/>
              <c:delete val="1"/>
            </c:dLbl>
            <c:dLbl>
              <c:idx val="7"/>
              <c:layout>
                <c:manualLayout>
                  <c:x val="-2.1495392987086449E-2"/>
                  <c:y val="3.6075243069863899E-2"/>
                </c:manualLayout>
              </c:layout>
              <c:tx>
                <c:rich>
                  <a:bodyPr/>
                  <a:lstStyle/>
                  <a:p>
                    <a:r>
                      <a:rPr lang="en-NZ"/>
                      <a:t>60%</a:t>
                    </a:r>
                  </a:p>
                </c:rich>
              </c:tx>
              <c:dLblPos val="r"/>
            </c:dLbl>
            <c:dLbl>
              <c:idx val="8"/>
              <c:layout>
                <c:manualLayout>
                  <c:x val="-2.0949834100926112E-2"/>
                  <c:y val="3.6075243069863899E-2"/>
                </c:manualLayout>
              </c:layout>
              <c:tx>
                <c:rich>
                  <a:bodyPr/>
                  <a:lstStyle/>
                  <a:p>
                    <a:r>
                      <a:rPr lang="en-NZ"/>
                      <a:t>50%</a:t>
                    </a:r>
                  </a:p>
                </c:rich>
              </c:tx>
              <c:dLblPos val="r"/>
            </c:dLbl>
            <c:dLbl>
              <c:idx val="9"/>
              <c:delete val="1"/>
            </c:dLbl>
            <c:dLbl>
              <c:idx val="10"/>
              <c:delete val="1"/>
            </c:dLbl>
            <c:dLbl>
              <c:idx val="11"/>
              <c:layout>
                <c:manualLayout>
                  <c:x val="-2.040439173738133E-2"/>
                  <c:y val="3.6075243069863899E-2"/>
                </c:manualLayout>
              </c:layout>
              <c:tx>
                <c:rich>
                  <a:bodyPr/>
                  <a:lstStyle/>
                  <a:p>
                    <a:r>
                      <a:rPr lang="en-NZ"/>
                      <a:t>40%</a:t>
                    </a:r>
                  </a:p>
                </c:rich>
              </c:tx>
              <c:dLblPos val="r"/>
            </c:dLbl>
            <c:dLbl>
              <c:idx val="12"/>
              <c:layout>
                <c:manualLayout>
                  <c:x val="-1.9858832851220965E-2"/>
                  <c:y val="3.6075243069863899E-2"/>
                </c:manualLayout>
              </c:layout>
              <c:tx>
                <c:rich>
                  <a:bodyPr/>
                  <a:lstStyle/>
                  <a:p>
                    <a:r>
                      <a:rPr lang="en-NZ"/>
                      <a:t>30%</a:t>
                    </a:r>
                  </a:p>
                </c:rich>
              </c:tx>
              <c:dLblPos val="r"/>
            </c:dLbl>
            <c:dLbl>
              <c:idx val="13"/>
              <c:delete val="1"/>
            </c:dLbl>
            <c:dLbl>
              <c:idx val="14"/>
              <c:delete val="1"/>
            </c:dLbl>
            <c:dLbl>
              <c:idx val="15"/>
              <c:layout>
                <c:manualLayout>
                  <c:x val="-1.7093634660817241E-2"/>
                  <c:y val="3.3246388755861001E-2"/>
                </c:manualLayout>
              </c:layout>
              <c:tx>
                <c:rich>
                  <a:bodyPr/>
                  <a:lstStyle/>
                  <a:p>
                    <a:r>
                      <a:rPr lang="en-NZ"/>
                      <a:t>20%</a:t>
                    </a:r>
                  </a:p>
                </c:rich>
              </c:tx>
              <c:dLblPos val="r"/>
            </c:dLbl>
            <c:dLbl>
              <c:idx val="16"/>
              <c:layout>
                <c:manualLayout>
                  <c:x val="-2.098758742837507E-2"/>
                  <c:y val="3.3246388755861001E-2"/>
                </c:manualLayout>
              </c:layout>
              <c:tx>
                <c:rich>
                  <a:bodyPr/>
                  <a:lstStyle/>
                  <a:p>
                    <a:r>
                      <a:rPr lang="en-NZ"/>
                      <a:t>10%</a:t>
                    </a:r>
                  </a:p>
                </c:rich>
              </c:tx>
              <c:dLblPos val="r"/>
            </c:dLbl>
            <c:dLbl>
              <c:idx val="17"/>
              <c:delete val="1"/>
            </c:dLbl>
            <c:spPr>
              <a:noFill/>
              <a:ln w="25400">
                <a:noFill/>
              </a:ln>
            </c:spPr>
            <c:txPr>
              <a:bodyPr rot="3600000" vert="horz"/>
              <a:lstStyle/>
              <a:p>
                <a:pPr algn="l">
                  <a:defRPr sz="1200" b="0" i="0" u="none" strike="noStrike" baseline="0">
                    <a:solidFill>
                      <a:srgbClr val="808080"/>
                    </a:solidFill>
                    <a:latin typeface="Arial"/>
                    <a:ea typeface="Arial"/>
                    <a:cs typeface="Arial"/>
                  </a:defRPr>
                </a:pPr>
                <a:endParaRPr lang="en-US"/>
              </a:p>
            </c:txPr>
            <c:dLblPos val="b"/>
            <c:showVal val="1"/>
          </c:dLbls>
          <c:xVal>
            <c:numRef>
              <c:f>Tgrid!$K$5:$K$22</c:f>
              <c:numCache>
                <c:formatCode>General</c:formatCode>
                <c:ptCount val="18"/>
                <c:pt idx="0">
                  <c:v>0.11547000000000002</c:v>
                </c:pt>
                <c:pt idx="1">
                  <c:v>5.7740000000000007E-2</c:v>
                </c:pt>
                <c:pt idx="2">
                  <c:v>0.11548000000000001</c:v>
                </c:pt>
                <c:pt idx="3">
                  <c:v>0.23094000000000003</c:v>
                </c:pt>
                <c:pt idx="4">
                  <c:v>0.34641</c:v>
                </c:pt>
                <c:pt idx="5">
                  <c:v>0.17322000000000001</c:v>
                </c:pt>
                <c:pt idx="6">
                  <c:v>0.23096000000000003</c:v>
                </c:pt>
                <c:pt idx="7">
                  <c:v>0.46188000000000007</c:v>
                </c:pt>
                <c:pt idx="8">
                  <c:v>0.57735000000000003</c:v>
                </c:pt>
                <c:pt idx="9">
                  <c:v>0.28870000000000001</c:v>
                </c:pt>
                <c:pt idx="10">
                  <c:v>0.34644000000000003</c:v>
                </c:pt>
                <c:pt idx="11">
                  <c:v>0.69281999999999999</c:v>
                </c:pt>
                <c:pt idx="12">
                  <c:v>0.80828999999999995</c:v>
                </c:pt>
                <c:pt idx="13">
                  <c:v>0.40417999999999998</c:v>
                </c:pt>
                <c:pt idx="14">
                  <c:v>0.46192000000000005</c:v>
                </c:pt>
                <c:pt idx="15">
                  <c:v>0.92376000000000014</c:v>
                </c:pt>
                <c:pt idx="16">
                  <c:v>1.0392300000000001</c:v>
                </c:pt>
                <c:pt idx="17">
                  <c:v>0.51966000000000001</c:v>
                </c:pt>
              </c:numCache>
            </c:numRef>
          </c:xVal>
          <c:yVal>
            <c:numRef>
              <c:f>Tgrid!$L$5:$L$22</c:f>
              <c:numCache>
                <c:formatCode>0.00</c:formatCode>
                <c:ptCount val="18"/>
                <c:pt idx="0">
                  <c:v>0</c:v>
                </c:pt>
                <c:pt idx="1">
                  <c:v>0.1</c:v>
                </c:pt>
                <c:pt idx="2">
                  <c:v>0.2</c:v>
                </c:pt>
                <c:pt idx="3">
                  <c:v>0</c:v>
                </c:pt>
                <c:pt idx="4">
                  <c:v>0</c:v>
                </c:pt>
                <c:pt idx="5">
                  <c:v>0.3</c:v>
                </c:pt>
                <c:pt idx="6">
                  <c:v>0.4</c:v>
                </c:pt>
                <c:pt idx="7">
                  <c:v>0</c:v>
                </c:pt>
                <c:pt idx="8">
                  <c:v>0</c:v>
                </c:pt>
                <c:pt idx="9">
                  <c:v>0.5</c:v>
                </c:pt>
                <c:pt idx="10">
                  <c:v>0.6</c:v>
                </c:pt>
                <c:pt idx="11">
                  <c:v>0</c:v>
                </c:pt>
                <c:pt idx="12">
                  <c:v>0</c:v>
                </c:pt>
                <c:pt idx="13">
                  <c:v>0.7</c:v>
                </c:pt>
                <c:pt idx="14">
                  <c:v>0.8</c:v>
                </c:pt>
                <c:pt idx="15">
                  <c:v>0</c:v>
                </c:pt>
                <c:pt idx="16">
                  <c:v>0</c:v>
                </c:pt>
                <c:pt idx="17">
                  <c:v>0.9</c:v>
                </c:pt>
              </c:numCache>
            </c:numRef>
          </c:yVal>
        </c:ser>
        <c:ser>
          <c:idx val="3"/>
          <c:order val="3"/>
          <c:tx>
            <c:v>C grid</c:v>
          </c:tx>
          <c:spPr>
            <a:ln w="3175">
              <a:solidFill>
                <a:srgbClr val="808080"/>
              </a:solidFill>
              <a:prstDash val="sysDash"/>
            </a:ln>
          </c:spPr>
          <c:marker>
            <c:symbol val="none"/>
          </c:marker>
          <c:dLbls>
            <c:dLbl>
              <c:idx val="0"/>
              <c:delete val="1"/>
            </c:dLbl>
            <c:dLbl>
              <c:idx val="1"/>
              <c:layout>
                <c:manualLayout>
                  <c:x val="-1.0715652774257784E-2"/>
                  <c:y val="-3.17162829893788E-2"/>
                </c:manualLayout>
              </c:layout>
              <c:tx>
                <c:rich>
                  <a:bodyPr/>
                  <a:lstStyle/>
                  <a:p>
                    <a:r>
                      <a:rPr lang="en-NZ"/>
                      <a:t>10%</a:t>
                    </a:r>
                  </a:p>
                </c:rich>
              </c:tx>
              <c:dLblPos val="r"/>
            </c:dLbl>
            <c:dLbl>
              <c:idx val="2"/>
              <c:layout>
                <c:manualLayout>
                  <c:x val="-1.2659599570031457E-2"/>
                  <c:y val="-3.1413202062613575E-2"/>
                </c:manualLayout>
              </c:layout>
              <c:tx>
                <c:rich>
                  <a:bodyPr/>
                  <a:lstStyle/>
                  <a:p>
                    <a:r>
                      <a:rPr lang="en-NZ"/>
                      <a:t>20%</a:t>
                    </a:r>
                  </a:p>
                </c:rich>
              </c:tx>
              <c:dLblPos val="r"/>
            </c:dLbl>
            <c:dLbl>
              <c:idx val="3"/>
              <c:delete val="1"/>
            </c:dLbl>
            <c:dLbl>
              <c:idx val="4"/>
              <c:delete val="1"/>
            </c:dLbl>
            <c:dLbl>
              <c:idx val="5"/>
              <c:layout>
                <c:manualLayout>
                  <c:x val="-1.2383790538946168E-2"/>
                  <c:y val="-3.6767829763853802E-2"/>
                </c:manualLayout>
              </c:layout>
              <c:tx>
                <c:rich>
                  <a:bodyPr/>
                  <a:lstStyle/>
                  <a:p>
                    <a:r>
                      <a:rPr lang="en-NZ"/>
                      <a:t>30%</a:t>
                    </a:r>
                  </a:p>
                </c:rich>
              </c:tx>
              <c:dLblPos val="r"/>
            </c:dLbl>
            <c:dLbl>
              <c:idx val="6"/>
              <c:layout>
                <c:manualLayout>
                  <c:x val="-1.2107981507860884E-2"/>
                  <c:y val="-3.9293603151091226E-2"/>
                </c:manualLayout>
              </c:layout>
              <c:tx>
                <c:rich>
                  <a:bodyPr/>
                  <a:lstStyle/>
                  <a:p>
                    <a:r>
                      <a:rPr lang="en-NZ"/>
                      <a:t>40%</a:t>
                    </a:r>
                  </a:p>
                </c:rich>
              </c:tx>
              <c:dLblPos val="r"/>
            </c:dLbl>
            <c:dLbl>
              <c:idx val="7"/>
              <c:delete val="1"/>
            </c:dLbl>
            <c:dLbl>
              <c:idx val="8"/>
              <c:delete val="1"/>
            </c:dLbl>
            <c:dLbl>
              <c:idx val="9"/>
              <c:layout>
                <c:manualLayout>
                  <c:x val="-1.7381562043923163E-2"/>
                  <c:y val="-4.3233655199040703E-2"/>
                </c:manualLayout>
              </c:layout>
              <c:tx>
                <c:rich>
                  <a:bodyPr/>
                  <a:lstStyle/>
                  <a:p>
                    <a:r>
                      <a:rPr lang="en-NZ"/>
                      <a:t>50%</a:t>
                    </a:r>
                  </a:p>
                </c:rich>
              </c:tx>
              <c:dLblPos val="r"/>
            </c:dLbl>
            <c:dLbl>
              <c:idx val="10"/>
              <c:layout>
                <c:manualLayout>
                  <c:x val="-1.2666241359119737E-2"/>
                  <c:y val="-4.4345001429276824E-2"/>
                </c:manualLayout>
              </c:layout>
              <c:tx>
                <c:rich>
                  <a:bodyPr/>
                  <a:lstStyle/>
                  <a:p>
                    <a:r>
                      <a:rPr lang="en-NZ"/>
                      <a:t>60%</a:t>
                    </a:r>
                  </a:p>
                </c:rich>
              </c:tx>
              <c:dLblPos val="r"/>
            </c:dLbl>
            <c:dLbl>
              <c:idx val="11"/>
              <c:delete val="1"/>
            </c:dLbl>
            <c:dLbl>
              <c:idx val="12"/>
              <c:delete val="1"/>
            </c:dLbl>
            <c:dLbl>
              <c:idx val="13"/>
              <c:layout>
                <c:manualLayout>
                  <c:x val="-1.0170793023790958E-2"/>
                  <c:y val="-4.1213066188508549E-2"/>
                </c:manualLayout>
              </c:layout>
              <c:tx>
                <c:rich>
                  <a:bodyPr/>
                  <a:lstStyle/>
                  <a:p>
                    <a:r>
                      <a:rPr lang="en-NZ"/>
                      <a:t>70%</a:t>
                    </a:r>
                  </a:p>
                </c:rich>
              </c:tx>
              <c:dLblPos val="r"/>
            </c:dLbl>
            <c:dLbl>
              <c:idx val="14"/>
              <c:layout>
                <c:manualLayout>
                  <c:x val="-1.2114739819564745E-2"/>
                  <c:y val="-4.0909985261743283E-2"/>
                </c:manualLayout>
              </c:layout>
              <c:tx>
                <c:rich>
                  <a:bodyPr/>
                  <a:lstStyle/>
                  <a:p>
                    <a:r>
                      <a:rPr lang="en-NZ"/>
                      <a:t>80%</a:t>
                    </a:r>
                  </a:p>
                </c:rich>
              </c:tx>
              <c:dLblPos val="r"/>
            </c:dLbl>
            <c:dLbl>
              <c:idx val="15"/>
              <c:delete val="1"/>
            </c:dLbl>
            <c:dLbl>
              <c:idx val="16"/>
              <c:delete val="1"/>
            </c:dLbl>
            <c:dLbl>
              <c:idx val="17"/>
              <c:layout>
                <c:manualLayout>
                  <c:x val="-1.2948808701908898E-2"/>
                  <c:y val="-4.6264612962983585E-2"/>
                </c:manualLayout>
              </c:layout>
              <c:tx>
                <c:rich>
                  <a:bodyPr/>
                  <a:lstStyle/>
                  <a:p>
                    <a:r>
                      <a:rPr lang="en-NZ"/>
                      <a:t>90%</a:t>
                    </a:r>
                  </a:p>
                </c:rich>
              </c:tx>
              <c:dLblPos val="r"/>
            </c:dLbl>
            <c:spPr>
              <a:noFill/>
              <a:ln w="25400">
                <a:noFill/>
              </a:ln>
            </c:spPr>
            <c:txPr>
              <a:bodyPr rot="-3600000" vert="horz"/>
              <a:lstStyle/>
              <a:p>
                <a:pPr algn="l">
                  <a:defRPr sz="1200" b="0" i="0" u="none" strike="noStrike" baseline="0">
                    <a:solidFill>
                      <a:srgbClr val="808080"/>
                    </a:solidFill>
                    <a:latin typeface="Arial"/>
                    <a:ea typeface="Arial"/>
                    <a:cs typeface="Arial"/>
                  </a:defRPr>
                </a:pPr>
                <a:endParaRPr lang="en-US"/>
              </a:p>
            </c:txPr>
            <c:dLblPos val="r"/>
            <c:showVal val="1"/>
          </c:dLbls>
          <c:xVal>
            <c:numRef>
              <c:f>Tgrid!$P$5:$P$22</c:f>
              <c:numCache>
                <c:formatCode>General</c:formatCode>
                <c:ptCount val="18"/>
                <c:pt idx="0">
                  <c:v>0.11547000000000002</c:v>
                </c:pt>
                <c:pt idx="1">
                  <c:v>0.63512999999999997</c:v>
                </c:pt>
                <c:pt idx="2">
                  <c:v>0.69286000000000003</c:v>
                </c:pt>
                <c:pt idx="3">
                  <c:v>0.23094000000000003</c:v>
                </c:pt>
                <c:pt idx="4">
                  <c:v>0.34641</c:v>
                </c:pt>
                <c:pt idx="5">
                  <c:v>0.75058999999999998</c:v>
                </c:pt>
                <c:pt idx="6">
                  <c:v>0.80832000000000015</c:v>
                </c:pt>
                <c:pt idx="7">
                  <c:v>0.46188000000000007</c:v>
                </c:pt>
                <c:pt idx="8">
                  <c:v>0.57735000000000003</c:v>
                </c:pt>
                <c:pt idx="9">
                  <c:v>0.86604999999999999</c:v>
                </c:pt>
                <c:pt idx="10">
                  <c:v>0.92378000000000005</c:v>
                </c:pt>
                <c:pt idx="11">
                  <c:v>0.69281999999999999</c:v>
                </c:pt>
                <c:pt idx="12">
                  <c:v>0.80828999999999995</c:v>
                </c:pt>
                <c:pt idx="13">
                  <c:v>0.98150999999999999</c:v>
                </c:pt>
                <c:pt idx="14">
                  <c:v>1.0392400000000002</c:v>
                </c:pt>
                <c:pt idx="15">
                  <c:v>0.92376000000000014</c:v>
                </c:pt>
                <c:pt idx="16">
                  <c:v>1.0392300000000001</c:v>
                </c:pt>
                <c:pt idx="17">
                  <c:v>1.09697</c:v>
                </c:pt>
              </c:numCache>
            </c:numRef>
          </c:xVal>
          <c:yVal>
            <c:numRef>
              <c:f>Tgrid!$Q$5:$Q$22</c:f>
              <c:numCache>
                <c:formatCode>0.00</c:formatCode>
                <c:ptCount val="18"/>
                <c:pt idx="0">
                  <c:v>0</c:v>
                </c:pt>
                <c:pt idx="1">
                  <c:v>0.9</c:v>
                </c:pt>
                <c:pt idx="2">
                  <c:v>0.8</c:v>
                </c:pt>
                <c:pt idx="3">
                  <c:v>0</c:v>
                </c:pt>
                <c:pt idx="4">
                  <c:v>0</c:v>
                </c:pt>
                <c:pt idx="5">
                  <c:v>0.7</c:v>
                </c:pt>
                <c:pt idx="6">
                  <c:v>0.6</c:v>
                </c:pt>
                <c:pt idx="7">
                  <c:v>0</c:v>
                </c:pt>
                <c:pt idx="8">
                  <c:v>0</c:v>
                </c:pt>
                <c:pt idx="9">
                  <c:v>0.5</c:v>
                </c:pt>
                <c:pt idx="10">
                  <c:v>0.4</c:v>
                </c:pt>
                <c:pt idx="11">
                  <c:v>0</c:v>
                </c:pt>
                <c:pt idx="12">
                  <c:v>0</c:v>
                </c:pt>
                <c:pt idx="13">
                  <c:v>0.3</c:v>
                </c:pt>
                <c:pt idx="14">
                  <c:v>0.2</c:v>
                </c:pt>
                <c:pt idx="15">
                  <c:v>0</c:v>
                </c:pt>
                <c:pt idx="16">
                  <c:v>0</c:v>
                </c:pt>
                <c:pt idx="17">
                  <c:v>0.1</c:v>
                </c:pt>
              </c:numCache>
            </c:numRef>
          </c:yVal>
        </c:ser>
        <c:ser>
          <c:idx val="6"/>
          <c:order val="4"/>
          <c:tx>
            <c:v>Granite trend</c:v>
          </c:tx>
          <c:spPr>
            <a:ln w="25400">
              <a:solidFill>
                <a:srgbClr val="993366"/>
              </a:solidFill>
              <a:prstDash val="lgDash"/>
            </a:ln>
          </c:spPr>
          <c:marker>
            <c:symbol val="none"/>
          </c:marker>
          <c:xVal>
            <c:numRef>
              <c:f>Ref!$AD$13:$AD$14</c:f>
              <c:numCache>
                <c:formatCode>0.000</c:formatCode>
                <c:ptCount val="2"/>
                <c:pt idx="0">
                  <c:v>0</c:v>
                </c:pt>
                <c:pt idx="1">
                  <c:v>0.89812222222222227</c:v>
                </c:pt>
              </c:numCache>
            </c:numRef>
          </c:xVal>
          <c:yVal>
            <c:numRef>
              <c:f>Ref!$AE$13:$AE$14</c:f>
              <c:numCache>
                <c:formatCode>0.000</c:formatCode>
                <c:ptCount val="2"/>
                <c:pt idx="0">
                  <c:v>0</c:v>
                </c:pt>
                <c:pt idx="1">
                  <c:v>0.44444444444444442</c:v>
                </c:pt>
              </c:numCache>
            </c:numRef>
          </c:yVal>
        </c:ser>
        <c:ser>
          <c:idx val="7"/>
          <c:order val="5"/>
          <c:tx>
            <c:v>basalt trend</c:v>
          </c:tx>
          <c:spPr>
            <a:ln w="25400">
              <a:solidFill>
                <a:srgbClr val="993366"/>
              </a:solidFill>
              <a:prstDash val="lgDash"/>
            </a:ln>
          </c:spPr>
          <c:marker>
            <c:symbol val="none"/>
          </c:marker>
          <c:xVal>
            <c:numRef>
              <c:f>Ref!$AD$15:$AD$16</c:f>
              <c:numCache>
                <c:formatCode>0.000</c:formatCode>
                <c:ptCount val="2"/>
                <c:pt idx="0">
                  <c:v>0</c:v>
                </c:pt>
                <c:pt idx="1">
                  <c:v>0.71485238095238091</c:v>
                </c:pt>
              </c:numCache>
            </c:numRef>
          </c:xVal>
          <c:yVal>
            <c:numRef>
              <c:f>Ref!$AE$15:$AE$16</c:f>
              <c:numCache>
                <c:formatCode>0.000</c:formatCode>
                <c:ptCount val="2"/>
                <c:pt idx="0">
                  <c:v>0</c:v>
                </c:pt>
                <c:pt idx="1">
                  <c:v>0.76190476190476186</c:v>
                </c:pt>
              </c:numCache>
            </c:numRef>
          </c:yVal>
        </c:ser>
        <c:ser>
          <c:idx val="5"/>
          <c:order val="6"/>
          <c:tx>
            <c:v>Rocks</c:v>
          </c:tx>
          <c:spPr>
            <a:ln w="28575">
              <a:noFill/>
            </a:ln>
          </c:spPr>
          <c:marker>
            <c:symbol val="square"/>
            <c:size val="6"/>
            <c:spPr>
              <a:solidFill>
                <a:srgbClr val="C0C0C0"/>
              </a:solidFill>
              <a:ln>
                <a:solidFill>
                  <a:srgbClr val="800000"/>
                </a:solidFill>
                <a:prstDash val="solid"/>
              </a:ln>
            </c:spPr>
          </c:marker>
          <c:dLbls>
            <c:dLbl>
              <c:idx val="0"/>
              <c:layout/>
              <c:tx>
                <c:strRef>
                  <c:f>Ref!$B$4</c:f>
                  <c:strCache>
                    <c:ptCount val="1"/>
                    <c:pt idx="0">
                      <c:v>Granite</c:v>
                    </c:pt>
                  </c:strCache>
                </c:strRef>
              </c:tx>
            </c:dLbl>
            <c:dLbl>
              <c:idx val="1"/>
              <c:tx>
                <c:strRef>
                  <c:f>Input!#REF!</c:f>
                  <c:strCache>
                    <c:ptCount val="1"/>
                    <c:pt idx="0">
                      <c:v>#REF!</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
            <c:dLbl>
              <c:idx val="2"/>
              <c:layout/>
              <c:tx>
                <c:strRef>
                  <c:f>Ref!$B$6</c:f>
                  <c:strCache>
                    <c:ptCount val="1"/>
                    <c:pt idx="0">
                      <c:v>Basalt</c:v>
                    </c:pt>
                  </c:strCache>
                </c:strRef>
              </c:tx>
            </c:dLbl>
            <c:dLbl>
              <c:idx val="6"/>
              <c:layout/>
              <c:tx>
                <c:strRef>
                  <c:f>Ref!$B$10</c:f>
                  <c:strCache>
                    <c:ptCount val="1"/>
                    <c:pt idx="0">
                      <c:v>Shale</c:v>
                    </c:pt>
                  </c:strCache>
                </c:strRef>
              </c:tx>
            </c:dLbl>
            <c:dLbl>
              <c:idx val="7"/>
              <c:layout/>
              <c:tx>
                <c:strRef>
                  <c:f>Ref!$B$11</c:f>
                  <c:strCache>
                    <c:ptCount val="1"/>
                    <c:pt idx="0">
                      <c:v>Seawater</c:v>
                    </c:pt>
                  </c:strCache>
                </c:strRef>
              </c:tx>
            </c:dLbl>
            <c:spPr>
              <a:noFill/>
              <a:ln w="25400">
                <a:noFill/>
              </a:ln>
            </c:spPr>
            <c:txPr>
              <a:bodyPr/>
              <a:lstStyle/>
              <a:p>
                <a:pPr>
                  <a:defRPr sz="1200" b="1" i="0" u="none" strike="noStrike" baseline="0">
                    <a:solidFill>
                      <a:srgbClr val="808080"/>
                    </a:solidFill>
                    <a:latin typeface="Arial"/>
                    <a:ea typeface="Arial"/>
                    <a:cs typeface="Arial"/>
                  </a:defRPr>
                </a:pPr>
                <a:endParaRPr lang="en-US"/>
              </a:p>
            </c:txPr>
            <c:showVal val="1"/>
          </c:dLbls>
          <c:xVal>
            <c:numRef>
              <c:f>Ref!$AD$4:$AD$11</c:f>
              <c:numCache>
                <c:formatCode>0.000</c:formatCode>
                <c:ptCount val="8"/>
                <c:pt idx="0">
                  <c:v>0.11714637681159421</c:v>
                </c:pt>
                <c:pt idx="2">
                  <c:v>0.10646737588652483</c:v>
                </c:pt>
                <c:pt idx="6">
                  <c:v>9.923593750000001E-2</c:v>
                </c:pt>
                <c:pt idx="7">
                  <c:v>0.15867404580152672</c:v>
                </c:pt>
              </c:numCache>
            </c:numRef>
          </c:xVal>
          <c:yVal>
            <c:numRef>
              <c:f>Ref!$AE$4:$AE$11</c:f>
              <c:numCache>
                <c:formatCode>0.000</c:formatCode>
                <c:ptCount val="8"/>
                <c:pt idx="0">
                  <c:v>5.7971014492753624E-2</c:v>
                </c:pt>
                <c:pt idx="2">
                  <c:v>0.11347517730496454</c:v>
                </c:pt>
                <c:pt idx="6">
                  <c:v>7.8125E-2</c:v>
                </c:pt>
                <c:pt idx="7">
                  <c:v>0.25954198473282442</c:v>
                </c:pt>
              </c:numCache>
            </c:numRef>
          </c:yVal>
        </c:ser>
        <c:ser>
          <c:idx val="4"/>
          <c:order val="7"/>
          <c:tx>
            <c:v>data</c:v>
          </c:tx>
          <c:spPr>
            <a:ln w="28575">
              <a:noFill/>
            </a:ln>
          </c:spPr>
          <c:marker>
            <c:symbol val="diamond"/>
            <c:size val="7"/>
            <c:spPr>
              <a:solidFill>
                <a:srgbClr val="800080"/>
              </a:solidFill>
              <a:ln>
                <a:solidFill>
                  <a:srgbClr val="800080"/>
                </a:solidFill>
                <a:prstDash val="solid"/>
              </a:ln>
            </c:spPr>
          </c:marker>
          <c:dLbls>
            <c:dLbl>
              <c:idx val="0"/>
              <c:layout/>
              <c:tx>
                <c:strRef>
                  <c:f>Input!$AH$8</c:f>
                  <c:strCache>
                    <c:ptCount val="1"/>
                    <c:pt idx="0">
                      <c:v>WK</c:v>
                    </c:pt>
                  </c:strCache>
                </c:strRef>
              </c:tx>
              <c:dLblPos val="t"/>
            </c:dLbl>
            <c:dLbl>
              <c:idx val="1"/>
              <c:layout/>
              <c:tx>
                <c:strRef>
                  <c:f>Input!$AH$9</c:f>
                  <c:strCache>
                    <c:ptCount val="1"/>
                    <c:pt idx="0">
                      <c:v>wk</c:v>
                    </c:pt>
                  </c:strCache>
                </c:strRef>
              </c:tx>
              <c:dLblPos val="t"/>
            </c:dLbl>
            <c:dLbl>
              <c:idx val="2"/>
              <c:layout/>
              <c:tx>
                <c:strRef>
                  <c:f>Input!$AH$10</c:f>
                  <c:strCache>
                    <c:ptCount val="1"/>
                    <c:pt idx="0">
                      <c:v>NG</c:v>
                    </c:pt>
                  </c:strCache>
                </c:strRef>
              </c:tx>
              <c:dLblPos val="t"/>
            </c:dLbl>
            <c:dLbl>
              <c:idx val="3"/>
              <c:layout/>
              <c:tx>
                <c:strRef>
                  <c:f>Input!$AH$11</c:f>
                  <c:strCache>
                    <c:ptCount val="1"/>
                    <c:pt idx="0">
                      <c:v>ng</c:v>
                    </c:pt>
                  </c:strCache>
                </c:strRef>
              </c:tx>
              <c:dLblPos val="t"/>
            </c:dLbl>
            <c:dLbl>
              <c:idx val="4"/>
              <c:layout/>
              <c:tx>
                <c:strRef>
                  <c:f>Input!$AH$12</c:f>
                  <c:strCache>
                    <c:ptCount val="1"/>
                    <c:pt idx="0">
                      <c:v>ZU</c:v>
                    </c:pt>
                  </c:strCache>
                </c:strRef>
              </c:tx>
              <c:dLblPos val="t"/>
            </c:dLbl>
            <c:dLbl>
              <c:idx val="5"/>
              <c:layout/>
              <c:tx>
                <c:strRef>
                  <c:f>Input!$AH$13</c:f>
                  <c:strCache>
                    <c:ptCount val="1"/>
                    <c:pt idx="0">
                      <c:v>zu</c:v>
                    </c:pt>
                  </c:strCache>
                </c:strRef>
              </c:tx>
              <c:dLblPos val="t"/>
            </c:dLbl>
            <c:dLbl>
              <c:idx val="6"/>
              <c:layout/>
              <c:tx>
                <c:strRef>
                  <c:f>Input!$AH$14</c:f>
                  <c:strCache>
                    <c:ptCount val="1"/>
                    <c:pt idx="0">
                      <c:v>MV</c:v>
                    </c:pt>
                  </c:strCache>
                </c:strRef>
              </c:tx>
              <c:dLblPos val="t"/>
            </c:dLbl>
            <c:dLbl>
              <c:idx val="7"/>
              <c:layout/>
              <c:tx>
                <c:strRef>
                  <c:f>Input!$AH$15</c:f>
                  <c:strCache>
                    <c:ptCount val="1"/>
                    <c:pt idx="0">
                      <c:v>mv</c:v>
                    </c:pt>
                  </c:strCache>
                </c:strRef>
              </c:tx>
              <c:dLblPos val="t"/>
            </c:dLbl>
            <c:dLbl>
              <c:idx val="8"/>
              <c:layout/>
              <c:tx>
                <c:strRef>
                  <c:f>Input!$AH$16</c:f>
                  <c:strCache>
                    <c:ptCount val="1"/>
                    <c:pt idx="0">
                      <c:v>ra</c:v>
                    </c:pt>
                  </c:strCache>
                </c:strRef>
              </c:tx>
              <c:dLblPos val="t"/>
            </c:dLbl>
            <c:dLbl>
              <c:idx val="9"/>
              <c:layout/>
              <c:tx>
                <c:strRef>
                  <c:f>Input!$AH$17</c:f>
                  <c:strCache>
                    <c:ptCount val="1"/>
                    <c:pt idx="0">
                      <c:v>rb</c:v>
                    </c:pt>
                  </c:strCache>
                </c:strRef>
              </c:tx>
              <c:dLblPos val="t"/>
            </c:dLbl>
            <c:dLbl>
              <c:idx val="10"/>
              <c:layout/>
              <c:tx>
                <c:strRef>
                  <c:f>Input!$AH$18</c:f>
                  <c:strCache>
                    <c:ptCount val="1"/>
                    <c:pt idx="0">
                      <c:v>ar</c:v>
                    </c:pt>
                  </c:strCache>
                </c:strRef>
              </c:tx>
              <c:dLblPos val="t"/>
            </c:dLbl>
            <c:dLbl>
              <c:idx val="11"/>
              <c:layout/>
              <c:tx>
                <c:strRef>
                  <c:f>Input!$AH$19</c:f>
                  <c:strCache>
                    <c:ptCount val="1"/>
                    <c:pt idx="0">
                      <c:v>ma</c:v>
                    </c:pt>
                  </c:strCache>
                </c:strRef>
              </c:tx>
              <c:dLblPos val="t"/>
            </c:dLbl>
            <c:dLbl>
              <c:idx val="12"/>
              <c:layout/>
              <c:tx>
                <c:strRef>
                  <c:f>Input!$AH$20</c:f>
                  <c:strCache>
                    <c:ptCount val="1"/>
                    <c:pt idx="0">
                      <c:v>fn</c:v>
                    </c:pt>
                  </c:strCache>
                </c:strRef>
              </c:tx>
              <c:dLblPos val="t"/>
            </c:dLbl>
            <c:dLbl>
              <c:idx val="13"/>
              <c:layout/>
              <c:tx>
                <c:strRef>
                  <c:f>Input!$AH$21</c:f>
                  <c:strCache>
                    <c:ptCount val="1"/>
                    <c:pt idx="0">
                      <c:v>pr</c:v>
                    </c:pt>
                  </c:strCache>
                </c:strRef>
              </c:tx>
              <c:dLblPos val="t"/>
            </c:dLbl>
            <c:dLbl>
              <c:idx val="14"/>
              <c:layout/>
              <c:tx>
                <c:strRef>
                  <c:f>Input!$AH$22</c:f>
                  <c:strCache>
                    <c:ptCount val="1"/>
                    <c:pt idx="0">
                      <c:v>ya</c:v>
                    </c:pt>
                  </c:strCache>
                </c:strRef>
              </c:tx>
              <c:dLblPos val="t"/>
            </c:dLbl>
            <c:dLbl>
              <c:idx val="15"/>
              <c:layout/>
              <c:tx>
                <c:strRef>
                  <c:f>Input!$AH$23</c:f>
                  <c:strCache>
                    <c:ptCount val="1"/>
                    <c:pt idx="0">
                      <c:v>ln</c:v>
                    </c:pt>
                  </c:strCache>
                </c:strRef>
              </c:tx>
              <c:dLblPos val="t"/>
            </c:dLbl>
            <c:dLbl>
              <c:idx val="16"/>
              <c:layout/>
              <c:tx>
                <c:strRef>
                  <c:f>Input!$AH$24</c:f>
                  <c:strCache>
                    <c:ptCount val="1"/>
                    <c:pt idx="0">
                      <c:v>ws</c:v>
                    </c:pt>
                  </c:strCache>
                </c:strRef>
              </c:tx>
              <c:dLblPos val="t"/>
            </c:dLbl>
            <c:dLbl>
              <c:idx val="17"/>
              <c:layout/>
              <c:tx>
                <c:strRef>
                  <c:f>Input!$AH$25</c:f>
                  <c:strCache>
                    <c:ptCount val="1"/>
                    <c:pt idx="0">
                      <c:v>mo</c:v>
                    </c:pt>
                  </c:strCache>
                </c:strRef>
              </c:tx>
              <c:dLblPos val="t"/>
            </c:dLbl>
            <c:dLbl>
              <c:idx val="18"/>
              <c:layout/>
              <c:tx>
                <c:strRef>
                  <c:f>Input!$AH$26</c:f>
                  <c:strCache>
                    <c:ptCount val="1"/>
                    <c:pt idx="0">
                      <c:v>MU</c:v>
                    </c:pt>
                  </c:strCache>
                </c:strRef>
              </c:tx>
              <c:dLblPos val="t"/>
            </c:dLbl>
            <c:dLbl>
              <c:idx val="19"/>
              <c:layout/>
              <c:tx>
                <c:strRef>
                  <c:f>Input!$AH$27</c:f>
                  <c:strCache>
                    <c:ptCount val="1"/>
                    <c:pt idx="0">
                      <c:v>wi</c:v>
                    </c:pt>
                  </c:strCache>
                </c:strRef>
              </c:tx>
              <c:dLblPos val="t"/>
            </c:dLbl>
            <c:dLbl>
              <c:idx val="20"/>
              <c:tx>
                <c:strRef>
                  <c:f>Input!$AH$28</c:f>
                  <c:strCache>
                    <c:ptCount val="1"/>
                  </c:strCache>
                </c:strRef>
              </c:tx>
              <c:dLblPos val="t"/>
            </c:dLbl>
            <c:dLbl>
              <c:idx val="21"/>
              <c:tx>
                <c:strRef>
                  <c:f>Input!$AH$29</c:f>
                  <c:strCache>
                    <c:ptCount val="1"/>
                  </c:strCache>
                </c:strRef>
              </c:tx>
              <c:dLblPos val="t"/>
            </c:dLbl>
            <c:dLbl>
              <c:idx val="22"/>
              <c:tx>
                <c:strRef>
                  <c:f>Input!$AH$30</c:f>
                  <c:strCache>
                    <c:ptCount val="1"/>
                  </c:strCache>
                </c:strRef>
              </c:tx>
              <c:dLblPos val="t"/>
            </c:dLbl>
            <c:dLbl>
              <c:idx val="23"/>
              <c:tx>
                <c:strRef>
                  <c:f>Input!$AH$31</c:f>
                  <c:strCache>
                    <c:ptCount val="1"/>
                  </c:strCache>
                </c:strRef>
              </c:tx>
              <c:dLblPos val="t"/>
            </c:dLbl>
            <c:dLbl>
              <c:idx val="24"/>
              <c:tx>
                <c:strRef>
                  <c:f>Input!$AH$32</c:f>
                  <c:strCache>
                    <c:ptCount val="1"/>
                  </c:strCache>
                </c:strRef>
              </c:tx>
              <c:dLblPos val="t"/>
            </c:dLbl>
            <c:dLbl>
              <c:idx val="25"/>
              <c:tx>
                <c:strRef>
                  <c:f>Input!$AH$33</c:f>
                  <c:strCache>
                    <c:ptCount val="1"/>
                  </c:strCache>
                </c:strRef>
              </c:tx>
              <c:dLblPos val="t"/>
            </c:dLbl>
            <c:dLbl>
              <c:idx val="26"/>
              <c:tx>
                <c:strRef>
                  <c:f>Input!$AH$34</c:f>
                  <c:strCache>
                    <c:ptCount val="1"/>
                  </c:strCache>
                </c:strRef>
              </c:tx>
              <c:dLblPos val="t"/>
            </c:dLbl>
            <c:dLbl>
              <c:idx val="27"/>
              <c:tx>
                <c:strRef>
                  <c:f>Input!$AH$35</c:f>
                  <c:strCache>
                    <c:ptCount val="1"/>
                  </c:strCache>
                </c:strRef>
              </c:tx>
              <c:dLblPos val="t"/>
            </c:dLbl>
            <c:dLbl>
              <c:idx val="28"/>
              <c:tx>
                <c:strRef>
                  <c:f>Input!$AH$36</c:f>
                  <c:strCache>
                    <c:ptCount val="1"/>
                  </c:strCache>
                </c:strRef>
              </c:tx>
              <c:dLblPos val="t"/>
            </c:dLbl>
            <c:dLbl>
              <c:idx val="29"/>
              <c:tx>
                <c:strRef>
                  <c:f>Input!$AH$37</c:f>
                  <c:strCache>
                    <c:ptCount val="1"/>
                  </c:strCache>
                </c:strRef>
              </c:tx>
              <c:dLblPos val="t"/>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Val val="1"/>
          </c:dLbls>
          <c:xVal>
            <c:numRef>
              <c:f>Input!$CD$8:$CD$37</c:f>
              <c:numCache>
                <c:formatCode>0.000</c:formatCode>
                <c:ptCount val="30"/>
                <c:pt idx="0">
                  <c:v>0.7410678481012658</c:v>
                </c:pt>
                <c:pt idx="1">
                  <c:v>0.72977628635346747</c:v>
                </c:pt>
                <c:pt idx="2">
                  <c:v>0.76295459183673464</c:v>
                </c:pt>
                <c:pt idx="3">
                  <c:v>0.73651252847380411</c:v>
                </c:pt>
                <c:pt idx="4">
                  <c:v>0.77789747899159667</c:v>
                </c:pt>
                <c:pt idx="5">
                  <c:v>0.51551785714285714</c:v>
                </c:pt>
                <c:pt idx="6">
                  <c:v>0.64272830188679242</c:v>
                </c:pt>
                <c:pt idx="7">
                  <c:v>0.63470567375886522</c:v>
                </c:pt>
                <c:pt idx="8">
                  <c:v>0.29133027522935778</c:v>
                </c:pt>
                <c:pt idx="9">
                  <c:v>0.76415522875816988</c:v>
                </c:pt>
                <c:pt idx="10">
                  <c:v>0.85776024590163924</c:v>
                </c:pt>
                <c:pt idx="11">
                  <c:v>0.72170624999999999</c:v>
                </c:pt>
                <c:pt idx="12">
                  <c:v>0.91011576354679802</c:v>
                </c:pt>
                <c:pt idx="13">
                  <c:v>0.36723498233215546</c:v>
                </c:pt>
                <c:pt idx="14">
                  <c:v>0.17245714285714289</c:v>
                </c:pt>
                <c:pt idx="15">
                  <c:v>0.48113888888888884</c:v>
                </c:pt>
                <c:pt idx="16">
                  <c:v>0.63023591549295777</c:v>
                </c:pt>
                <c:pt idx="17">
                  <c:v>0.53615634920634925</c:v>
                </c:pt>
                <c:pt idx="18">
                  <c:v>0.41469613259668514</c:v>
                </c:pt>
                <c:pt idx="19">
                  <c:v>0.20752241992882559</c:v>
                </c:pt>
                <c:pt idx="20">
                  <c:v>0</c:v>
                </c:pt>
                <c:pt idx="21">
                  <c:v>0</c:v>
                </c:pt>
                <c:pt idx="22">
                  <c:v>0</c:v>
                </c:pt>
                <c:pt idx="23">
                  <c:v>0</c:v>
                </c:pt>
                <c:pt idx="24">
                  <c:v>0</c:v>
                </c:pt>
                <c:pt idx="25">
                  <c:v>0</c:v>
                </c:pt>
                <c:pt idx="26">
                  <c:v>0</c:v>
                </c:pt>
                <c:pt idx="27">
                  <c:v>0</c:v>
                </c:pt>
                <c:pt idx="28">
                  <c:v>0</c:v>
                </c:pt>
                <c:pt idx="29">
                  <c:v>0</c:v>
                </c:pt>
              </c:numCache>
            </c:numRef>
          </c:xVal>
          <c:yVal>
            <c:numRef>
              <c:f>Input!$CE$8:$CE$37</c:f>
              <c:numCache>
                <c:formatCode>0.000</c:formatCode>
                <c:ptCount val="30"/>
                <c:pt idx="0">
                  <c:v>0.27088607594936709</c:v>
                </c:pt>
                <c:pt idx="1">
                  <c:v>0.32438478747203575</c:v>
                </c:pt>
                <c:pt idx="2">
                  <c:v>0.55612244897959184</c:v>
                </c:pt>
                <c:pt idx="3">
                  <c:v>0.592255125284738</c:v>
                </c:pt>
                <c:pt idx="4">
                  <c:v>0.22689075630252098</c:v>
                </c:pt>
                <c:pt idx="5">
                  <c:v>0.5357142857142857</c:v>
                </c:pt>
                <c:pt idx="6">
                  <c:v>0.35849056603773582</c:v>
                </c:pt>
                <c:pt idx="7">
                  <c:v>0.60283687943262398</c:v>
                </c:pt>
                <c:pt idx="8">
                  <c:v>0.13761467889908255</c:v>
                </c:pt>
                <c:pt idx="9">
                  <c:v>0.31045751633986929</c:v>
                </c:pt>
                <c:pt idx="10">
                  <c:v>0.33811475409836056</c:v>
                </c:pt>
                <c:pt idx="11">
                  <c:v>0.37499999999999994</c:v>
                </c:pt>
                <c:pt idx="12">
                  <c:v>0.14778325123152708</c:v>
                </c:pt>
                <c:pt idx="13">
                  <c:v>0.31802120141342755</c:v>
                </c:pt>
                <c:pt idx="14">
                  <c:v>3.896103896103896E-2</c:v>
                </c:pt>
                <c:pt idx="15">
                  <c:v>0.27777777777777773</c:v>
                </c:pt>
                <c:pt idx="16">
                  <c:v>0.59859154929577452</c:v>
                </c:pt>
                <c:pt idx="17">
                  <c:v>0.91269841269841268</c:v>
                </c:pt>
                <c:pt idx="18">
                  <c:v>0.49723756906077354</c:v>
                </c:pt>
                <c:pt idx="19">
                  <c:v>0.10320284697508895</c:v>
                </c:pt>
                <c:pt idx="20">
                  <c:v>-1</c:v>
                </c:pt>
                <c:pt idx="21">
                  <c:v>-1</c:v>
                </c:pt>
                <c:pt idx="22">
                  <c:v>-1</c:v>
                </c:pt>
                <c:pt idx="23">
                  <c:v>-1</c:v>
                </c:pt>
                <c:pt idx="24">
                  <c:v>-1</c:v>
                </c:pt>
                <c:pt idx="25">
                  <c:v>-1</c:v>
                </c:pt>
                <c:pt idx="26">
                  <c:v>-1</c:v>
                </c:pt>
                <c:pt idx="27">
                  <c:v>-1</c:v>
                </c:pt>
                <c:pt idx="28">
                  <c:v>-1</c:v>
                </c:pt>
                <c:pt idx="29">
                  <c:v>-1</c:v>
                </c:pt>
              </c:numCache>
            </c:numRef>
          </c:yVal>
        </c:ser>
        <c:axId val="102613376"/>
        <c:axId val="102614912"/>
      </c:scatterChart>
      <c:valAx>
        <c:axId val="102613376"/>
        <c:scaling>
          <c:orientation val="minMax"/>
          <c:max val="1.4"/>
          <c:min val="-0.2"/>
        </c:scaling>
        <c:delete val="1"/>
        <c:axPos val="b"/>
        <c:numFmt formatCode="General" sourceLinked="1"/>
        <c:tickLblPos val="none"/>
        <c:crossAx val="102614912"/>
        <c:crosses val="autoZero"/>
        <c:crossBetween val="midCat"/>
      </c:valAx>
      <c:valAx>
        <c:axId val="102614912"/>
        <c:scaling>
          <c:orientation val="minMax"/>
          <c:max val="1.2"/>
          <c:min val="-0.2"/>
        </c:scaling>
        <c:delete val="1"/>
        <c:axPos val="l"/>
        <c:numFmt formatCode="General" sourceLinked="1"/>
        <c:tickLblPos val="none"/>
        <c:crossAx val="102613376"/>
        <c:crosses val="autoZero"/>
        <c:crossBetween val="midCat"/>
      </c:valAx>
      <c:spPr>
        <a:noFill/>
        <a:ln w="25400">
          <a:noFill/>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2208657047724751E-2"/>
          <c:y val="1.9801980198019833E-2"/>
          <c:w val="0.94894561598224192"/>
          <c:h val="0.96605374823196521"/>
        </c:manualLayout>
      </c:layout>
      <c:scatterChart>
        <c:scatterStyle val="lineMarker"/>
        <c:ser>
          <c:idx val="0"/>
          <c:order val="0"/>
          <c:tx>
            <c:v>border</c:v>
          </c:tx>
          <c:spPr>
            <a:ln w="38100">
              <a:solidFill>
                <a:srgbClr val="000000"/>
              </a:solidFill>
              <a:prstDash val="solid"/>
            </a:ln>
          </c:spPr>
          <c:marker>
            <c:symbol val="none"/>
          </c:marker>
          <c:dLbls>
            <c:dLbl>
              <c:idx val="0"/>
              <c:delete val="1"/>
            </c:dLbl>
            <c:dLbl>
              <c:idx val="1"/>
              <c:layout/>
              <c:tx>
                <c:strRef>
                  <c:f>Input!$BV$7</c:f>
                  <c:strCache>
                    <c:ptCount val="1"/>
                    <c:pt idx="0">
                      <c:v>Cl</c:v>
                    </c:pt>
                  </c:strCache>
                </c:strRef>
              </c:tx>
              <c:spPr>
                <a:noFill/>
                <a:ln w="25400">
                  <a:noFill/>
                </a:ln>
              </c:spPr>
              <c:txPr>
                <a:bodyPr/>
                <a:lstStyle/>
                <a:p>
                  <a:pPr algn="l">
                    <a:defRPr sz="1600" b="1" i="0" u="none" strike="noStrike" baseline="0">
                      <a:solidFill>
                        <a:srgbClr val="000000"/>
                      </a:solidFill>
                      <a:latin typeface="Arial"/>
                      <a:ea typeface="Arial"/>
                      <a:cs typeface="Arial"/>
                    </a:defRPr>
                  </a:pPr>
                  <a:endParaRPr lang="en-US"/>
                </a:p>
              </c:txPr>
              <c:dLblPos val="t"/>
            </c:dLbl>
            <c:dLbl>
              <c:idx val="2"/>
              <c:layout/>
              <c:tx>
                <c:strRef>
                  <c:f>Input!$BX$7</c:f>
                  <c:strCache>
                    <c:ptCount val="1"/>
                    <c:pt idx="0">
                      <c:v>25 B</c:v>
                    </c:pt>
                  </c:strCache>
                </c:strRef>
              </c:tx>
              <c:spPr>
                <a:noFill/>
                <a:ln w="25400">
                  <a:noFill/>
                </a:ln>
              </c:spPr>
              <c:txPr>
                <a:bodyPr/>
                <a:lstStyle/>
                <a:p>
                  <a:pPr algn="l">
                    <a:defRPr sz="1600" b="1" i="0" u="none" strike="noStrike" baseline="0">
                      <a:solidFill>
                        <a:srgbClr val="000000"/>
                      </a:solidFill>
                      <a:latin typeface="Arial"/>
                      <a:ea typeface="Arial"/>
                      <a:cs typeface="Arial"/>
                    </a:defRPr>
                  </a:pPr>
                  <a:endParaRPr lang="en-US"/>
                </a:p>
              </c:txPr>
            </c:dLbl>
            <c:dLbl>
              <c:idx val="3"/>
              <c:layout/>
              <c:tx>
                <c:strRef>
                  <c:f>Input!$BW$7</c:f>
                  <c:strCache>
                    <c:ptCount val="1"/>
                    <c:pt idx="0">
                      <c:v>100 Li</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dLblPos val="l"/>
            </c:dLbl>
            <c:spPr>
              <a:noFill/>
              <a:ln w="25400">
                <a:noFill/>
              </a:ln>
            </c:spPr>
            <c:txPr>
              <a:bodyPr/>
              <a:lstStyle/>
              <a:p>
                <a:pPr algn="l">
                  <a:defRPr sz="1600" b="0" i="0" u="none" strike="noStrike" baseline="0">
                    <a:solidFill>
                      <a:srgbClr val="000000"/>
                    </a:solidFill>
                    <a:latin typeface="Arial"/>
                    <a:ea typeface="Arial"/>
                    <a:cs typeface="Arial"/>
                  </a:defRPr>
                </a:pPr>
                <a:endParaRPr lang="en-US"/>
              </a:p>
            </c:txPr>
            <c:showVal val="1"/>
          </c:dLbls>
          <c:xVal>
            <c:numRef>
              <c:f>Tgrid!$A$5:$A$8</c:f>
              <c:numCache>
                <c:formatCode>General</c:formatCode>
                <c:ptCount val="4"/>
                <c:pt idx="0">
                  <c:v>0</c:v>
                </c:pt>
                <c:pt idx="1">
                  <c:v>0.57740000000000002</c:v>
                </c:pt>
                <c:pt idx="2">
                  <c:v>1.1547000000000001</c:v>
                </c:pt>
                <c:pt idx="3">
                  <c:v>0</c:v>
                </c:pt>
              </c:numCache>
            </c:numRef>
          </c:xVal>
          <c:yVal>
            <c:numRef>
              <c:f>Tgrid!$B$5:$B$8</c:f>
              <c:numCache>
                <c:formatCode>General</c:formatCode>
                <c:ptCount val="4"/>
                <c:pt idx="0">
                  <c:v>0</c:v>
                </c:pt>
                <c:pt idx="1">
                  <c:v>1</c:v>
                </c:pt>
                <c:pt idx="2">
                  <c:v>0</c:v>
                </c:pt>
                <c:pt idx="3">
                  <c:v>0</c:v>
                </c:pt>
              </c:numCache>
            </c:numRef>
          </c:yVal>
        </c:ser>
        <c:ser>
          <c:idx val="1"/>
          <c:order val="1"/>
          <c:tx>
            <c:v>A grid</c:v>
          </c:tx>
          <c:spPr>
            <a:ln w="3175">
              <a:solidFill>
                <a:srgbClr val="969696"/>
              </a:solidFill>
              <a:prstDash val="sysDash"/>
            </a:ln>
          </c:spPr>
          <c:marker>
            <c:symbol val="none"/>
          </c:marker>
          <c:dLbls>
            <c:dLbl>
              <c:idx val="0"/>
              <c:layout/>
              <c:tx>
                <c:rich>
                  <a:bodyPr/>
                  <a:lstStyle/>
                  <a:p>
                    <a:r>
                      <a:rPr lang="en-NZ"/>
                      <a:t>10%</a:t>
                    </a:r>
                  </a:p>
                </c:rich>
              </c:tx>
              <c:dLblPos val="l"/>
            </c:dLbl>
            <c:dLbl>
              <c:idx val="1"/>
              <c:delete val="1"/>
            </c:dLbl>
            <c:dLbl>
              <c:idx val="2"/>
              <c:delete val="1"/>
            </c:dLbl>
            <c:dLbl>
              <c:idx val="3"/>
              <c:layout/>
              <c:tx>
                <c:rich>
                  <a:bodyPr/>
                  <a:lstStyle/>
                  <a:p>
                    <a:r>
                      <a:rPr lang="en-NZ"/>
                      <a:t>20%</a:t>
                    </a:r>
                  </a:p>
                </c:rich>
              </c:tx>
              <c:dLblPos val="l"/>
            </c:dLbl>
            <c:dLbl>
              <c:idx val="4"/>
              <c:layout/>
              <c:tx>
                <c:rich>
                  <a:bodyPr/>
                  <a:lstStyle/>
                  <a:p>
                    <a:r>
                      <a:rPr lang="en-NZ"/>
                      <a:t>30%</a:t>
                    </a:r>
                  </a:p>
                </c:rich>
              </c:tx>
              <c:dLblPos val="l"/>
            </c:dLbl>
            <c:dLbl>
              <c:idx val="5"/>
              <c:delete val="1"/>
            </c:dLbl>
            <c:dLbl>
              <c:idx val="6"/>
              <c:delete val="1"/>
            </c:dLbl>
            <c:dLbl>
              <c:idx val="7"/>
              <c:layout/>
              <c:tx>
                <c:rich>
                  <a:bodyPr/>
                  <a:lstStyle/>
                  <a:p>
                    <a:r>
                      <a:rPr lang="en-NZ"/>
                      <a:t>40%</a:t>
                    </a:r>
                  </a:p>
                </c:rich>
              </c:tx>
              <c:dLblPos val="l"/>
            </c:dLbl>
            <c:dLbl>
              <c:idx val="8"/>
              <c:layout/>
              <c:tx>
                <c:rich>
                  <a:bodyPr/>
                  <a:lstStyle/>
                  <a:p>
                    <a:r>
                      <a:rPr lang="en-NZ"/>
                      <a:t>50%</a:t>
                    </a:r>
                  </a:p>
                </c:rich>
              </c:tx>
              <c:dLblPos val="l"/>
            </c:dLbl>
            <c:dLbl>
              <c:idx val="9"/>
              <c:delete val="1"/>
            </c:dLbl>
            <c:dLbl>
              <c:idx val="10"/>
              <c:delete val="1"/>
            </c:dLbl>
            <c:dLbl>
              <c:idx val="11"/>
              <c:layout/>
              <c:tx>
                <c:rich>
                  <a:bodyPr/>
                  <a:lstStyle/>
                  <a:p>
                    <a:r>
                      <a:rPr lang="en-NZ"/>
                      <a:t>60%</a:t>
                    </a:r>
                  </a:p>
                </c:rich>
              </c:tx>
              <c:dLblPos val="l"/>
            </c:dLbl>
            <c:dLbl>
              <c:idx val="12"/>
              <c:layout/>
              <c:tx>
                <c:rich>
                  <a:bodyPr/>
                  <a:lstStyle/>
                  <a:p>
                    <a:r>
                      <a:rPr lang="en-NZ"/>
                      <a:t>70%</a:t>
                    </a:r>
                  </a:p>
                </c:rich>
              </c:tx>
              <c:dLblPos val="l"/>
            </c:dLbl>
            <c:dLbl>
              <c:idx val="13"/>
              <c:delete val="1"/>
            </c:dLbl>
            <c:dLbl>
              <c:idx val="14"/>
              <c:delete val="1"/>
            </c:dLbl>
            <c:dLbl>
              <c:idx val="15"/>
              <c:layout/>
              <c:tx>
                <c:rich>
                  <a:bodyPr/>
                  <a:lstStyle/>
                  <a:p>
                    <a:r>
                      <a:rPr lang="en-NZ"/>
                      <a:t>80%</a:t>
                    </a:r>
                  </a:p>
                </c:rich>
              </c:tx>
              <c:dLblPos val="l"/>
            </c:dLbl>
            <c:dLbl>
              <c:idx val="16"/>
              <c:layout/>
              <c:tx>
                <c:rich>
                  <a:bodyPr/>
                  <a:lstStyle/>
                  <a:p>
                    <a:r>
                      <a:rPr lang="en-NZ"/>
                      <a:t>90%</a:t>
                    </a:r>
                  </a:p>
                </c:rich>
              </c:tx>
              <c:dLblPos val="l"/>
            </c:dLbl>
            <c:dLbl>
              <c:idx val="17"/>
              <c:delete val="1"/>
            </c:dLbl>
            <c:spPr>
              <a:noFill/>
              <a:ln w="25400">
                <a:noFill/>
              </a:ln>
            </c:spPr>
            <c:txPr>
              <a:bodyPr/>
              <a:lstStyle/>
              <a:p>
                <a:pPr>
                  <a:defRPr sz="1200" b="0" i="0" u="none" strike="noStrike" baseline="0">
                    <a:solidFill>
                      <a:srgbClr val="969696"/>
                    </a:solidFill>
                    <a:latin typeface="Arial"/>
                    <a:ea typeface="Arial"/>
                    <a:cs typeface="Arial"/>
                  </a:defRPr>
                </a:pPr>
                <a:endParaRPr lang="en-US"/>
              </a:p>
            </c:txPr>
            <c:dLblPos val="l"/>
            <c:showVal val="1"/>
          </c:dLbls>
          <c:xVal>
            <c:numRef>
              <c:f>Tgrid!$F$5:$F$22</c:f>
              <c:numCache>
                <c:formatCode>General</c:formatCode>
                <c:ptCount val="18"/>
                <c:pt idx="0">
                  <c:v>5.7740000000000007E-2</c:v>
                </c:pt>
                <c:pt idx="1">
                  <c:v>1.09697</c:v>
                </c:pt>
                <c:pt idx="2">
                  <c:v>1.0392400000000002</c:v>
                </c:pt>
                <c:pt idx="3">
                  <c:v>0.11548000000000001</c:v>
                </c:pt>
                <c:pt idx="4">
                  <c:v>0.17322000000000001</c:v>
                </c:pt>
                <c:pt idx="5">
                  <c:v>0.98150999999999999</c:v>
                </c:pt>
                <c:pt idx="6">
                  <c:v>0.92378000000000005</c:v>
                </c:pt>
                <c:pt idx="7">
                  <c:v>0.23096000000000003</c:v>
                </c:pt>
                <c:pt idx="8">
                  <c:v>0.28870000000000001</c:v>
                </c:pt>
                <c:pt idx="9">
                  <c:v>0.86604999999999999</c:v>
                </c:pt>
                <c:pt idx="10">
                  <c:v>0.80832000000000015</c:v>
                </c:pt>
                <c:pt idx="11">
                  <c:v>0.34644000000000003</c:v>
                </c:pt>
                <c:pt idx="12">
                  <c:v>0.40417999999999998</c:v>
                </c:pt>
                <c:pt idx="13">
                  <c:v>0.75058999999999998</c:v>
                </c:pt>
                <c:pt idx="14">
                  <c:v>0.69286000000000003</c:v>
                </c:pt>
                <c:pt idx="15">
                  <c:v>0.46192000000000005</c:v>
                </c:pt>
                <c:pt idx="16">
                  <c:v>0.51966000000000001</c:v>
                </c:pt>
                <c:pt idx="17">
                  <c:v>0.63512999999999997</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er>
        <c:ser>
          <c:idx val="2"/>
          <c:order val="2"/>
          <c:tx>
            <c:v>B grid</c:v>
          </c:tx>
          <c:spPr>
            <a:ln w="3175">
              <a:solidFill>
                <a:srgbClr val="969696"/>
              </a:solidFill>
              <a:prstDash val="sysDash"/>
            </a:ln>
          </c:spPr>
          <c:marker>
            <c:symbol val="none"/>
          </c:marker>
          <c:dLbls>
            <c:dLbl>
              <c:idx val="0"/>
              <c:layout>
                <c:manualLayout>
                  <c:x val="-2.0990733538995748E-2"/>
                  <c:y val="3.6075243069863899E-2"/>
                </c:manualLayout>
              </c:layout>
              <c:tx>
                <c:rich>
                  <a:bodyPr/>
                  <a:lstStyle/>
                  <a:p>
                    <a:r>
                      <a:rPr lang="en-NZ"/>
                      <a:t>90%</a:t>
                    </a:r>
                  </a:p>
                </c:rich>
              </c:tx>
              <c:dLblPos val="r"/>
            </c:dLbl>
            <c:dLbl>
              <c:idx val="1"/>
              <c:delete val="1"/>
            </c:dLbl>
            <c:dLbl>
              <c:idx val="2"/>
              <c:delete val="1"/>
            </c:dLbl>
            <c:dLbl>
              <c:idx val="3"/>
              <c:layout>
                <c:manualLayout>
                  <c:x val="-2.3992123071186575E-2"/>
                  <c:y val="3.3246388755861001E-2"/>
                </c:manualLayout>
              </c:layout>
              <c:tx>
                <c:rich>
                  <a:bodyPr/>
                  <a:lstStyle/>
                  <a:p>
                    <a:r>
                      <a:rPr lang="en-NZ"/>
                      <a:t>80%</a:t>
                    </a:r>
                  </a:p>
                </c:rich>
              </c:tx>
              <c:dLblPos val="r"/>
            </c:dLbl>
            <c:dLbl>
              <c:idx val="4"/>
              <c:layout>
                <c:manualLayout>
                  <c:x val="-1.9224367209370801E-2"/>
                  <c:y val="3.6075243069863899E-2"/>
                </c:manualLayout>
              </c:layout>
              <c:tx>
                <c:rich>
                  <a:bodyPr/>
                  <a:lstStyle/>
                  <a:p>
                    <a:r>
                      <a:rPr lang="en-NZ"/>
                      <a:t>70%</a:t>
                    </a:r>
                  </a:p>
                </c:rich>
              </c:tx>
              <c:dLblPos val="r"/>
            </c:dLbl>
            <c:dLbl>
              <c:idx val="5"/>
              <c:delete val="1"/>
            </c:dLbl>
            <c:dLbl>
              <c:idx val="6"/>
              <c:delete val="1"/>
            </c:dLbl>
            <c:dLbl>
              <c:idx val="7"/>
              <c:layout>
                <c:manualLayout>
                  <c:x val="-2.111587882813205E-2"/>
                  <c:y val="3.6075243069863899E-2"/>
                </c:manualLayout>
              </c:layout>
              <c:tx>
                <c:rich>
                  <a:bodyPr/>
                  <a:lstStyle/>
                  <a:p>
                    <a:r>
                      <a:rPr lang="en-NZ"/>
                      <a:t>60%</a:t>
                    </a:r>
                  </a:p>
                </c:rich>
              </c:tx>
              <c:dLblPos val="r"/>
            </c:dLbl>
            <c:dLbl>
              <c:idx val="8"/>
              <c:layout>
                <c:manualLayout>
                  <c:x val="-2.1897629056079497E-2"/>
                  <c:y val="3.6075243069863899E-2"/>
                </c:manualLayout>
              </c:layout>
              <c:tx>
                <c:rich>
                  <a:bodyPr/>
                  <a:lstStyle/>
                  <a:p>
                    <a:r>
                      <a:rPr lang="en-NZ"/>
                      <a:t>50%</a:t>
                    </a:r>
                  </a:p>
                </c:rich>
              </c:tx>
              <c:dLblPos val="r"/>
            </c:dLbl>
            <c:dLbl>
              <c:idx val="9"/>
              <c:delete val="1"/>
            </c:dLbl>
            <c:dLbl>
              <c:idx val="10"/>
              <c:delete val="1"/>
            </c:dLbl>
            <c:dLbl>
              <c:idx val="11"/>
              <c:layout>
                <c:manualLayout>
                  <c:x val="-1.9349629021122607E-2"/>
                  <c:y val="3.6075243069863899E-2"/>
                </c:manualLayout>
              </c:layout>
              <c:tx>
                <c:rich>
                  <a:bodyPr/>
                  <a:lstStyle/>
                  <a:p>
                    <a:r>
                      <a:rPr lang="en-NZ"/>
                      <a:t>40%</a:t>
                    </a:r>
                  </a:p>
                </c:rich>
              </c:tx>
              <c:dLblPos val="r"/>
            </c:dLbl>
            <c:dLbl>
              <c:idx val="12"/>
              <c:layout>
                <c:manualLayout>
                  <c:x val="-1.9021384813024823E-2"/>
                  <c:y val="3.6075243069863899E-2"/>
                </c:manualLayout>
              </c:layout>
              <c:tx>
                <c:rich>
                  <a:bodyPr/>
                  <a:lstStyle/>
                  <a:p>
                    <a:r>
                      <a:rPr lang="en-NZ"/>
                      <a:t>30%</a:t>
                    </a:r>
                  </a:p>
                </c:rich>
              </c:tx>
              <c:dLblPos val="r"/>
            </c:dLbl>
            <c:dLbl>
              <c:idx val="13"/>
              <c:delete val="1"/>
            </c:dLbl>
            <c:dLbl>
              <c:idx val="14"/>
              <c:delete val="1"/>
            </c:dLbl>
            <c:dLbl>
              <c:idx val="15"/>
              <c:layout>
                <c:manualLayout>
                  <c:x val="-1.6473501300683722E-2"/>
                  <c:y val="3.3246388755861001E-2"/>
                </c:manualLayout>
              </c:layout>
              <c:tx>
                <c:rich>
                  <a:bodyPr/>
                  <a:lstStyle/>
                  <a:p>
                    <a:r>
                      <a:rPr lang="en-NZ"/>
                      <a:t>20%</a:t>
                    </a:r>
                  </a:p>
                </c:rich>
              </c:tx>
              <c:dLblPos val="r"/>
            </c:dLbl>
            <c:dLbl>
              <c:idx val="16"/>
              <c:layout>
                <c:manualLayout>
                  <c:x val="-2.169464665973354E-2"/>
                  <c:y val="3.3246388755861001E-2"/>
                </c:manualLayout>
              </c:layout>
              <c:tx>
                <c:rich>
                  <a:bodyPr/>
                  <a:lstStyle/>
                  <a:p>
                    <a:r>
                      <a:rPr lang="en-NZ"/>
                      <a:t>10%</a:t>
                    </a:r>
                  </a:p>
                </c:rich>
              </c:tx>
              <c:dLblPos val="r"/>
            </c:dLbl>
            <c:dLbl>
              <c:idx val="17"/>
              <c:delete val="1"/>
            </c:dLbl>
            <c:spPr>
              <a:noFill/>
              <a:ln w="25400">
                <a:noFill/>
              </a:ln>
            </c:spPr>
            <c:txPr>
              <a:bodyPr rot="3600000" vert="horz"/>
              <a:lstStyle/>
              <a:p>
                <a:pPr algn="l">
                  <a:defRPr sz="1200" b="0" i="0" u="none" strike="noStrike" baseline="0">
                    <a:solidFill>
                      <a:srgbClr val="969696"/>
                    </a:solidFill>
                    <a:latin typeface="Arial"/>
                    <a:ea typeface="Arial"/>
                    <a:cs typeface="Arial"/>
                  </a:defRPr>
                </a:pPr>
                <a:endParaRPr lang="en-US"/>
              </a:p>
            </c:txPr>
            <c:dLblPos val="b"/>
            <c:showVal val="1"/>
          </c:dLbls>
          <c:xVal>
            <c:numRef>
              <c:f>Tgrid!$K$5:$K$22</c:f>
              <c:numCache>
                <c:formatCode>General</c:formatCode>
                <c:ptCount val="18"/>
                <c:pt idx="0">
                  <c:v>0.11547000000000002</c:v>
                </c:pt>
                <c:pt idx="1">
                  <c:v>5.7740000000000007E-2</c:v>
                </c:pt>
                <c:pt idx="2">
                  <c:v>0.11548000000000001</c:v>
                </c:pt>
                <c:pt idx="3">
                  <c:v>0.23094000000000003</c:v>
                </c:pt>
                <c:pt idx="4">
                  <c:v>0.34641</c:v>
                </c:pt>
                <c:pt idx="5">
                  <c:v>0.17322000000000001</c:v>
                </c:pt>
                <c:pt idx="6">
                  <c:v>0.23096000000000003</c:v>
                </c:pt>
                <c:pt idx="7">
                  <c:v>0.46188000000000007</c:v>
                </c:pt>
                <c:pt idx="8">
                  <c:v>0.57735000000000003</c:v>
                </c:pt>
                <c:pt idx="9">
                  <c:v>0.28870000000000001</c:v>
                </c:pt>
                <c:pt idx="10">
                  <c:v>0.34644000000000003</c:v>
                </c:pt>
                <c:pt idx="11">
                  <c:v>0.69281999999999999</c:v>
                </c:pt>
                <c:pt idx="12">
                  <c:v>0.80828999999999995</c:v>
                </c:pt>
                <c:pt idx="13">
                  <c:v>0.40417999999999998</c:v>
                </c:pt>
                <c:pt idx="14">
                  <c:v>0.46192000000000005</c:v>
                </c:pt>
                <c:pt idx="15">
                  <c:v>0.92376000000000014</c:v>
                </c:pt>
                <c:pt idx="16">
                  <c:v>1.0392300000000001</c:v>
                </c:pt>
                <c:pt idx="17">
                  <c:v>0.51966000000000001</c:v>
                </c:pt>
              </c:numCache>
            </c:numRef>
          </c:xVal>
          <c:yVal>
            <c:numRef>
              <c:f>Tgrid!$L$5:$L$22</c:f>
              <c:numCache>
                <c:formatCode>0.00</c:formatCode>
                <c:ptCount val="18"/>
                <c:pt idx="0">
                  <c:v>0</c:v>
                </c:pt>
                <c:pt idx="1">
                  <c:v>0.1</c:v>
                </c:pt>
                <c:pt idx="2">
                  <c:v>0.2</c:v>
                </c:pt>
                <c:pt idx="3">
                  <c:v>0</c:v>
                </c:pt>
                <c:pt idx="4">
                  <c:v>0</c:v>
                </c:pt>
                <c:pt idx="5">
                  <c:v>0.3</c:v>
                </c:pt>
                <c:pt idx="6">
                  <c:v>0.4</c:v>
                </c:pt>
                <c:pt idx="7">
                  <c:v>0</c:v>
                </c:pt>
                <c:pt idx="8">
                  <c:v>0</c:v>
                </c:pt>
                <c:pt idx="9">
                  <c:v>0.5</c:v>
                </c:pt>
                <c:pt idx="10">
                  <c:v>0.6</c:v>
                </c:pt>
                <c:pt idx="11">
                  <c:v>0</c:v>
                </c:pt>
                <c:pt idx="12">
                  <c:v>0</c:v>
                </c:pt>
                <c:pt idx="13">
                  <c:v>0.7</c:v>
                </c:pt>
                <c:pt idx="14">
                  <c:v>0.8</c:v>
                </c:pt>
                <c:pt idx="15">
                  <c:v>0</c:v>
                </c:pt>
                <c:pt idx="16">
                  <c:v>0</c:v>
                </c:pt>
                <c:pt idx="17">
                  <c:v>0.9</c:v>
                </c:pt>
              </c:numCache>
            </c:numRef>
          </c:yVal>
        </c:ser>
        <c:ser>
          <c:idx val="3"/>
          <c:order val="3"/>
          <c:tx>
            <c:v>C grid</c:v>
          </c:tx>
          <c:spPr>
            <a:ln w="3175">
              <a:solidFill>
                <a:srgbClr val="969696"/>
              </a:solidFill>
              <a:prstDash val="sysDash"/>
            </a:ln>
          </c:spPr>
          <c:marker>
            <c:symbol val="none"/>
          </c:marker>
          <c:dLbls>
            <c:dLbl>
              <c:idx val="0"/>
              <c:delete val="1"/>
            </c:dLbl>
            <c:dLbl>
              <c:idx val="1"/>
              <c:layout>
                <c:manualLayout>
                  <c:x val="-1.0661353235396109E-2"/>
                  <c:y val="-3.17162829893788E-2"/>
                </c:manualLayout>
              </c:layout>
              <c:tx>
                <c:rich>
                  <a:bodyPr/>
                  <a:lstStyle/>
                  <a:p>
                    <a:r>
                      <a:rPr lang="en-NZ"/>
                      <a:t>10%</a:t>
                    </a:r>
                  </a:p>
                </c:rich>
              </c:tx>
              <c:dLblPos val="r"/>
            </c:dLbl>
            <c:dLbl>
              <c:idx val="2"/>
              <c:layout>
                <c:manualLayout>
                  <c:x val="-1.1604254240694922E-2"/>
                  <c:y val="-3.1413202062613575E-2"/>
                </c:manualLayout>
              </c:layout>
              <c:tx>
                <c:rich>
                  <a:bodyPr/>
                  <a:lstStyle/>
                  <a:p>
                    <a:r>
                      <a:rPr lang="en-NZ"/>
                      <a:t>20%</a:t>
                    </a:r>
                  </a:p>
                </c:rich>
              </c:tx>
              <c:dLblPos val="r"/>
            </c:dLbl>
            <c:dLbl>
              <c:idx val="3"/>
              <c:delete val="1"/>
            </c:dLbl>
            <c:dLbl>
              <c:idx val="4"/>
              <c:delete val="1"/>
            </c:dLbl>
            <c:dLbl>
              <c:idx val="5"/>
              <c:layout>
                <c:manualLayout>
                  <c:x val="-1.1437160809948711E-2"/>
                  <c:y val="-3.6767829763853802E-2"/>
                </c:manualLayout>
              </c:layout>
              <c:tx>
                <c:rich>
                  <a:bodyPr/>
                  <a:lstStyle/>
                  <a:p>
                    <a:r>
                      <a:rPr lang="en-NZ"/>
                      <a:t>30%</a:t>
                    </a:r>
                  </a:p>
                </c:rich>
              </c:tx>
              <c:dLblPos val="r"/>
            </c:dLbl>
            <c:dLbl>
              <c:idx val="6"/>
              <c:layout>
                <c:manualLayout>
                  <c:x val="-1.2379945292631939E-2"/>
                  <c:y val="-3.9293603151091226E-2"/>
                </c:manualLayout>
              </c:layout>
              <c:tx>
                <c:rich>
                  <a:bodyPr/>
                  <a:lstStyle/>
                  <a:p>
                    <a:r>
                      <a:rPr lang="en-NZ"/>
                      <a:t>40%</a:t>
                    </a:r>
                  </a:p>
                </c:rich>
              </c:tx>
              <c:dLblPos val="r"/>
            </c:dLbl>
            <c:dLbl>
              <c:idx val="7"/>
              <c:delete val="1"/>
            </c:dLbl>
            <c:dLbl>
              <c:idx val="8"/>
              <c:delete val="1"/>
            </c:dLbl>
            <c:dLbl>
              <c:idx val="9"/>
              <c:layout>
                <c:manualLayout>
                  <c:x val="-1.6652363515603782E-2"/>
                  <c:y val="-4.3233655199040703E-2"/>
                </c:manualLayout>
              </c:layout>
              <c:tx>
                <c:rich>
                  <a:bodyPr/>
                  <a:lstStyle/>
                  <a:p>
                    <a:r>
                      <a:rPr lang="en-NZ"/>
                      <a:t>50%</a:t>
                    </a:r>
                  </a:p>
                </c:rich>
              </c:tx>
              <c:dLblPos val="r"/>
            </c:dLbl>
            <c:dLbl>
              <c:idx val="10"/>
              <c:layout>
                <c:manualLayout>
                  <c:x val="-1.0935880517709913E-2"/>
                  <c:y val="-4.4345001429276824E-2"/>
                </c:manualLayout>
              </c:layout>
              <c:tx>
                <c:rich>
                  <a:bodyPr/>
                  <a:lstStyle/>
                  <a:p>
                    <a:r>
                      <a:rPr lang="en-NZ"/>
                      <a:t>60%</a:t>
                    </a:r>
                  </a:p>
                </c:rich>
              </c:tx>
              <c:dLblPos val="r"/>
            </c:dLbl>
            <c:dLbl>
              <c:idx val="11"/>
              <c:delete val="1"/>
            </c:dLbl>
            <c:dLbl>
              <c:idx val="12"/>
              <c:delete val="1"/>
            </c:dLbl>
            <c:dLbl>
              <c:idx val="13"/>
              <c:layout>
                <c:manualLayout>
                  <c:x val="-1.07689036095793E-2"/>
                  <c:y val="-4.1213066188508549E-2"/>
                </c:manualLayout>
              </c:layout>
              <c:tx>
                <c:rich>
                  <a:bodyPr/>
                  <a:lstStyle/>
                  <a:p>
                    <a:r>
                      <a:rPr lang="en-NZ"/>
                      <a:t>70%</a:t>
                    </a:r>
                  </a:p>
                </c:rich>
              </c:tx>
              <c:dLblPos val="r"/>
            </c:dLbl>
            <c:dLbl>
              <c:idx val="14"/>
              <c:layout>
                <c:manualLayout>
                  <c:x val="-1.2821566005692083E-2"/>
                  <c:y val="-4.0909985261743283E-2"/>
                </c:manualLayout>
              </c:layout>
              <c:tx>
                <c:rich>
                  <a:bodyPr/>
                  <a:lstStyle/>
                  <a:p>
                    <a:r>
                      <a:rPr lang="en-NZ"/>
                      <a:t>80%</a:t>
                    </a:r>
                  </a:p>
                </c:rich>
              </c:tx>
              <c:dLblPos val="r"/>
            </c:dLbl>
            <c:dLbl>
              <c:idx val="15"/>
              <c:delete val="1"/>
            </c:dLbl>
            <c:dLbl>
              <c:idx val="16"/>
              <c:delete val="1"/>
            </c:dLbl>
            <c:dLbl>
              <c:idx val="17"/>
              <c:layout>
                <c:manualLayout>
                  <c:x val="-1.2654472574945874E-2"/>
                  <c:y val="-4.6264612962983585E-2"/>
                </c:manualLayout>
              </c:layout>
              <c:tx>
                <c:rich>
                  <a:bodyPr/>
                  <a:lstStyle/>
                  <a:p>
                    <a:r>
                      <a:rPr lang="en-NZ"/>
                      <a:t>90%</a:t>
                    </a:r>
                  </a:p>
                </c:rich>
              </c:tx>
              <c:dLblPos val="r"/>
            </c:dLbl>
            <c:spPr>
              <a:noFill/>
              <a:ln w="25400">
                <a:noFill/>
              </a:ln>
            </c:spPr>
            <c:txPr>
              <a:bodyPr rot="-3600000" vert="horz"/>
              <a:lstStyle/>
              <a:p>
                <a:pPr algn="l">
                  <a:defRPr sz="1200" b="0" i="0" u="none" strike="noStrike" baseline="0">
                    <a:solidFill>
                      <a:srgbClr val="969696"/>
                    </a:solidFill>
                    <a:latin typeface="Arial"/>
                    <a:ea typeface="Arial"/>
                    <a:cs typeface="Arial"/>
                  </a:defRPr>
                </a:pPr>
                <a:endParaRPr lang="en-US"/>
              </a:p>
            </c:txPr>
            <c:dLblPos val="r"/>
            <c:showVal val="1"/>
          </c:dLbls>
          <c:xVal>
            <c:numRef>
              <c:f>Tgrid!$P$5:$P$22</c:f>
              <c:numCache>
                <c:formatCode>General</c:formatCode>
                <c:ptCount val="18"/>
                <c:pt idx="0">
                  <c:v>0.11547000000000002</c:v>
                </c:pt>
                <c:pt idx="1">
                  <c:v>0.63512999999999997</c:v>
                </c:pt>
                <c:pt idx="2">
                  <c:v>0.69286000000000003</c:v>
                </c:pt>
                <c:pt idx="3">
                  <c:v>0.23094000000000003</c:v>
                </c:pt>
                <c:pt idx="4">
                  <c:v>0.34641</c:v>
                </c:pt>
                <c:pt idx="5">
                  <c:v>0.75058999999999998</c:v>
                </c:pt>
                <c:pt idx="6">
                  <c:v>0.80832000000000015</c:v>
                </c:pt>
                <c:pt idx="7">
                  <c:v>0.46188000000000007</c:v>
                </c:pt>
                <c:pt idx="8">
                  <c:v>0.57735000000000003</c:v>
                </c:pt>
                <c:pt idx="9">
                  <c:v>0.86604999999999999</c:v>
                </c:pt>
                <c:pt idx="10">
                  <c:v>0.92378000000000005</c:v>
                </c:pt>
                <c:pt idx="11">
                  <c:v>0.69281999999999999</c:v>
                </c:pt>
                <c:pt idx="12">
                  <c:v>0.80828999999999995</c:v>
                </c:pt>
                <c:pt idx="13">
                  <c:v>0.98150999999999999</c:v>
                </c:pt>
                <c:pt idx="14">
                  <c:v>1.0392400000000002</c:v>
                </c:pt>
                <c:pt idx="15">
                  <c:v>0.92376000000000014</c:v>
                </c:pt>
                <c:pt idx="16">
                  <c:v>1.0392300000000001</c:v>
                </c:pt>
                <c:pt idx="17">
                  <c:v>1.09697</c:v>
                </c:pt>
              </c:numCache>
            </c:numRef>
          </c:xVal>
          <c:yVal>
            <c:numRef>
              <c:f>Tgrid!$Q$5:$Q$22</c:f>
              <c:numCache>
                <c:formatCode>0.00</c:formatCode>
                <c:ptCount val="18"/>
                <c:pt idx="0">
                  <c:v>0</c:v>
                </c:pt>
                <c:pt idx="1">
                  <c:v>0.9</c:v>
                </c:pt>
                <c:pt idx="2">
                  <c:v>0.8</c:v>
                </c:pt>
                <c:pt idx="3">
                  <c:v>0</c:v>
                </c:pt>
                <c:pt idx="4">
                  <c:v>0</c:v>
                </c:pt>
                <c:pt idx="5">
                  <c:v>0.7</c:v>
                </c:pt>
                <c:pt idx="6">
                  <c:v>0.6</c:v>
                </c:pt>
                <c:pt idx="7">
                  <c:v>0</c:v>
                </c:pt>
                <c:pt idx="8">
                  <c:v>0</c:v>
                </c:pt>
                <c:pt idx="9">
                  <c:v>0.5</c:v>
                </c:pt>
                <c:pt idx="10">
                  <c:v>0.4</c:v>
                </c:pt>
                <c:pt idx="11">
                  <c:v>0</c:v>
                </c:pt>
                <c:pt idx="12">
                  <c:v>0</c:v>
                </c:pt>
                <c:pt idx="13">
                  <c:v>0.3</c:v>
                </c:pt>
                <c:pt idx="14">
                  <c:v>0.2</c:v>
                </c:pt>
                <c:pt idx="15">
                  <c:v>0</c:v>
                </c:pt>
                <c:pt idx="16">
                  <c:v>0</c:v>
                </c:pt>
                <c:pt idx="17">
                  <c:v>0.1</c:v>
                </c:pt>
              </c:numCache>
            </c:numRef>
          </c:yVal>
        </c:ser>
        <c:ser>
          <c:idx val="5"/>
          <c:order val="4"/>
          <c:tx>
            <c:v>Rocks</c:v>
          </c:tx>
          <c:spPr>
            <a:ln w="28575">
              <a:noFill/>
            </a:ln>
          </c:spPr>
          <c:marker>
            <c:symbol val="square"/>
            <c:size val="8"/>
            <c:spPr>
              <a:solidFill>
                <a:srgbClr val="C0C0C0"/>
              </a:solidFill>
              <a:ln>
                <a:solidFill>
                  <a:srgbClr val="800000"/>
                </a:solidFill>
                <a:prstDash val="solid"/>
              </a:ln>
            </c:spPr>
          </c:marker>
          <c:dLbls>
            <c:dLbl>
              <c:idx val="0"/>
              <c:layout>
                <c:manualLayout>
                  <c:x val="5.5091892647714724E-4"/>
                  <c:y val="-5.5429209962615704E-3"/>
                </c:manualLayout>
              </c:layout>
              <c:tx>
                <c:strRef>
                  <c:f>Ref!$B$4</c:f>
                  <c:strCache>
                    <c:ptCount val="1"/>
                    <c:pt idx="0">
                      <c:v>Granite</c:v>
                    </c:pt>
                  </c:strCache>
                </c:strRef>
              </c:tx>
              <c:dLblPos val="r"/>
            </c:dLbl>
            <c:dLbl>
              <c:idx val="1"/>
              <c:layout>
                <c:manualLayout>
                  <c:x val="1.1327163460838102E-3"/>
                  <c:y val="-7.9956342090901824E-3"/>
                </c:manualLayout>
              </c:layout>
              <c:tx>
                <c:strRef>
                  <c:f>Ref!$B$5</c:f>
                  <c:strCache>
                    <c:ptCount val="1"/>
                    <c:pt idx="0">
                      <c:v>Diorite</c:v>
                    </c:pt>
                  </c:strCache>
                </c:strRef>
              </c:tx>
              <c:dLblPos val="r"/>
            </c:dLbl>
            <c:dLbl>
              <c:idx val="2"/>
              <c:layout>
                <c:manualLayout>
                  <c:x val="3.111270358685764E-3"/>
                  <c:y val="-3.0508562667290367E-3"/>
                </c:manualLayout>
              </c:layout>
              <c:tx>
                <c:strRef>
                  <c:f>Ref!$B$6</c:f>
                  <c:strCache>
                    <c:ptCount val="1"/>
                    <c:pt idx="0">
                      <c:v>Basalt</c:v>
                    </c:pt>
                  </c:strCache>
                </c:strRef>
              </c:tx>
              <c:dLblPos val="r"/>
            </c:dLbl>
            <c:dLbl>
              <c:idx val="3"/>
              <c:layout/>
              <c:tx>
                <c:strRef>
                  <c:f>Ref!$B$7</c:f>
                  <c:strCache>
                    <c:ptCount val="1"/>
                    <c:pt idx="0">
                      <c:v>Ultramafic</c:v>
                    </c:pt>
                  </c:strCache>
                </c:strRef>
              </c:tx>
              <c:dLblPos val="t"/>
            </c:dLbl>
            <c:dLbl>
              <c:idx val="4"/>
              <c:layout>
                <c:manualLayout>
                  <c:x val="1.2291970717866979E-3"/>
                  <c:y val="-2.9576005969550959E-3"/>
                </c:manualLayout>
              </c:layout>
              <c:tx>
                <c:strRef>
                  <c:f>Ref!$B$8</c:f>
                  <c:strCache>
                    <c:ptCount val="1"/>
                    <c:pt idx="0">
                      <c:v>Limestone</c:v>
                    </c:pt>
                  </c:strCache>
                </c:strRef>
              </c:tx>
              <c:dLblPos val="r"/>
            </c:dLbl>
            <c:dLbl>
              <c:idx val="5"/>
              <c:layout>
                <c:manualLayout>
                  <c:x val="-3.37780418957064E-2"/>
                  <c:y val="-3.1435921994899196E-2"/>
                </c:manualLayout>
              </c:layout>
              <c:tx>
                <c:strRef>
                  <c:f>Ref!$B$9</c:f>
                  <c:strCache>
                    <c:ptCount val="1"/>
                    <c:pt idx="0">
                      <c:v>Sandstone</c:v>
                    </c:pt>
                  </c:strCache>
                </c:strRef>
              </c:tx>
              <c:dLblPos val="r"/>
            </c:dLbl>
            <c:dLbl>
              <c:idx val="6"/>
              <c:layout>
                <c:manualLayout>
                  <c:x val="-5.1521872751477529E-2"/>
                  <c:y val="-3.1435921994899196E-2"/>
                </c:manualLayout>
              </c:layout>
              <c:tx>
                <c:strRef>
                  <c:f>Ref!$B$10</c:f>
                  <c:strCache>
                    <c:ptCount val="1"/>
                    <c:pt idx="0">
                      <c:v>Shale</c:v>
                    </c:pt>
                  </c:strCache>
                </c:strRef>
              </c:tx>
              <c:dLblPos val="r"/>
            </c:dLbl>
            <c:dLbl>
              <c:idx val="7"/>
              <c:layout>
                <c:manualLayout>
                  <c:x val="-0.10137432598949547"/>
                  <c:y val="-6.7008950613846475E-3"/>
                </c:manualLayout>
              </c:layout>
              <c:tx>
                <c:strRef>
                  <c:f>Ref!$B$11</c:f>
                  <c:strCache>
                    <c:ptCount val="1"/>
                    <c:pt idx="0">
                      <c:v>Seawater</c:v>
                    </c:pt>
                  </c:strCache>
                </c:strRef>
              </c:tx>
              <c:dLblPos val="r"/>
            </c:dLbl>
            <c:spPr>
              <a:noFill/>
              <a:ln w="25400">
                <a:noFill/>
              </a:ln>
            </c:spPr>
            <c:txPr>
              <a:bodyPr/>
              <a:lstStyle/>
              <a:p>
                <a:pPr>
                  <a:defRPr sz="1200" b="1" i="0" u="none" strike="noStrike" baseline="0">
                    <a:solidFill>
                      <a:srgbClr val="969696"/>
                    </a:solidFill>
                    <a:latin typeface="Arial"/>
                    <a:ea typeface="Arial"/>
                    <a:cs typeface="Arial"/>
                  </a:defRPr>
                </a:pPr>
                <a:endParaRPr lang="en-US"/>
              </a:p>
            </c:txPr>
            <c:dLblPos val="t"/>
            <c:showVal val="1"/>
          </c:dLbls>
          <c:xVal>
            <c:numRef>
              <c:f>Ref!$Y$4:$Y$11</c:f>
              <c:numCache>
                <c:formatCode>0.000</c:formatCode>
                <c:ptCount val="8"/>
                <c:pt idx="0">
                  <c:v>0.12967540106951872</c:v>
                </c:pt>
                <c:pt idx="1">
                  <c:v>0.23910385232744785</c:v>
                </c:pt>
                <c:pt idx="2">
                  <c:v>0.2357677494199536</c:v>
                </c:pt>
                <c:pt idx="3">
                  <c:v>1.0497272727272728</c:v>
                </c:pt>
                <c:pt idx="4">
                  <c:v>0.38490606060606058</c:v>
                </c:pt>
                <c:pt idx="5">
                  <c:v>0.69281999999999999</c:v>
                </c:pt>
                <c:pt idx="6">
                  <c:v>0.60484285714285724</c:v>
                </c:pt>
                <c:pt idx="7">
                  <c:v>0.58036011406446208</c:v>
                </c:pt>
              </c:numCache>
            </c:numRef>
          </c:xVal>
          <c:yVal>
            <c:numRef>
              <c:f>Ref!$Z$4:$Z$11</c:f>
              <c:numCache>
                <c:formatCode>0.000</c:formatCode>
                <c:ptCount val="8"/>
                <c:pt idx="0">
                  <c:v>6.4171122994652413E-2</c:v>
                </c:pt>
                <c:pt idx="1">
                  <c:v>0.17335473515248795</c:v>
                </c:pt>
                <c:pt idx="2">
                  <c:v>0.10672853828306264</c:v>
                </c:pt>
                <c:pt idx="3">
                  <c:v>0</c:v>
                </c:pt>
                <c:pt idx="4">
                  <c:v>0.12121212121212122</c:v>
                </c:pt>
                <c:pt idx="5">
                  <c:v>0</c:v>
                </c:pt>
                <c:pt idx="6">
                  <c:v>0</c:v>
                </c:pt>
                <c:pt idx="7">
                  <c:v>0.99309334449560482</c:v>
                </c:pt>
              </c:numCache>
            </c:numRef>
          </c:yVal>
        </c:ser>
        <c:ser>
          <c:idx val="6"/>
          <c:order val="5"/>
          <c:tx>
            <c:v>Diorite trend</c:v>
          </c:tx>
          <c:spPr>
            <a:ln w="25400">
              <a:solidFill>
                <a:srgbClr val="993366"/>
              </a:solidFill>
              <a:prstDash val="lgDash"/>
            </a:ln>
          </c:spPr>
          <c:marker>
            <c:symbol val="none"/>
          </c:marker>
          <c:xVal>
            <c:numRef>
              <c:f>Ref!$Y$17:$Y$18</c:f>
              <c:numCache>
                <c:formatCode>0.000</c:formatCode>
                <c:ptCount val="2"/>
                <c:pt idx="0">
                  <c:v>0</c:v>
                </c:pt>
                <c:pt idx="1">
                  <c:v>0.81399836065573772</c:v>
                </c:pt>
              </c:numCache>
            </c:numRef>
          </c:xVal>
          <c:yVal>
            <c:numRef>
              <c:f>Ref!$Z$17:$Z$18</c:f>
              <c:numCache>
                <c:formatCode>0.000</c:formatCode>
                <c:ptCount val="2"/>
                <c:pt idx="0">
                  <c:v>0</c:v>
                </c:pt>
                <c:pt idx="1">
                  <c:v>0.5901639344262295</c:v>
                </c:pt>
              </c:numCache>
            </c:numRef>
          </c:yVal>
        </c:ser>
        <c:ser>
          <c:idx val="7"/>
          <c:order val="6"/>
          <c:tx>
            <c:v>Basalt Trend</c:v>
          </c:tx>
          <c:spPr>
            <a:ln w="25400">
              <a:solidFill>
                <a:srgbClr val="993366"/>
              </a:solidFill>
              <a:prstDash val="lgDash"/>
            </a:ln>
          </c:spPr>
          <c:marker>
            <c:symbol val="none"/>
          </c:marker>
          <c:xVal>
            <c:numRef>
              <c:f>Ref!$Y$19:$Y$20</c:f>
              <c:numCache>
                <c:formatCode>0.000</c:formatCode>
                <c:ptCount val="2"/>
                <c:pt idx="0">
                  <c:v>0</c:v>
                </c:pt>
                <c:pt idx="1">
                  <c:v>0.91545855855855862</c:v>
                </c:pt>
              </c:numCache>
            </c:numRef>
          </c:xVal>
          <c:yVal>
            <c:numRef>
              <c:f>Ref!$Z$19:$Z$20</c:f>
              <c:numCache>
                <c:formatCode>0.000</c:formatCode>
                <c:ptCount val="2"/>
                <c:pt idx="0">
                  <c:v>0</c:v>
                </c:pt>
                <c:pt idx="1">
                  <c:v>0.4144144144144144</c:v>
                </c:pt>
              </c:numCache>
            </c:numRef>
          </c:yVal>
        </c:ser>
        <c:ser>
          <c:idx val="4"/>
          <c:order val="7"/>
          <c:tx>
            <c:v>data</c:v>
          </c:tx>
          <c:spPr>
            <a:ln w="28575">
              <a:noFill/>
            </a:ln>
          </c:spPr>
          <c:marker>
            <c:symbol val="diamond"/>
            <c:size val="7"/>
            <c:spPr>
              <a:solidFill>
                <a:srgbClr val="800080"/>
              </a:solidFill>
              <a:ln>
                <a:solidFill>
                  <a:srgbClr val="800080"/>
                </a:solidFill>
                <a:prstDash val="solid"/>
              </a:ln>
            </c:spPr>
          </c:marker>
          <c:dLbls>
            <c:dLbl>
              <c:idx val="0"/>
              <c:layout/>
              <c:tx>
                <c:strRef>
                  <c:f>Input!$AH$8</c:f>
                  <c:strCache>
                    <c:ptCount val="1"/>
                    <c:pt idx="0">
                      <c:v>WK</c:v>
                    </c:pt>
                  </c:strCache>
                </c:strRef>
              </c:tx>
              <c:dLblPos val="t"/>
            </c:dLbl>
            <c:dLbl>
              <c:idx val="1"/>
              <c:layout/>
              <c:tx>
                <c:strRef>
                  <c:f>Input!$AH$9</c:f>
                  <c:strCache>
                    <c:ptCount val="1"/>
                    <c:pt idx="0">
                      <c:v>wk</c:v>
                    </c:pt>
                  </c:strCache>
                </c:strRef>
              </c:tx>
              <c:dLblPos val="t"/>
            </c:dLbl>
            <c:dLbl>
              <c:idx val="2"/>
              <c:layout/>
              <c:tx>
                <c:strRef>
                  <c:f>Input!$AH$10</c:f>
                  <c:strCache>
                    <c:ptCount val="1"/>
                    <c:pt idx="0">
                      <c:v>NG</c:v>
                    </c:pt>
                  </c:strCache>
                </c:strRef>
              </c:tx>
              <c:dLblPos val="t"/>
            </c:dLbl>
            <c:dLbl>
              <c:idx val="3"/>
              <c:layout/>
              <c:tx>
                <c:strRef>
                  <c:f>Input!$AH$11</c:f>
                  <c:strCache>
                    <c:ptCount val="1"/>
                    <c:pt idx="0">
                      <c:v>ng</c:v>
                    </c:pt>
                  </c:strCache>
                </c:strRef>
              </c:tx>
              <c:dLblPos val="t"/>
            </c:dLbl>
            <c:dLbl>
              <c:idx val="4"/>
              <c:layout/>
              <c:tx>
                <c:strRef>
                  <c:f>Input!$AH$12</c:f>
                  <c:strCache>
                    <c:ptCount val="1"/>
                    <c:pt idx="0">
                      <c:v>ZU</c:v>
                    </c:pt>
                  </c:strCache>
                </c:strRef>
              </c:tx>
              <c:dLblPos val="t"/>
            </c:dLbl>
            <c:dLbl>
              <c:idx val="5"/>
              <c:layout/>
              <c:tx>
                <c:strRef>
                  <c:f>Input!$AH$13</c:f>
                  <c:strCache>
                    <c:ptCount val="1"/>
                    <c:pt idx="0">
                      <c:v>zu</c:v>
                    </c:pt>
                  </c:strCache>
                </c:strRef>
              </c:tx>
              <c:dLblPos val="t"/>
            </c:dLbl>
            <c:dLbl>
              <c:idx val="6"/>
              <c:layout/>
              <c:tx>
                <c:strRef>
                  <c:f>Input!$AH$14</c:f>
                  <c:strCache>
                    <c:ptCount val="1"/>
                    <c:pt idx="0">
                      <c:v>MV</c:v>
                    </c:pt>
                  </c:strCache>
                </c:strRef>
              </c:tx>
              <c:dLblPos val="t"/>
            </c:dLbl>
            <c:dLbl>
              <c:idx val="7"/>
              <c:layout/>
              <c:tx>
                <c:strRef>
                  <c:f>Input!$AH$15</c:f>
                  <c:strCache>
                    <c:ptCount val="1"/>
                    <c:pt idx="0">
                      <c:v>mv</c:v>
                    </c:pt>
                  </c:strCache>
                </c:strRef>
              </c:tx>
              <c:dLblPos val="t"/>
            </c:dLbl>
            <c:dLbl>
              <c:idx val="8"/>
              <c:layout/>
              <c:tx>
                <c:strRef>
                  <c:f>Input!$AH$16</c:f>
                  <c:strCache>
                    <c:ptCount val="1"/>
                    <c:pt idx="0">
                      <c:v>ra</c:v>
                    </c:pt>
                  </c:strCache>
                </c:strRef>
              </c:tx>
              <c:dLblPos val="t"/>
            </c:dLbl>
            <c:dLbl>
              <c:idx val="9"/>
              <c:layout/>
              <c:tx>
                <c:strRef>
                  <c:f>Input!$AH$17</c:f>
                  <c:strCache>
                    <c:ptCount val="1"/>
                    <c:pt idx="0">
                      <c:v>rb</c:v>
                    </c:pt>
                  </c:strCache>
                </c:strRef>
              </c:tx>
              <c:dLblPos val="t"/>
            </c:dLbl>
            <c:dLbl>
              <c:idx val="10"/>
              <c:layout/>
              <c:tx>
                <c:strRef>
                  <c:f>Input!$AH$18</c:f>
                  <c:strCache>
                    <c:ptCount val="1"/>
                    <c:pt idx="0">
                      <c:v>ar</c:v>
                    </c:pt>
                  </c:strCache>
                </c:strRef>
              </c:tx>
              <c:dLblPos val="t"/>
            </c:dLbl>
            <c:dLbl>
              <c:idx val="11"/>
              <c:layout/>
              <c:tx>
                <c:strRef>
                  <c:f>Input!$AH$19</c:f>
                  <c:strCache>
                    <c:ptCount val="1"/>
                    <c:pt idx="0">
                      <c:v>ma</c:v>
                    </c:pt>
                  </c:strCache>
                </c:strRef>
              </c:tx>
              <c:dLblPos val="t"/>
            </c:dLbl>
            <c:dLbl>
              <c:idx val="12"/>
              <c:layout/>
              <c:tx>
                <c:strRef>
                  <c:f>Input!$AH$20</c:f>
                  <c:strCache>
                    <c:ptCount val="1"/>
                    <c:pt idx="0">
                      <c:v>fn</c:v>
                    </c:pt>
                  </c:strCache>
                </c:strRef>
              </c:tx>
              <c:dLblPos val="t"/>
            </c:dLbl>
            <c:dLbl>
              <c:idx val="13"/>
              <c:layout/>
              <c:tx>
                <c:strRef>
                  <c:f>Input!$AH$21</c:f>
                  <c:strCache>
                    <c:ptCount val="1"/>
                    <c:pt idx="0">
                      <c:v>pr</c:v>
                    </c:pt>
                  </c:strCache>
                </c:strRef>
              </c:tx>
              <c:dLblPos val="t"/>
            </c:dLbl>
            <c:dLbl>
              <c:idx val="14"/>
              <c:layout/>
              <c:tx>
                <c:strRef>
                  <c:f>Input!$AH$22</c:f>
                  <c:strCache>
                    <c:ptCount val="1"/>
                    <c:pt idx="0">
                      <c:v>ya</c:v>
                    </c:pt>
                  </c:strCache>
                </c:strRef>
              </c:tx>
              <c:dLblPos val="t"/>
            </c:dLbl>
            <c:dLbl>
              <c:idx val="15"/>
              <c:layout/>
              <c:tx>
                <c:strRef>
                  <c:f>Input!$AH$23</c:f>
                  <c:strCache>
                    <c:ptCount val="1"/>
                    <c:pt idx="0">
                      <c:v>ln</c:v>
                    </c:pt>
                  </c:strCache>
                </c:strRef>
              </c:tx>
              <c:dLblPos val="t"/>
            </c:dLbl>
            <c:dLbl>
              <c:idx val="16"/>
              <c:layout/>
              <c:tx>
                <c:strRef>
                  <c:f>Input!$AH$24</c:f>
                  <c:strCache>
                    <c:ptCount val="1"/>
                    <c:pt idx="0">
                      <c:v>ws</c:v>
                    </c:pt>
                  </c:strCache>
                </c:strRef>
              </c:tx>
              <c:dLblPos val="t"/>
            </c:dLbl>
            <c:dLbl>
              <c:idx val="17"/>
              <c:layout/>
              <c:tx>
                <c:strRef>
                  <c:f>Input!$AH$25</c:f>
                  <c:strCache>
                    <c:ptCount val="1"/>
                    <c:pt idx="0">
                      <c:v>mo</c:v>
                    </c:pt>
                  </c:strCache>
                </c:strRef>
              </c:tx>
              <c:dLblPos val="t"/>
            </c:dLbl>
            <c:dLbl>
              <c:idx val="18"/>
              <c:layout/>
              <c:tx>
                <c:strRef>
                  <c:f>Input!$AH$26</c:f>
                  <c:strCache>
                    <c:ptCount val="1"/>
                    <c:pt idx="0">
                      <c:v>MU</c:v>
                    </c:pt>
                  </c:strCache>
                </c:strRef>
              </c:tx>
              <c:dLblPos val="t"/>
            </c:dLbl>
            <c:dLbl>
              <c:idx val="19"/>
              <c:layout/>
              <c:tx>
                <c:strRef>
                  <c:f>Input!$AH$27</c:f>
                  <c:strCache>
                    <c:ptCount val="1"/>
                    <c:pt idx="0">
                      <c:v>wi</c:v>
                    </c:pt>
                  </c:strCache>
                </c:strRef>
              </c:tx>
              <c:dLblPos val="t"/>
            </c:dLbl>
            <c:dLbl>
              <c:idx val="20"/>
              <c:tx>
                <c:strRef>
                  <c:f>Input!$AH$28</c:f>
                  <c:strCache>
                    <c:ptCount val="1"/>
                  </c:strCache>
                </c:strRef>
              </c:tx>
              <c:dLblPos val="t"/>
            </c:dLbl>
            <c:dLbl>
              <c:idx val="21"/>
              <c:tx>
                <c:strRef>
                  <c:f>Input!$AH$29</c:f>
                  <c:strCache>
                    <c:ptCount val="1"/>
                  </c:strCache>
                </c:strRef>
              </c:tx>
              <c:dLblPos val="t"/>
            </c:dLbl>
            <c:dLbl>
              <c:idx val="22"/>
              <c:tx>
                <c:strRef>
                  <c:f>Input!$AH$30</c:f>
                  <c:strCache>
                    <c:ptCount val="1"/>
                  </c:strCache>
                </c:strRef>
              </c:tx>
              <c:dLblPos val="t"/>
            </c:dLbl>
            <c:dLbl>
              <c:idx val="23"/>
              <c:tx>
                <c:strRef>
                  <c:f>Input!$AH$31</c:f>
                  <c:strCache>
                    <c:ptCount val="1"/>
                  </c:strCache>
                </c:strRef>
              </c:tx>
              <c:dLblPos val="t"/>
            </c:dLbl>
            <c:dLbl>
              <c:idx val="24"/>
              <c:tx>
                <c:strRef>
                  <c:f>Input!$AH$32</c:f>
                  <c:strCache>
                    <c:ptCount val="1"/>
                  </c:strCache>
                </c:strRef>
              </c:tx>
              <c:dLblPos val="t"/>
            </c:dLbl>
            <c:dLbl>
              <c:idx val="25"/>
              <c:tx>
                <c:strRef>
                  <c:f>Input!$AH$33</c:f>
                  <c:strCache>
                    <c:ptCount val="1"/>
                  </c:strCache>
                </c:strRef>
              </c:tx>
              <c:dLblPos val="t"/>
            </c:dLbl>
            <c:dLbl>
              <c:idx val="26"/>
              <c:tx>
                <c:strRef>
                  <c:f>Input!$AH$34</c:f>
                  <c:strCache>
                    <c:ptCount val="1"/>
                  </c:strCache>
                </c:strRef>
              </c:tx>
              <c:spPr>
                <a:noFill/>
                <a:ln w="25400">
                  <a:noFill/>
                </a:ln>
              </c:spPr>
              <c:txPr>
                <a:bodyPr/>
                <a:lstStyle/>
                <a:p>
                  <a:pPr>
                    <a:defRPr sz="1000" b="1" i="0" u="none" strike="noStrike" baseline="0">
                      <a:solidFill>
                        <a:srgbClr val="000000"/>
                      </a:solidFill>
                      <a:latin typeface="Arial"/>
                      <a:ea typeface="Arial"/>
                      <a:cs typeface="Arial"/>
                    </a:defRPr>
                  </a:pPr>
                  <a:endParaRPr lang="en-US"/>
                </a:p>
              </c:txPr>
              <c:dLblPos val="t"/>
            </c:dLbl>
            <c:dLbl>
              <c:idx val="27"/>
              <c:tx>
                <c:strRef>
                  <c:f>Input!$AH$35</c:f>
                  <c:strCache>
                    <c:ptCount val="1"/>
                  </c:strCache>
                </c:strRef>
              </c:tx>
              <c:spPr>
                <a:noFill/>
                <a:ln w="25400">
                  <a:noFill/>
                </a:ln>
              </c:spPr>
              <c:txPr>
                <a:bodyPr/>
                <a:lstStyle/>
                <a:p>
                  <a:pPr>
                    <a:defRPr sz="1000" b="1" i="0" u="none" strike="noStrike" baseline="0">
                      <a:solidFill>
                        <a:srgbClr val="000000"/>
                      </a:solidFill>
                      <a:latin typeface="Arial"/>
                      <a:ea typeface="Arial"/>
                      <a:cs typeface="Arial"/>
                    </a:defRPr>
                  </a:pPr>
                  <a:endParaRPr lang="en-US"/>
                </a:p>
              </c:txPr>
              <c:dLblPos val="t"/>
            </c:dLbl>
            <c:dLbl>
              <c:idx val="28"/>
              <c:tx>
                <c:strRef>
                  <c:f>Input!$AH$36</c:f>
                  <c:strCache>
                    <c:ptCount val="1"/>
                  </c:strCache>
                </c:strRef>
              </c:tx>
              <c:spPr>
                <a:noFill/>
                <a:ln w="25400">
                  <a:noFill/>
                </a:ln>
              </c:spPr>
              <c:txPr>
                <a:bodyPr/>
                <a:lstStyle/>
                <a:p>
                  <a:pPr>
                    <a:defRPr sz="1000" b="1" i="0" u="none" strike="noStrike" baseline="0">
                      <a:solidFill>
                        <a:srgbClr val="000000"/>
                      </a:solidFill>
                      <a:latin typeface="Arial"/>
                      <a:ea typeface="Arial"/>
                      <a:cs typeface="Arial"/>
                    </a:defRPr>
                  </a:pPr>
                  <a:endParaRPr lang="en-US"/>
                </a:p>
              </c:txPr>
              <c:dLblPos val="t"/>
            </c:dLbl>
            <c:dLbl>
              <c:idx val="29"/>
              <c:tx>
                <c:strRef>
                  <c:f>Input!$AH$37</c:f>
                  <c:strCache>
                    <c:ptCount val="1"/>
                  </c:strCache>
                </c:strRef>
              </c:tx>
              <c:spPr>
                <a:noFill/>
                <a:ln w="25400">
                  <a:noFill/>
                </a:ln>
              </c:spPr>
              <c:txPr>
                <a:bodyPr/>
                <a:lstStyle/>
                <a:p>
                  <a:pPr>
                    <a:defRPr sz="1000" b="1" i="0" u="none" strike="noStrike" baseline="0">
                      <a:solidFill>
                        <a:srgbClr val="000000"/>
                      </a:solidFill>
                      <a:latin typeface="Arial"/>
                      <a:ea typeface="Arial"/>
                      <a:cs typeface="Arial"/>
                    </a:defRPr>
                  </a:pPr>
                  <a:endParaRPr lang="en-US"/>
                </a:p>
              </c:txPr>
              <c:dLblPos val="t"/>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Val val="1"/>
          </c:dLbls>
          <c:xVal>
            <c:numRef>
              <c:f>Input!$BY$8:$BY$37</c:f>
              <c:numCache>
                <c:formatCode>0.000</c:formatCode>
                <c:ptCount val="30"/>
                <c:pt idx="0">
                  <c:v>0.51166205962059619</c:v>
                </c:pt>
                <c:pt idx="1">
                  <c:v>0.53056054054054058</c:v>
                </c:pt>
                <c:pt idx="2">
                  <c:v>1.0747779194495042</c:v>
                </c:pt>
                <c:pt idx="3">
                  <c:v>1.0721891857506363</c:v>
                </c:pt>
                <c:pt idx="4">
                  <c:v>0.62740508940852813</c:v>
                </c:pt>
                <c:pt idx="5">
                  <c:v>0.68308591549295772</c:v>
                </c:pt>
                <c:pt idx="6">
                  <c:v>0.66365229885057486</c:v>
                </c:pt>
                <c:pt idx="7">
                  <c:v>0.69731400966183577</c:v>
                </c:pt>
                <c:pt idx="8">
                  <c:v>0.63951265822784809</c:v>
                </c:pt>
                <c:pt idx="9">
                  <c:v>0.60694474393530995</c:v>
                </c:pt>
                <c:pt idx="10">
                  <c:v>0.7752430183356841</c:v>
                </c:pt>
                <c:pt idx="11">
                  <c:v>0.49742923076923085</c:v>
                </c:pt>
                <c:pt idx="12">
                  <c:v>0.3969401785714286</c:v>
                </c:pt>
                <c:pt idx="13">
                  <c:v>0.62088904109589049</c:v>
                </c:pt>
                <c:pt idx="14">
                  <c:v>0.71326577998196572</c:v>
                </c:pt>
                <c:pt idx="15">
                  <c:v>1.090551851851852</c:v>
                </c:pt>
                <c:pt idx="16">
                  <c:v>0.48746475409836065</c:v>
                </c:pt>
                <c:pt idx="17">
                  <c:v>0.6088983601922533</c:v>
                </c:pt>
                <c:pt idx="18">
                  <c:v>0.57804668166479189</c:v>
                </c:pt>
                <c:pt idx="19">
                  <c:v>0.62721981856245645</c:v>
                </c:pt>
                <c:pt idx="20">
                  <c:v>0</c:v>
                </c:pt>
                <c:pt idx="21">
                  <c:v>0</c:v>
                </c:pt>
                <c:pt idx="22">
                  <c:v>0</c:v>
                </c:pt>
                <c:pt idx="23">
                  <c:v>0</c:v>
                </c:pt>
                <c:pt idx="24">
                  <c:v>0</c:v>
                </c:pt>
                <c:pt idx="25">
                  <c:v>0</c:v>
                </c:pt>
                <c:pt idx="26">
                  <c:v>0</c:v>
                </c:pt>
                <c:pt idx="27">
                  <c:v>0</c:v>
                </c:pt>
                <c:pt idx="28">
                  <c:v>0</c:v>
                </c:pt>
                <c:pt idx="29">
                  <c:v>0</c:v>
                </c:pt>
              </c:numCache>
            </c:numRef>
          </c:xVal>
          <c:yVal>
            <c:numRef>
              <c:f>Input!$BZ$8:$BZ$37</c:f>
              <c:numCache>
                <c:formatCode>0.000</c:formatCode>
                <c:ptCount val="30"/>
                <c:pt idx="0">
                  <c:v>0.53387533875338755</c:v>
                </c:pt>
                <c:pt idx="1">
                  <c:v>0.45405405405405408</c:v>
                </c:pt>
                <c:pt idx="2">
                  <c:v>5.0192268771503741E-2</c:v>
                </c:pt>
                <c:pt idx="3">
                  <c:v>5.4707379134860054E-2</c:v>
                </c:pt>
                <c:pt idx="4">
                  <c:v>0.46767537826685007</c:v>
                </c:pt>
                <c:pt idx="5">
                  <c:v>0.47887323943661969</c:v>
                </c:pt>
                <c:pt idx="6">
                  <c:v>0.63218390804597702</c:v>
                </c:pt>
                <c:pt idx="7">
                  <c:v>0.6280193236714976</c:v>
                </c:pt>
                <c:pt idx="8">
                  <c:v>0.85443037974683544</c:v>
                </c:pt>
                <c:pt idx="9">
                  <c:v>0.53908355795148244</c:v>
                </c:pt>
                <c:pt idx="10">
                  <c:v>0.28490832157968971</c:v>
                </c:pt>
                <c:pt idx="11">
                  <c:v>0.4</c:v>
                </c:pt>
                <c:pt idx="12">
                  <c:v>0.24107142857142858</c:v>
                </c:pt>
                <c:pt idx="13">
                  <c:v>0.80136986301369861</c:v>
                </c:pt>
                <c:pt idx="14">
                  <c:v>0.76194770063119932</c:v>
                </c:pt>
                <c:pt idx="15">
                  <c:v>3.7037037037037035E-2</c:v>
                </c:pt>
                <c:pt idx="16">
                  <c:v>0.59836065573770492</c:v>
                </c:pt>
                <c:pt idx="17">
                  <c:v>0.89341249646593157</c:v>
                </c:pt>
                <c:pt idx="18">
                  <c:v>0.94488188976377951</c:v>
                </c:pt>
                <c:pt idx="19">
                  <c:v>0.90020935101186328</c:v>
                </c:pt>
                <c:pt idx="20">
                  <c:v>-1</c:v>
                </c:pt>
                <c:pt idx="21">
                  <c:v>-1</c:v>
                </c:pt>
                <c:pt idx="22">
                  <c:v>-1</c:v>
                </c:pt>
                <c:pt idx="23">
                  <c:v>-1</c:v>
                </c:pt>
                <c:pt idx="24">
                  <c:v>-1</c:v>
                </c:pt>
                <c:pt idx="25">
                  <c:v>-1</c:v>
                </c:pt>
                <c:pt idx="26">
                  <c:v>-1</c:v>
                </c:pt>
                <c:pt idx="27">
                  <c:v>-1</c:v>
                </c:pt>
                <c:pt idx="28">
                  <c:v>-1</c:v>
                </c:pt>
                <c:pt idx="29">
                  <c:v>-1</c:v>
                </c:pt>
              </c:numCache>
            </c:numRef>
          </c:yVal>
        </c:ser>
        <c:axId val="103002112"/>
        <c:axId val="103003648"/>
      </c:scatterChart>
      <c:valAx>
        <c:axId val="103002112"/>
        <c:scaling>
          <c:orientation val="minMax"/>
          <c:max val="1.4"/>
          <c:min val="-0.2"/>
        </c:scaling>
        <c:delete val="1"/>
        <c:axPos val="b"/>
        <c:numFmt formatCode="General" sourceLinked="1"/>
        <c:tickLblPos val="none"/>
        <c:crossAx val="103003648"/>
        <c:crosses val="autoZero"/>
        <c:crossBetween val="midCat"/>
      </c:valAx>
      <c:valAx>
        <c:axId val="103003648"/>
        <c:scaling>
          <c:orientation val="minMax"/>
          <c:max val="1.2"/>
          <c:min val="-0.2"/>
        </c:scaling>
        <c:delete val="1"/>
        <c:axPos val="l"/>
        <c:numFmt formatCode="General" sourceLinked="1"/>
        <c:tickLblPos val="none"/>
        <c:crossAx val="103002112"/>
        <c:crosses val="autoZero"/>
        <c:crossBetween val="midCat"/>
      </c:valAx>
      <c:spPr>
        <a:noFill/>
        <a:ln w="25400">
          <a:noFill/>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5.327413984461709E-2"/>
          <c:y val="2.6874115983026966E-2"/>
          <c:w val="0.89345172031076558"/>
          <c:h val="0.96605374823196521"/>
        </c:manualLayout>
      </c:layout>
      <c:scatterChart>
        <c:scatterStyle val="lineMarker"/>
        <c:ser>
          <c:idx val="0"/>
          <c:order val="0"/>
          <c:tx>
            <c:v>border</c:v>
          </c:tx>
          <c:spPr>
            <a:ln w="38100">
              <a:solidFill>
                <a:srgbClr val="000000"/>
              </a:solidFill>
              <a:prstDash val="solid"/>
            </a:ln>
          </c:spPr>
          <c:marker>
            <c:symbol val="none"/>
          </c:marker>
          <c:dLbls>
            <c:dLbl>
              <c:idx val="0"/>
              <c:delete val="1"/>
            </c:dLbl>
            <c:dLbl>
              <c:idx val="1"/>
              <c:layout/>
              <c:tx>
                <c:strRef>
                  <c:f>Input!$CF$7</c:f>
                  <c:strCache>
                    <c:ptCount val="1"/>
                    <c:pt idx="0">
                      <c:v>Cl</c:v>
                    </c:pt>
                  </c:strCache>
                </c:strRef>
              </c:tx>
              <c:spPr>
                <a:noFill/>
                <a:ln w="25400">
                  <a:noFill/>
                </a:ln>
              </c:spPr>
              <c:txPr>
                <a:bodyPr/>
                <a:lstStyle/>
                <a:p>
                  <a:pPr algn="l">
                    <a:defRPr sz="1600" b="1" i="0" u="none" strike="noStrike" baseline="0">
                      <a:solidFill>
                        <a:srgbClr val="000000"/>
                      </a:solidFill>
                      <a:latin typeface="Arial"/>
                      <a:ea typeface="Arial"/>
                      <a:cs typeface="Arial"/>
                    </a:defRPr>
                  </a:pPr>
                  <a:endParaRPr lang="en-US"/>
                </a:p>
              </c:txPr>
              <c:dLblPos val="t"/>
            </c:dLbl>
            <c:dLbl>
              <c:idx val="2"/>
              <c:layout/>
              <c:tx>
                <c:strRef>
                  <c:f>Input!$CH$7</c:f>
                  <c:strCache>
                    <c:ptCount val="1"/>
                    <c:pt idx="0">
                      <c:v>HCO3</c:v>
                    </c:pt>
                  </c:strCache>
                </c:strRef>
              </c:tx>
              <c:spPr>
                <a:noFill/>
                <a:ln w="25400">
                  <a:noFill/>
                </a:ln>
              </c:spPr>
              <c:txPr>
                <a:bodyPr/>
                <a:lstStyle/>
                <a:p>
                  <a:pPr algn="l">
                    <a:defRPr sz="1600" b="1" i="0" u="none" strike="noStrike" baseline="0">
                      <a:solidFill>
                        <a:srgbClr val="000000"/>
                      </a:solidFill>
                      <a:latin typeface="Arial"/>
                      <a:ea typeface="Arial"/>
                      <a:cs typeface="Arial"/>
                    </a:defRPr>
                  </a:pPr>
                  <a:endParaRPr lang="en-US"/>
                </a:p>
              </c:txPr>
            </c:dLbl>
            <c:dLbl>
              <c:idx val="3"/>
              <c:layout/>
              <c:tx>
                <c:strRef>
                  <c:f>Input!$CG$7</c:f>
                  <c:strCache>
                    <c:ptCount val="1"/>
                    <c:pt idx="0">
                      <c:v>SO4</c:v>
                    </c:pt>
                  </c:strCache>
                </c:strRef>
              </c:tx>
              <c:spPr>
                <a:noFill/>
                <a:ln w="25400">
                  <a:noFill/>
                </a:ln>
              </c:spPr>
              <c:txPr>
                <a:bodyPr/>
                <a:lstStyle/>
                <a:p>
                  <a:pPr>
                    <a:defRPr sz="1600" b="1" i="0" u="none" strike="noStrike" baseline="0">
                      <a:solidFill>
                        <a:srgbClr val="000000"/>
                      </a:solidFill>
                      <a:latin typeface="Arial"/>
                      <a:ea typeface="Arial"/>
                      <a:cs typeface="Arial"/>
                    </a:defRPr>
                  </a:pPr>
                  <a:endParaRPr lang="en-US"/>
                </a:p>
              </c:txPr>
              <c:dLblPos val="l"/>
            </c:dLbl>
            <c:spPr>
              <a:noFill/>
              <a:ln w="25400">
                <a:noFill/>
              </a:ln>
            </c:spPr>
            <c:txPr>
              <a:bodyPr/>
              <a:lstStyle/>
              <a:p>
                <a:pPr algn="l">
                  <a:defRPr sz="1600" b="0" i="0" u="none" strike="noStrike" baseline="0">
                    <a:solidFill>
                      <a:srgbClr val="000000"/>
                    </a:solidFill>
                    <a:latin typeface="Arial"/>
                    <a:ea typeface="Arial"/>
                    <a:cs typeface="Arial"/>
                  </a:defRPr>
                </a:pPr>
                <a:endParaRPr lang="en-US"/>
              </a:p>
            </c:txPr>
            <c:showVal val="1"/>
          </c:dLbls>
          <c:xVal>
            <c:numRef>
              <c:f>Tgrid!$A$5:$A$8</c:f>
              <c:numCache>
                <c:formatCode>General</c:formatCode>
                <c:ptCount val="4"/>
                <c:pt idx="0">
                  <c:v>0</c:v>
                </c:pt>
                <c:pt idx="1">
                  <c:v>0.57740000000000002</c:v>
                </c:pt>
                <c:pt idx="2">
                  <c:v>1.1547000000000001</c:v>
                </c:pt>
                <c:pt idx="3">
                  <c:v>0</c:v>
                </c:pt>
              </c:numCache>
            </c:numRef>
          </c:xVal>
          <c:yVal>
            <c:numRef>
              <c:f>Tgrid!$B$5:$B$8</c:f>
              <c:numCache>
                <c:formatCode>General</c:formatCode>
                <c:ptCount val="4"/>
                <c:pt idx="0">
                  <c:v>0</c:v>
                </c:pt>
                <c:pt idx="1">
                  <c:v>1</c:v>
                </c:pt>
                <c:pt idx="2">
                  <c:v>0</c:v>
                </c:pt>
                <c:pt idx="3">
                  <c:v>0</c:v>
                </c:pt>
              </c:numCache>
            </c:numRef>
          </c:yVal>
        </c:ser>
        <c:ser>
          <c:idx val="1"/>
          <c:order val="1"/>
          <c:tx>
            <c:v>A grid</c:v>
          </c:tx>
          <c:spPr>
            <a:ln w="3175">
              <a:solidFill>
                <a:srgbClr val="808080"/>
              </a:solidFill>
              <a:prstDash val="sysDash"/>
            </a:ln>
          </c:spPr>
          <c:marker>
            <c:symbol val="none"/>
          </c:marker>
          <c:dLbls>
            <c:dLbl>
              <c:idx val="0"/>
              <c:layout/>
              <c:tx>
                <c:rich>
                  <a:bodyPr/>
                  <a:lstStyle/>
                  <a:p>
                    <a:r>
                      <a:rPr lang="en-NZ"/>
                      <a:t>10%</a:t>
                    </a:r>
                  </a:p>
                </c:rich>
              </c:tx>
              <c:dLblPos val="l"/>
            </c:dLbl>
            <c:dLbl>
              <c:idx val="1"/>
              <c:delete val="1"/>
            </c:dLbl>
            <c:dLbl>
              <c:idx val="2"/>
              <c:delete val="1"/>
            </c:dLbl>
            <c:dLbl>
              <c:idx val="3"/>
              <c:layout/>
              <c:tx>
                <c:rich>
                  <a:bodyPr/>
                  <a:lstStyle/>
                  <a:p>
                    <a:r>
                      <a:rPr lang="en-NZ"/>
                      <a:t>20%</a:t>
                    </a:r>
                  </a:p>
                </c:rich>
              </c:tx>
              <c:dLblPos val="l"/>
            </c:dLbl>
            <c:dLbl>
              <c:idx val="4"/>
              <c:layout/>
              <c:tx>
                <c:rich>
                  <a:bodyPr/>
                  <a:lstStyle/>
                  <a:p>
                    <a:r>
                      <a:rPr lang="en-NZ"/>
                      <a:t>30%</a:t>
                    </a:r>
                  </a:p>
                </c:rich>
              </c:tx>
              <c:dLblPos val="l"/>
            </c:dLbl>
            <c:dLbl>
              <c:idx val="5"/>
              <c:delete val="1"/>
            </c:dLbl>
            <c:dLbl>
              <c:idx val="6"/>
              <c:delete val="1"/>
            </c:dLbl>
            <c:dLbl>
              <c:idx val="7"/>
              <c:layout/>
              <c:tx>
                <c:rich>
                  <a:bodyPr/>
                  <a:lstStyle/>
                  <a:p>
                    <a:r>
                      <a:rPr lang="en-NZ"/>
                      <a:t>40%</a:t>
                    </a:r>
                  </a:p>
                </c:rich>
              </c:tx>
              <c:dLblPos val="l"/>
            </c:dLbl>
            <c:dLbl>
              <c:idx val="8"/>
              <c:layout/>
              <c:tx>
                <c:rich>
                  <a:bodyPr/>
                  <a:lstStyle/>
                  <a:p>
                    <a:r>
                      <a:rPr lang="en-NZ"/>
                      <a:t>50%</a:t>
                    </a:r>
                  </a:p>
                </c:rich>
              </c:tx>
              <c:dLblPos val="l"/>
            </c:dLbl>
            <c:dLbl>
              <c:idx val="9"/>
              <c:delete val="1"/>
            </c:dLbl>
            <c:dLbl>
              <c:idx val="10"/>
              <c:delete val="1"/>
            </c:dLbl>
            <c:dLbl>
              <c:idx val="11"/>
              <c:layout/>
              <c:tx>
                <c:rich>
                  <a:bodyPr/>
                  <a:lstStyle/>
                  <a:p>
                    <a:r>
                      <a:rPr lang="en-NZ"/>
                      <a:t>60%</a:t>
                    </a:r>
                  </a:p>
                </c:rich>
              </c:tx>
              <c:dLblPos val="l"/>
            </c:dLbl>
            <c:dLbl>
              <c:idx val="12"/>
              <c:layout/>
              <c:tx>
                <c:rich>
                  <a:bodyPr/>
                  <a:lstStyle/>
                  <a:p>
                    <a:r>
                      <a:rPr lang="en-NZ"/>
                      <a:t>70%</a:t>
                    </a:r>
                  </a:p>
                </c:rich>
              </c:tx>
              <c:dLblPos val="l"/>
            </c:dLbl>
            <c:dLbl>
              <c:idx val="13"/>
              <c:delete val="1"/>
            </c:dLbl>
            <c:dLbl>
              <c:idx val="14"/>
              <c:delete val="1"/>
            </c:dLbl>
            <c:dLbl>
              <c:idx val="15"/>
              <c:layout/>
              <c:tx>
                <c:rich>
                  <a:bodyPr/>
                  <a:lstStyle/>
                  <a:p>
                    <a:r>
                      <a:rPr lang="en-NZ"/>
                      <a:t>80%</a:t>
                    </a:r>
                  </a:p>
                </c:rich>
              </c:tx>
              <c:dLblPos val="l"/>
            </c:dLbl>
            <c:dLbl>
              <c:idx val="16"/>
              <c:layout/>
              <c:tx>
                <c:rich>
                  <a:bodyPr/>
                  <a:lstStyle/>
                  <a:p>
                    <a:r>
                      <a:rPr lang="en-NZ"/>
                      <a:t>90%</a:t>
                    </a:r>
                  </a:p>
                </c:rich>
              </c:tx>
              <c:dLblPos val="l"/>
            </c:dLbl>
            <c:dLbl>
              <c:idx val="17"/>
              <c:delete val="1"/>
            </c:dLbl>
            <c:spPr>
              <a:noFill/>
              <a:ln w="25400">
                <a:noFill/>
              </a:ln>
            </c:spPr>
            <c:txPr>
              <a:bodyPr/>
              <a:lstStyle/>
              <a:p>
                <a:pPr>
                  <a:defRPr sz="1200" b="0" i="0" u="none" strike="noStrike" baseline="0">
                    <a:solidFill>
                      <a:srgbClr val="808080"/>
                    </a:solidFill>
                    <a:latin typeface="Arial"/>
                    <a:ea typeface="Arial"/>
                    <a:cs typeface="Arial"/>
                  </a:defRPr>
                </a:pPr>
                <a:endParaRPr lang="en-US"/>
              </a:p>
            </c:txPr>
            <c:dLblPos val="l"/>
            <c:showVal val="1"/>
          </c:dLbls>
          <c:xVal>
            <c:numRef>
              <c:f>Tgrid!$F$5:$F$22</c:f>
              <c:numCache>
                <c:formatCode>General</c:formatCode>
                <c:ptCount val="18"/>
                <c:pt idx="0">
                  <c:v>5.7740000000000007E-2</c:v>
                </c:pt>
                <c:pt idx="1">
                  <c:v>1.09697</c:v>
                </c:pt>
                <c:pt idx="2">
                  <c:v>1.0392400000000002</c:v>
                </c:pt>
                <c:pt idx="3">
                  <c:v>0.11548000000000001</c:v>
                </c:pt>
                <c:pt idx="4">
                  <c:v>0.17322000000000001</c:v>
                </c:pt>
                <c:pt idx="5">
                  <c:v>0.98150999999999999</c:v>
                </c:pt>
                <c:pt idx="6">
                  <c:v>0.92378000000000005</c:v>
                </c:pt>
                <c:pt idx="7">
                  <c:v>0.23096000000000003</c:v>
                </c:pt>
                <c:pt idx="8">
                  <c:v>0.28870000000000001</c:v>
                </c:pt>
                <c:pt idx="9">
                  <c:v>0.86604999999999999</c:v>
                </c:pt>
                <c:pt idx="10">
                  <c:v>0.80832000000000015</c:v>
                </c:pt>
                <c:pt idx="11">
                  <c:v>0.34644000000000003</c:v>
                </c:pt>
                <c:pt idx="12">
                  <c:v>0.40417999999999998</c:v>
                </c:pt>
                <c:pt idx="13">
                  <c:v>0.75058999999999998</c:v>
                </c:pt>
                <c:pt idx="14">
                  <c:v>0.69286000000000003</c:v>
                </c:pt>
                <c:pt idx="15">
                  <c:v>0.46192000000000005</c:v>
                </c:pt>
                <c:pt idx="16">
                  <c:v>0.51966000000000001</c:v>
                </c:pt>
                <c:pt idx="17">
                  <c:v>0.63512999999999997</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er>
        <c:ser>
          <c:idx val="2"/>
          <c:order val="2"/>
          <c:tx>
            <c:v>B grid</c:v>
          </c:tx>
          <c:spPr>
            <a:ln w="3175">
              <a:solidFill>
                <a:srgbClr val="808080"/>
              </a:solidFill>
              <a:prstDash val="sysDash"/>
            </a:ln>
          </c:spPr>
          <c:marker>
            <c:symbol val="none"/>
          </c:marker>
          <c:dLbls>
            <c:dLbl>
              <c:idx val="0"/>
              <c:layout>
                <c:manualLayout>
                  <c:x val="-2.0037928111372349E-2"/>
                  <c:y val="3.6075243069863927E-2"/>
                </c:manualLayout>
              </c:layout>
              <c:tx>
                <c:rich>
                  <a:bodyPr/>
                  <a:lstStyle/>
                  <a:p>
                    <a:r>
                      <a:rPr lang="en-NZ"/>
                      <a:t>90%</a:t>
                    </a:r>
                  </a:p>
                </c:rich>
              </c:tx>
              <c:dLblPos val="r"/>
            </c:dLbl>
            <c:dLbl>
              <c:idx val="1"/>
              <c:delete val="1"/>
            </c:dLbl>
            <c:dLbl>
              <c:idx val="2"/>
              <c:delete val="1"/>
            </c:dLbl>
            <c:dLbl>
              <c:idx val="3"/>
              <c:layout>
                <c:manualLayout>
                  <c:x val="-2.2364069086258785E-2"/>
                  <c:y val="3.3246388755861001E-2"/>
                </c:manualLayout>
              </c:layout>
              <c:tx>
                <c:rich>
                  <a:bodyPr/>
                  <a:lstStyle/>
                  <a:p>
                    <a:r>
                      <a:rPr lang="en-NZ"/>
                      <a:t>80%</a:t>
                    </a:r>
                  </a:p>
                </c:rich>
              </c:tx>
              <c:dLblPos val="r"/>
            </c:dLbl>
            <c:dLbl>
              <c:idx val="4"/>
              <c:layout>
                <c:manualLayout>
                  <c:x val="-1.8030942580568095E-2"/>
                  <c:y val="3.6075243069863927E-2"/>
                </c:manualLayout>
              </c:layout>
              <c:tx>
                <c:rich>
                  <a:bodyPr/>
                  <a:lstStyle/>
                  <a:p>
                    <a:r>
                      <a:rPr lang="en-NZ"/>
                      <a:t>70%</a:t>
                    </a:r>
                  </a:p>
                </c:rich>
              </c:tx>
              <c:dLblPos val="r"/>
            </c:dLbl>
            <c:dLbl>
              <c:idx val="5"/>
              <c:delete val="1"/>
            </c:dLbl>
            <c:dLbl>
              <c:idx val="6"/>
              <c:delete val="1"/>
            </c:dLbl>
            <c:dLbl>
              <c:idx val="7"/>
              <c:layout>
                <c:manualLayout>
                  <c:x val="-2.035708355545459E-2"/>
                  <c:y val="3.6075243069863927E-2"/>
                </c:manualLayout>
              </c:layout>
              <c:tx>
                <c:rich>
                  <a:bodyPr/>
                  <a:lstStyle/>
                  <a:p>
                    <a:r>
                      <a:rPr lang="en-NZ"/>
                      <a:t>60%</a:t>
                    </a:r>
                  </a:p>
                </c:rich>
              </c:tx>
              <c:dLblPos val="r"/>
            </c:dLbl>
            <c:dLbl>
              <c:idx val="8"/>
              <c:layout>
                <c:manualLayout>
                  <c:x val="-2.0463468703482007E-2"/>
                  <c:y val="3.6075243069863927E-2"/>
                </c:manualLayout>
              </c:layout>
              <c:tx>
                <c:rich>
                  <a:bodyPr/>
                  <a:lstStyle/>
                  <a:p>
                    <a:r>
                      <a:rPr lang="en-NZ"/>
                      <a:t>50%</a:t>
                    </a:r>
                  </a:p>
                </c:rich>
              </c:tx>
              <c:dLblPos val="r"/>
            </c:dLbl>
            <c:dLbl>
              <c:idx val="9"/>
              <c:delete val="1"/>
            </c:dLbl>
            <c:dLbl>
              <c:idx val="10"/>
              <c:delete val="1"/>
            </c:dLbl>
            <c:dLbl>
              <c:idx val="11"/>
              <c:layout>
                <c:manualLayout>
                  <c:x val="-1.8350098024650284E-2"/>
                  <c:y val="3.6075243069863927E-2"/>
                </c:manualLayout>
              </c:layout>
              <c:tx>
                <c:rich>
                  <a:bodyPr/>
                  <a:lstStyle/>
                  <a:p>
                    <a:r>
                      <a:rPr lang="en-NZ"/>
                      <a:t>40%</a:t>
                    </a:r>
                  </a:p>
                </c:rich>
              </c:tx>
              <c:dLblPos val="r"/>
            </c:dLbl>
            <c:dLbl>
              <c:idx val="12"/>
              <c:layout>
                <c:manualLayout>
                  <c:x val="-1.8456483172677739E-2"/>
                  <c:y val="3.6075243069863927E-2"/>
                </c:manualLayout>
              </c:layout>
              <c:tx>
                <c:rich>
                  <a:bodyPr/>
                  <a:lstStyle/>
                  <a:p>
                    <a:r>
                      <a:rPr lang="en-NZ"/>
                      <a:t>30%</a:t>
                    </a:r>
                  </a:p>
                </c:rich>
              </c:tx>
              <c:dLblPos val="r"/>
            </c:dLbl>
            <c:dLbl>
              <c:idx val="13"/>
              <c:delete val="1"/>
            </c:dLbl>
            <c:dLbl>
              <c:idx val="14"/>
              <c:delete val="1"/>
            </c:dLbl>
            <c:dLbl>
              <c:idx val="15"/>
              <c:layout>
                <c:manualLayout>
                  <c:x val="-1.6342995971230533E-2"/>
                  <c:y val="3.3246388755861001E-2"/>
                </c:manualLayout>
              </c:layout>
              <c:tx>
                <c:rich>
                  <a:bodyPr/>
                  <a:lstStyle/>
                  <a:p>
                    <a:r>
                      <a:rPr lang="en-NZ"/>
                      <a:t>20%</a:t>
                    </a:r>
                  </a:p>
                </c:rich>
              </c:tx>
              <c:dLblPos val="r"/>
            </c:dLbl>
            <c:dLbl>
              <c:idx val="16"/>
              <c:layout>
                <c:manualLayout>
                  <c:x val="-2.0888892772976068E-2"/>
                  <c:y val="3.3246388755861001E-2"/>
                </c:manualLayout>
              </c:layout>
              <c:tx>
                <c:rich>
                  <a:bodyPr/>
                  <a:lstStyle/>
                  <a:p>
                    <a:r>
                      <a:rPr lang="en-NZ"/>
                      <a:t>10%</a:t>
                    </a:r>
                  </a:p>
                </c:rich>
              </c:tx>
              <c:dLblPos val="r"/>
            </c:dLbl>
            <c:dLbl>
              <c:idx val="17"/>
              <c:delete val="1"/>
            </c:dLbl>
            <c:spPr>
              <a:noFill/>
              <a:ln w="25400">
                <a:noFill/>
              </a:ln>
            </c:spPr>
            <c:txPr>
              <a:bodyPr rot="3600000" vert="horz"/>
              <a:lstStyle/>
              <a:p>
                <a:pPr algn="l">
                  <a:defRPr sz="1200" b="0" i="0" u="none" strike="noStrike" baseline="0">
                    <a:solidFill>
                      <a:srgbClr val="808080"/>
                    </a:solidFill>
                    <a:latin typeface="Arial"/>
                    <a:ea typeface="Arial"/>
                    <a:cs typeface="Arial"/>
                  </a:defRPr>
                </a:pPr>
                <a:endParaRPr lang="en-US"/>
              </a:p>
            </c:txPr>
            <c:dLblPos val="b"/>
            <c:showVal val="1"/>
          </c:dLbls>
          <c:xVal>
            <c:numRef>
              <c:f>Tgrid!$K$5:$K$22</c:f>
              <c:numCache>
                <c:formatCode>General</c:formatCode>
                <c:ptCount val="18"/>
                <c:pt idx="0">
                  <c:v>0.11547000000000002</c:v>
                </c:pt>
                <c:pt idx="1">
                  <c:v>5.7740000000000007E-2</c:v>
                </c:pt>
                <c:pt idx="2">
                  <c:v>0.11548000000000001</c:v>
                </c:pt>
                <c:pt idx="3">
                  <c:v>0.23094000000000003</c:v>
                </c:pt>
                <c:pt idx="4">
                  <c:v>0.34641</c:v>
                </c:pt>
                <c:pt idx="5">
                  <c:v>0.17322000000000001</c:v>
                </c:pt>
                <c:pt idx="6">
                  <c:v>0.23096000000000003</c:v>
                </c:pt>
                <c:pt idx="7">
                  <c:v>0.46188000000000007</c:v>
                </c:pt>
                <c:pt idx="8">
                  <c:v>0.57735000000000003</c:v>
                </c:pt>
                <c:pt idx="9">
                  <c:v>0.28870000000000001</c:v>
                </c:pt>
                <c:pt idx="10">
                  <c:v>0.34644000000000003</c:v>
                </c:pt>
                <c:pt idx="11">
                  <c:v>0.69281999999999999</c:v>
                </c:pt>
                <c:pt idx="12">
                  <c:v>0.80828999999999995</c:v>
                </c:pt>
                <c:pt idx="13">
                  <c:v>0.40417999999999998</c:v>
                </c:pt>
                <c:pt idx="14">
                  <c:v>0.46192000000000005</c:v>
                </c:pt>
                <c:pt idx="15">
                  <c:v>0.92376000000000014</c:v>
                </c:pt>
                <c:pt idx="16">
                  <c:v>1.0392300000000001</c:v>
                </c:pt>
                <c:pt idx="17">
                  <c:v>0.51966000000000001</c:v>
                </c:pt>
              </c:numCache>
            </c:numRef>
          </c:xVal>
          <c:yVal>
            <c:numRef>
              <c:f>Tgrid!$L$5:$L$22</c:f>
              <c:numCache>
                <c:formatCode>0.00</c:formatCode>
                <c:ptCount val="18"/>
                <c:pt idx="0">
                  <c:v>0</c:v>
                </c:pt>
                <c:pt idx="1">
                  <c:v>0.1</c:v>
                </c:pt>
                <c:pt idx="2">
                  <c:v>0.2</c:v>
                </c:pt>
                <c:pt idx="3">
                  <c:v>0</c:v>
                </c:pt>
                <c:pt idx="4">
                  <c:v>0</c:v>
                </c:pt>
                <c:pt idx="5">
                  <c:v>0.3</c:v>
                </c:pt>
                <c:pt idx="6">
                  <c:v>0.4</c:v>
                </c:pt>
                <c:pt idx="7">
                  <c:v>0</c:v>
                </c:pt>
                <c:pt idx="8">
                  <c:v>0</c:v>
                </c:pt>
                <c:pt idx="9">
                  <c:v>0.5</c:v>
                </c:pt>
                <c:pt idx="10">
                  <c:v>0.6</c:v>
                </c:pt>
                <c:pt idx="11">
                  <c:v>0</c:v>
                </c:pt>
                <c:pt idx="12">
                  <c:v>0</c:v>
                </c:pt>
                <c:pt idx="13">
                  <c:v>0.7</c:v>
                </c:pt>
                <c:pt idx="14">
                  <c:v>0.8</c:v>
                </c:pt>
                <c:pt idx="15">
                  <c:v>0</c:v>
                </c:pt>
                <c:pt idx="16">
                  <c:v>0</c:v>
                </c:pt>
                <c:pt idx="17">
                  <c:v>0.9</c:v>
                </c:pt>
              </c:numCache>
            </c:numRef>
          </c:yVal>
        </c:ser>
        <c:ser>
          <c:idx val="3"/>
          <c:order val="3"/>
          <c:tx>
            <c:v>C grid</c:v>
          </c:tx>
          <c:spPr>
            <a:ln w="3175">
              <a:solidFill>
                <a:srgbClr val="808080"/>
              </a:solidFill>
              <a:prstDash val="sysDash"/>
            </a:ln>
          </c:spPr>
          <c:marker>
            <c:symbol val="none"/>
          </c:marker>
          <c:dLbls>
            <c:dLbl>
              <c:idx val="0"/>
              <c:delete val="1"/>
            </c:dLbl>
            <c:dLbl>
              <c:idx val="1"/>
              <c:layout>
                <c:manualLayout>
                  <c:x val="-9.4429927668586208E-3"/>
                  <c:y val="-3.17162829893788E-2"/>
                </c:manualLayout>
              </c:layout>
              <c:tx>
                <c:rich>
                  <a:bodyPr/>
                  <a:lstStyle/>
                  <a:p>
                    <a:r>
                      <a:rPr lang="en-NZ"/>
                      <a:t>10%</a:t>
                    </a:r>
                  </a:p>
                </c:rich>
              </c:tx>
              <c:dLblPos val="r"/>
            </c:dLbl>
            <c:dLbl>
              <c:idx val="2"/>
              <c:layout>
                <c:manualLayout>
                  <c:x val="-1.1713086363649565E-2"/>
                  <c:y val="-3.1413202062613547E-2"/>
                </c:manualLayout>
              </c:layout>
              <c:tx>
                <c:rich>
                  <a:bodyPr/>
                  <a:lstStyle/>
                  <a:p>
                    <a:r>
                      <a:rPr lang="en-NZ"/>
                      <a:t>20%</a:t>
                    </a:r>
                  </a:p>
                </c:rich>
              </c:tx>
              <c:dLblPos val="r"/>
            </c:dLbl>
            <c:dLbl>
              <c:idx val="3"/>
              <c:delete val="1"/>
            </c:dLbl>
            <c:dLbl>
              <c:idx val="4"/>
              <c:delete val="1"/>
            </c:dLbl>
            <c:dLbl>
              <c:idx val="5"/>
              <c:layout>
                <c:manualLayout>
                  <c:x val="-1.1763540656197063E-2"/>
                  <c:y val="-3.6767829763853795E-2"/>
                </c:manualLayout>
              </c:layout>
              <c:tx>
                <c:rich>
                  <a:bodyPr/>
                  <a:lstStyle/>
                  <a:p>
                    <a:r>
                      <a:rPr lang="en-NZ"/>
                      <a:t>30%</a:t>
                    </a:r>
                  </a:p>
                </c:rich>
              </c:tx>
              <c:dLblPos val="r"/>
            </c:dLbl>
            <c:dLbl>
              <c:idx val="6"/>
              <c:layout>
                <c:manualLayout>
                  <c:x val="-1.1813878426129047E-2"/>
                  <c:y val="-3.9293603151091261E-2"/>
                </c:manualLayout>
              </c:layout>
              <c:tx>
                <c:rich>
                  <a:bodyPr/>
                  <a:lstStyle/>
                  <a:p>
                    <a:r>
                      <a:rPr lang="en-NZ"/>
                      <a:t>40%</a:t>
                    </a:r>
                  </a:p>
                </c:rich>
              </c:tx>
              <c:dLblPos val="r"/>
            </c:dLbl>
            <c:dLbl>
              <c:idx val="7"/>
              <c:delete val="1"/>
            </c:dLbl>
            <c:dLbl>
              <c:idx val="8"/>
              <c:delete val="1"/>
            </c:dLbl>
            <c:dLbl>
              <c:idx val="9"/>
              <c:layout>
                <c:manualLayout>
                  <c:x val="-1.6303844372394634E-2"/>
                  <c:y val="-4.3233655199040703E-2"/>
                </c:manualLayout>
              </c:layout>
              <c:tx>
                <c:rich>
                  <a:bodyPr/>
                  <a:lstStyle/>
                  <a:p>
                    <a:r>
                      <a:rPr lang="en-NZ"/>
                      <a:t>50%</a:t>
                    </a:r>
                  </a:p>
                </c:rich>
              </c:tx>
              <c:dLblPos val="r"/>
            </c:dLbl>
            <c:dLbl>
              <c:idx val="10"/>
              <c:layout>
                <c:manualLayout>
                  <c:x val="-1.1914670488608397E-2"/>
                  <c:y val="-4.4345001429276824E-2"/>
                </c:manualLayout>
              </c:layout>
              <c:tx>
                <c:rich>
                  <a:bodyPr/>
                  <a:lstStyle/>
                  <a:p>
                    <a:r>
                      <a:rPr lang="en-NZ"/>
                      <a:t>60%</a:t>
                    </a:r>
                  </a:p>
                </c:rich>
              </c:tx>
              <c:dLblPos val="r"/>
            </c:dLbl>
            <c:dLbl>
              <c:idx val="11"/>
              <c:delete val="1"/>
            </c:dLbl>
            <c:dLbl>
              <c:idx val="12"/>
              <c:delete val="1"/>
            </c:dLbl>
            <c:dLbl>
              <c:idx val="13"/>
              <c:layout>
                <c:manualLayout>
                  <c:x val="-9.745368954296868E-3"/>
                  <c:y val="-4.1213066188508632E-2"/>
                </c:manualLayout>
              </c:layout>
              <c:tx>
                <c:rich>
                  <a:bodyPr/>
                  <a:lstStyle/>
                  <a:p>
                    <a:r>
                      <a:rPr lang="en-NZ"/>
                      <a:t>70%</a:t>
                    </a:r>
                  </a:p>
                </c:rich>
              </c:tx>
              <c:dLblPos val="r"/>
            </c:dLbl>
            <c:dLbl>
              <c:idx val="14"/>
              <c:layout>
                <c:manualLayout>
                  <c:x val="-1.2015462551087817E-2"/>
                  <c:y val="-4.0909985261743234E-2"/>
                </c:manualLayout>
              </c:layout>
              <c:tx>
                <c:rich>
                  <a:bodyPr/>
                  <a:lstStyle/>
                  <a:p>
                    <a:r>
                      <a:rPr lang="en-NZ"/>
                      <a:t>80%</a:t>
                    </a:r>
                  </a:p>
                </c:rich>
              </c:tx>
              <c:dLblPos val="r"/>
            </c:dLbl>
            <c:dLbl>
              <c:idx val="15"/>
              <c:delete val="1"/>
            </c:dLbl>
            <c:dLbl>
              <c:idx val="16"/>
              <c:delete val="1"/>
            </c:dLbl>
            <c:dLbl>
              <c:idx val="17"/>
              <c:layout>
                <c:manualLayout>
                  <c:x val="-1.0956038930205875E-2"/>
                  <c:y val="-4.6264612962983571E-2"/>
                </c:manualLayout>
              </c:layout>
              <c:tx>
                <c:rich>
                  <a:bodyPr/>
                  <a:lstStyle/>
                  <a:p>
                    <a:r>
                      <a:rPr lang="en-NZ"/>
                      <a:t>90%</a:t>
                    </a:r>
                  </a:p>
                </c:rich>
              </c:tx>
              <c:dLblPos val="r"/>
            </c:dLbl>
            <c:spPr>
              <a:noFill/>
              <a:ln w="25400">
                <a:noFill/>
              </a:ln>
            </c:spPr>
            <c:txPr>
              <a:bodyPr rot="-3600000" vert="horz"/>
              <a:lstStyle/>
              <a:p>
                <a:pPr algn="l">
                  <a:defRPr sz="1200" b="0" i="0" u="none" strike="noStrike" baseline="0">
                    <a:solidFill>
                      <a:srgbClr val="808080"/>
                    </a:solidFill>
                    <a:latin typeface="Arial"/>
                    <a:ea typeface="Arial"/>
                    <a:cs typeface="Arial"/>
                  </a:defRPr>
                </a:pPr>
                <a:endParaRPr lang="en-US"/>
              </a:p>
            </c:txPr>
            <c:dLblPos val="r"/>
            <c:showVal val="1"/>
          </c:dLbls>
          <c:xVal>
            <c:numRef>
              <c:f>Tgrid!$P$5:$P$22</c:f>
              <c:numCache>
                <c:formatCode>General</c:formatCode>
                <c:ptCount val="18"/>
                <c:pt idx="0">
                  <c:v>0.11547000000000002</c:v>
                </c:pt>
                <c:pt idx="1">
                  <c:v>0.63512999999999997</c:v>
                </c:pt>
                <c:pt idx="2">
                  <c:v>0.69286000000000003</c:v>
                </c:pt>
                <c:pt idx="3">
                  <c:v>0.23094000000000003</c:v>
                </c:pt>
                <c:pt idx="4">
                  <c:v>0.34641</c:v>
                </c:pt>
                <c:pt idx="5">
                  <c:v>0.75058999999999998</c:v>
                </c:pt>
                <c:pt idx="6">
                  <c:v>0.80832000000000015</c:v>
                </c:pt>
                <c:pt idx="7">
                  <c:v>0.46188000000000007</c:v>
                </c:pt>
                <c:pt idx="8">
                  <c:v>0.57735000000000003</c:v>
                </c:pt>
                <c:pt idx="9">
                  <c:v>0.86604999999999999</c:v>
                </c:pt>
                <c:pt idx="10">
                  <c:v>0.92378000000000005</c:v>
                </c:pt>
                <c:pt idx="11">
                  <c:v>0.69281999999999999</c:v>
                </c:pt>
                <c:pt idx="12">
                  <c:v>0.80828999999999995</c:v>
                </c:pt>
                <c:pt idx="13">
                  <c:v>0.98150999999999999</c:v>
                </c:pt>
                <c:pt idx="14">
                  <c:v>1.0392400000000002</c:v>
                </c:pt>
                <c:pt idx="15">
                  <c:v>0.92376000000000014</c:v>
                </c:pt>
                <c:pt idx="16">
                  <c:v>1.0392300000000001</c:v>
                </c:pt>
                <c:pt idx="17">
                  <c:v>1.09697</c:v>
                </c:pt>
              </c:numCache>
            </c:numRef>
          </c:xVal>
          <c:yVal>
            <c:numRef>
              <c:f>Tgrid!$Q$5:$Q$22</c:f>
              <c:numCache>
                <c:formatCode>0.00</c:formatCode>
                <c:ptCount val="18"/>
                <c:pt idx="0">
                  <c:v>0</c:v>
                </c:pt>
                <c:pt idx="1">
                  <c:v>0.9</c:v>
                </c:pt>
                <c:pt idx="2">
                  <c:v>0.8</c:v>
                </c:pt>
                <c:pt idx="3">
                  <c:v>0</c:v>
                </c:pt>
                <c:pt idx="4">
                  <c:v>0</c:v>
                </c:pt>
                <c:pt idx="5">
                  <c:v>0.7</c:v>
                </c:pt>
                <c:pt idx="6">
                  <c:v>0.6</c:v>
                </c:pt>
                <c:pt idx="7">
                  <c:v>0</c:v>
                </c:pt>
                <c:pt idx="8">
                  <c:v>0</c:v>
                </c:pt>
                <c:pt idx="9">
                  <c:v>0.5</c:v>
                </c:pt>
                <c:pt idx="10">
                  <c:v>0.4</c:v>
                </c:pt>
                <c:pt idx="11">
                  <c:v>0</c:v>
                </c:pt>
                <c:pt idx="12">
                  <c:v>0</c:v>
                </c:pt>
                <c:pt idx="13">
                  <c:v>0.3</c:v>
                </c:pt>
                <c:pt idx="14">
                  <c:v>0.2</c:v>
                </c:pt>
                <c:pt idx="15">
                  <c:v>0</c:v>
                </c:pt>
                <c:pt idx="16">
                  <c:v>0</c:v>
                </c:pt>
                <c:pt idx="17">
                  <c:v>0.1</c:v>
                </c:pt>
              </c:numCache>
            </c:numRef>
          </c:yVal>
        </c:ser>
        <c:ser>
          <c:idx val="5"/>
          <c:order val="4"/>
          <c:tx>
            <c:v>Cl-SO4 tie</c:v>
          </c:tx>
          <c:spPr>
            <a:ln w="25400">
              <a:solidFill>
                <a:srgbClr val="808080"/>
              </a:solidFill>
              <a:prstDash val="lgDash"/>
            </a:ln>
          </c:spPr>
          <c:marker>
            <c:symbol val="none"/>
          </c:marker>
          <c:dLbls>
            <c:dLbl>
              <c:idx val="0"/>
              <c:layout>
                <c:manualLayout>
                  <c:x val="-9.4573250485753657E-2"/>
                  <c:y val="0.12720444597890621"/>
                </c:manualLayout>
              </c:layout>
              <c:tx>
                <c:rich>
                  <a:bodyPr rot="-3600000" vert="horz"/>
                  <a:lstStyle/>
                  <a:p>
                    <a:pPr algn="ctr">
                      <a:defRPr sz="1275" b="1" i="0" u="none" strike="noStrike" baseline="0">
                        <a:solidFill>
                          <a:srgbClr val="808080"/>
                        </a:solidFill>
                        <a:latin typeface="Arial"/>
                        <a:ea typeface="Arial"/>
                        <a:cs typeface="Arial"/>
                      </a:defRPr>
                    </a:pPr>
                    <a:r>
                      <a:rPr lang="en-NZ"/>
                      <a:t>Volcanic  Waters</a:t>
                    </a:r>
                  </a:p>
                </c:rich>
              </c:tx>
              <c:spPr>
                <a:noFill/>
                <a:ln w="25400">
                  <a:noFill/>
                </a:ln>
              </c:spPr>
              <c:dLblPos val="r"/>
            </c:dLbl>
            <c:delete val="1"/>
          </c:dLbls>
          <c:xVal>
            <c:numRef>
              <c:f>Ref!$AI$22:$AI$23</c:f>
              <c:numCache>
                <c:formatCode>0.000</c:formatCode>
                <c:ptCount val="2"/>
                <c:pt idx="0">
                  <c:v>0.28870000000000001</c:v>
                </c:pt>
                <c:pt idx="1">
                  <c:v>0.57159300000000002</c:v>
                </c:pt>
              </c:numCache>
            </c:numRef>
          </c:xVal>
          <c:yVal>
            <c:numRef>
              <c:f>Ref!$AJ$22:$AJ$23</c:f>
              <c:numCache>
                <c:formatCode>0.000</c:formatCode>
                <c:ptCount val="2"/>
                <c:pt idx="0">
                  <c:v>0.5</c:v>
                </c:pt>
                <c:pt idx="1">
                  <c:v>0.33</c:v>
                </c:pt>
              </c:numCache>
            </c:numRef>
          </c:yVal>
        </c:ser>
        <c:ser>
          <c:idx val="6"/>
          <c:order val="5"/>
          <c:tx>
            <c:v>SO4-HCO3 tie</c:v>
          </c:tx>
          <c:spPr>
            <a:ln w="25400">
              <a:solidFill>
                <a:srgbClr val="808080"/>
              </a:solidFill>
              <a:prstDash val="lgDash"/>
            </a:ln>
          </c:spPr>
          <c:marker>
            <c:symbol val="none"/>
          </c:marker>
          <c:dLbls>
            <c:dLbl>
              <c:idx val="0"/>
              <c:layout>
                <c:manualLayout>
                  <c:x val="-0.22690076060137321"/>
                  <c:y val="3.085604398460123E-3"/>
                </c:manualLayout>
              </c:layout>
              <c:tx>
                <c:rich>
                  <a:bodyPr/>
                  <a:lstStyle/>
                  <a:p>
                    <a:pPr algn="l">
                      <a:defRPr sz="1200" b="1" i="0" u="none" strike="noStrike" baseline="0">
                        <a:solidFill>
                          <a:srgbClr val="808080"/>
                        </a:solidFill>
                        <a:latin typeface="Arial"/>
                        <a:ea typeface="Arial"/>
                        <a:cs typeface="Arial"/>
                      </a:defRPr>
                    </a:pPr>
                    <a:r>
                      <a:rPr lang="en-NZ"/>
                      <a:t>Steam Heated Waters
</a:t>
                    </a:r>
                  </a:p>
                </c:rich>
              </c:tx>
              <c:spPr>
                <a:noFill/>
                <a:ln w="25400">
                  <a:noFill/>
                </a:ln>
              </c:spPr>
              <c:dLblPos val="r"/>
            </c:dLbl>
            <c:delete val="1"/>
          </c:dLbls>
          <c:xVal>
            <c:numRef>
              <c:f>Ref!$AI$24:$AI$25</c:f>
              <c:numCache>
                <c:formatCode>0.000</c:formatCode>
                <c:ptCount val="2"/>
                <c:pt idx="0">
                  <c:v>0.57735000000000003</c:v>
                </c:pt>
                <c:pt idx="1">
                  <c:v>0.57159300000000002</c:v>
                </c:pt>
              </c:numCache>
            </c:numRef>
          </c:xVal>
          <c:yVal>
            <c:numRef>
              <c:f>Ref!$AJ$24:$AJ$25</c:f>
              <c:numCache>
                <c:formatCode>0.000</c:formatCode>
                <c:ptCount val="2"/>
                <c:pt idx="0">
                  <c:v>0</c:v>
                </c:pt>
                <c:pt idx="1">
                  <c:v>0.33</c:v>
                </c:pt>
              </c:numCache>
            </c:numRef>
          </c:yVal>
        </c:ser>
        <c:ser>
          <c:idx val="7"/>
          <c:order val="6"/>
          <c:tx>
            <c:v>Cl-HCO3 tie</c:v>
          </c:tx>
          <c:spPr>
            <a:ln w="25400">
              <a:solidFill>
                <a:srgbClr val="808080"/>
              </a:solidFill>
              <a:prstDash val="lgDash"/>
            </a:ln>
          </c:spPr>
          <c:marker>
            <c:symbol val="none"/>
          </c:marker>
          <c:dLbls>
            <c:dLbl>
              <c:idx val="0"/>
              <c:layout>
                <c:manualLayout>
                  <c:x val="-1.2974210632106091E-2"/>
                  <c:y val="0.15298815370850921"/>
                </c:manualLayout>
              </c:layout>
              <c:tx>
                <c:rich>
                  <a:bodyPr rot="3600000" vert="horz"/>
                  <a:lstStyle/>
                  <a:p>
                    <a:pPr algn="r">
                      <a:defRPr sz="1275" b="1" i="0" u="none" strike="noStrike" baseline="0">
                        <a:solidFill>
                          <a:srgbClr val="808080"/>
                        </a:solidFill>
                        <a:latin typeface="Arial"/>
                        <a:ea typeface="Arial"/>
                        <a:cs typeface="Arial"/>
                      </a:defRPr>
                    </a:pPr>
                    <a:r>
                      <a:rPr lang="en-NZ"/>
                      <a:t>Peripheral Waters</a:t>
                    </a:r>
                  </a:p>
                </c:rich>
              </c:tx>
              <c:spPr>
                <a:noFill/>
                <a:ln w="25400">
                  <a:noFill/>
                </a:ln>
              </c:spPr>
              <c:dLblPos val="r"/>
            </c:dLbl>
            <c:delete val="1"/>
          </c:dLbls>
          <c:xVal>
            <c:numRef>
              <c:f>Ref!$AI$26:$AI$27</c:f>
              <c:numCache>
                <c:formatCode>0.000</c:formatCode>
                <c:ptCount val="2"/>
                <c:pt idx="0">
                  <c:v>0.86604999999999999</c:v>
                </c:pt>
                <c:pt idx="1">
                  <c:v>0.57159300000000002</c:v>
                </c:pt>
              </c:numCache>
            </c:numRef>
          </c:xVal>
          <c:yVal>
            <c:numRef>
              <c:f>Ref!$AJ$26:$AJ$27</c:f>
              <c:numCache>
                <c:formatCode>0.000</c:formatCode>
                <c:ptCount val="2"/>
                <c:pt idx="0">
                  <c:v>0.5</c:v>
                </c:pt>
                <c:pt idx="1">
                  <c:v>0.33</c:v>
                </c:pt>
              </c:numCache>
            </c:numRef>
          </c:yVal>
        </c:ser>
        <c:ser>
          <c:idx val="10"/>
          <c:order val="7"/>
          <c:tx>
            <c:strRef>
              <c:f>Ref!$AE$28</c:f>
              <c:strCache>
                <c:ptCount val="1"/>
                <c:pt idx="0">
                  <c:v>Mature</c:v>
                </c:pt>
              </c:strCache>
            </c:strRef>
          </c:tx>
          <c:spPr>
            <a:ln w="38100">
              <a:solidFill>
                <a:srgbClr val="C0C0C0"/>
              </a:solidFill>
              <a:prstDash val="solid"/>
            </a:ln>
          </c:spPr>
          <c:marker>
            <c:symbol val="none"/>
          </c:marker>
          <c:dLbls>
            <c:dLbl>
              <c:idx val="0"/>
              <c:layout>
                <c:manualLayout>
                  <c:x val="-1.5785085687818411E-2"/>
                  <c:y val="0.11849335664725079"/>
                </c:manualLayout>
              </c:layout>
              <c:tx>
                <c:rich>
                  <a:bodyPr rot="3600000" vert="horz"/>
                  <a:lstStyle/>
                  <a:p>
                    <a:pPr algn="ctr">
                      <a:defRPr sz="1400" b="1" i="1" u="none" strike="noStrike" baseline="0">
                        <a:solidFill>
                          <a:srgbClr val="969696"/>
                        </a:solidFill>
                        <a:latin typeface="Arial"/>
                        <a:ea typeface="Arial"/>
                        <a:cs typeface="Arial"/>
                      </a:defRPr>
                    </a:pPr>
                    <a:r>
                      <a:rPr lang="en-NZ"/>
                      <a:t>Mature Waters</a:t>
                    </a:r>
                  </a:p>
                </c:rich>
              </c:tx>
              <c:spPr>
                <a:noFill/>
                <a:ln w="25400">
                  <a:noFill/>
                </a:ln>
              </c:spPr>
              <c:dLblPos val="r"/>
            </c:dLbl>
            <c:dLbl>
              <c:idx val="1"/>
              <c:delete val="1"/>
            </c:dLbl>
            <c:dLbl>
              <c:idx val="2"/>
              <c:delete val="1"/>
            </c:dLbl>
            <c:spPr>
              <a:noFill/>
              <a:ln w="25400">
                <a:noFill/>
              </a:ln>
            </c:spPr>
            <c:txPr>
              <a:bodyPr/>
              <a:lstStyle/>
              <a:p>
                <a:pPr>
                  <a:defRPr sz="1150" b="0" i="0" u="none" strike="noStrike" baseline="0">
                    <a:solidFill>
                      <a:srgbClr val="000000"/>
                    </a:solidFill>
                    <a:latin typeface="Arial"/>
                    <a:ea typeface="Arial"/>
                    <a:cs typeface="Arial"/>
                  </a:defRPr>
                </a:pPr>
                <a:endParaRPr lang="en-US"/>
              </a:p>
            </c:txPr>
            <c:showVal val="1"/>
          </c:dLbls>
          <c:xVal>
            <c:numRef>
              <c:f>Ref!$AI$28:$AI$30</c:f>
              <c:numCache>
                <c:formatCode>0.000</c:formatCode>
                <c:ptCount val="3"/>
                <c:pt idx="0">
                  <c:v>0.53120800000000001</c:v>
                </c:pt>
                <c:pt idx="1">
                  <c:v>0.71594400000000002</c:v>
                </c:pt>
                <c:pt idx="2">
                  <c:v>0.80832000000000015</c:v>
                </c:pt>
              </c:numCache>
            </c:numRef>
          </c:xVal>
          <c:yVal>
            <c:numRef>
              <c:f>Ref!$AJ$28:$AJ$30</c:f>
              <c:numCache>
                <c:formatCode>0.000</c:formatCode>
                <c:ptCount val="3"/>
                <c:pt idx="0">
                  <c:v>0.92</c:v>
                </c:pt>
                <c:pt idx="1">
                  <c:v>0.6</c:v>
                </c:pt>
                <c:pt idx="2">
                  <c:v>0.6</c:v>
                </c:pt>
              </c:numCache>
            </c:numRef>
          </c:yVal>
        </c:ser>
        <c:ser>
          <c:idx val="4"/>
          <c:order val="8"/>
          <c:tx>
            <c:v>data</c:v>
          </c:tx>
          <c:spPr>
            <a:ln w="28575">
              <a:noFill/>
            </a:ln>
          </c:spPr>
          <c:marker>
            <c:symbol val="diamond"/>
            <c:size val="9"/>
            <c:spPr>
              <a:noFill/>
              <a:ln>
                <a:solidFill>
                  <a:srgbClr val="800080"/>
                </a:solidFill>
                <a:prstDash val="solid"/>
              </a:ln>
            </c:spPr>
          </c:marker>
          <c:dLbls>
            <c:dLbl>
              <c:idx val="0"/>
              <c:layout/>
              <c:tx>
                <c:strRef>
                  <c:f>Input!$AH$8</c:f>
                  <c:strCache>
                    <c:ptCount val="1"/>
                    <c:pt idx="0">
                      <c:v>WK</c:v>
                    </c:pt>
                  </c:strCache>
                </c:strRef>
              </c:tx>
              <c:dLblPos val="r"/>
            </c:dLbl>
            <c:dLbl>
              <c:idx val="1"/>
              <c:layout/>
              <c:tx>
                <c:strRef>
                  <c:f>Input!$AH$9</c:f>
                  <c:strCache>
                    <c:ptCount val="1"/>
                    <c:pt idx="0">
                      <c:v>wk</c:v>
                    </c:pt>
                  </c:strCache>
                </c:strRef>
              </c:tx>
              <c:dLblPos val="r"/>
            </c:dLbl>
            <c:dLbl>
              <c:idx val="2"/>
              <c:layout/>
              <c:tx>
                <c:strRef>
                  <c:f>Input!$AH$10</c:f>
                  <c:strCache>
                    <c:ptCount val="1"/>
                    <c:pt idx="0">
                      <c:v>NG</c:v>
                    </c:pt>
                  </c:strCache>
                </c:strRef>
              </c:tx>
              <c:dLblPos val="r"/>
            </c:dLbl>
            <c:dLbl>
              <c:idx val="3"/>
              <c:layout/>
              <c:tx>
                <c:strRef>
                  <c:f>Input!$AH$11</c:f>
                  <c:strCache>
                    <c:ptCount val="1"/>
                    <c:pt idx="0">
                      <c:v>ng</c:v>
                    </c:pt>
                  </c:strCache>
                </c:strRef>
              </c:tx>
              <c:dLblPos val="r"/>
            </c:dLbl>
            <c:dLbl>
              <c:idx val="4"/>
              <c:layout/>
              <c:tx>
                <c:strRef>
                  <c:f>Input!$AH$12</c:f>
                  <c:strCache>
                    <c:ptCount val="1"/>
                    <c:pt idx="0">
                      <c:v>ZU</c:v>
                    </c:pt>
                  </c:strCache>
                </c:strRef>
              </c:tx>
              <c:dLblPos val="r"/>
            </c:dLbl>
            <c:dLbl>
              <c:idx val="5"/>
              <c:layout/>
              <c:tx>
                <c:strRef>
                  <c:f>Input!$AH$13</c:f>
                  <c:strCache>
                    <c:ptCount val="1"/>
                    <c:pt idx="0">
                      <c:v>zu</c:v>
                    </c:pt>
                  </c:strCache>
                </c:strRef>
              </c:tx>
              <c:dLblPos val="r"/>
            </c:dLbl>
            <c:dLbl>
              <c:idx val="6"/>
              <c:layout/>
              <c:tx>
                <c:strRef>
                  <c:f>Input!$AH$14</c:f>
                  <c:strCache>
                    <c:ptCount val="1"/>
                    <c:pt idx="0">
                      <c:v>MV</c:v>
                    </c:pt>
                  </c:strCache>
                </c:strRef>
              </c:tx>
              <c:dLblPos val="r"/>
            </c:dLbl>
            <c:dLbl>
              <c:idx val="7"/>
              <c:layout/>
              <c:tx>
                <c:strRef>
                  <c:f>Input!$AH$15</c:f>
                  <c:strCache>
                    <c:ptCount val="1"/>
                    <c:pt idx="0">
                      <c:v>mv</c:v>
                    </c:pt>
                  </c:strCache>
                </c:strRef>
              </c:tx>
              <c:dLblPos val="r"/>
            </c:dLbl>
            <c:dLbl>
              <c:idx val="8"/>
              <c:layout/>
              <c:tx>
                <c:strRef>
                  <c:f>Input!$AH$16</c:f>
                  <c:strCache>
                    <c:ptCount val="1"/>
                    <c:pt idx="0">
                      <c:v>ra</c:v>
                    </c:pt>
                  </c:strCache>
                </c:strRef>
              </c:tx>
              <c:dLblPos val="r"/>
            </c:dLbl>
            <c:dLbl>
              <c:idx val="9"/>
              <c:layout/>
              <c:tx>
                <c:strRef>
                  <c:f>Input!$AH$17</c:f>
                  <c:strCache>
                    <c:ptCount val="1"/>
                    <c:pt idx="0">
                      <c:v>rb</c:v>
                    </c:pt>
                  </c:strCache>
                </c:strRef>
              </c:tx>
              <c:dLblPos val="r"/>
            </c:dLbl>
            <c:dLbl>
              <c:idx val="10"/>
              <c:layout/>
              <c:tx>
                <c:strRef>
                  <c:f>Input!$AH$18</c:f>
                  <c:strCache>
                    <c:ptCount val="1"/>
                    <c:pt idx="0">
                      <c:v>ar</c:v>
                    </c:pt>
                  </c:strCache>
                </c:strRef>
              </c:tx>
              <c:dLblPos val="r"/>
            </c:dLbl>
            <c:dLbl>
              <c:idx val="11"/>
              <c:layout/>
              <c:tx>
                <c:strRef>
                  <c:f>Input!$AH$19</c:f>
                  <c:strCache>
                    <c:ptCount val="1"/>
                    <c:pt idx="0">
                      <c:v>ma</c:v>
                    </c:pt>
                  </c:strCache>
                </c:strRef>
              </c:tx>
              <c:dLblPos val="r"/>
            </c:dLbl>
            <c:dLbl>
              <c:idx val="12"/>
              <c:layout/>
              <c:tx>
                <c:strRef>
                  <c:f>Input!$AH$20</c:f>
                  <c:strCache>
                    <c:ptCount val="1"/>
                    <c:pt idx="0">
                      <c:v>fn</c:v>
                    </c:pt>
                  </c:strCache>
                </c:strRef>
              </c:tx>
              <c:dLblPos val="r"/>
            </c:dLbl>
            <c:dLbl>
              <c:idx val="13"/>
              <c:layout/>
              <c:tx>
                <c:strRef>
                  <c:f>Input!$AH$21</c:f>
                  <c:strCache>
                    <c:ptCount val="1"/>
                    <c:pt idx="0">
                      <c:v>pr</c:v>
                    </c:pt>
                  </c:strCache>
                </c:strRef>
              </c:tx>
              <c:dLblPos val="r"/>
            </c:dLbl>
            <c:dLbl>
              <c:idx val="14"/>
              <c:layout/>
              <c:tx>
                <c:strRef>
                  <c:f>Input!$AH$22</c:f>
                  <c:strCache>
                    <c:ptCount val="1"/>
                    <c:pt idx="0">
                      <c:v>ya</c:v>
                    </c:pt>
                  </c:strCache>
                </c:strRef>
              </c:tx>
              <c:dLblPos val="r"/>
            </c:dLbl>
            <c:dLbl>
              <c:idx val="15"/>
              <c:layout/>
              <c:tx>
                <c:strRef>
                  <c:f>Input!$AH$23</c:f>
                  <c:strCache>
                    <c:ptCount val="1"/>
                    <c:pt idx="0">
                      <c:v>ln</c:v>
                    </c:pt>
                  </c:strCache>
                </c:strRef>
              </c:tx>
              <c:dLblPos val="r"/>
            </c:dLbl>
            <c:dLbl>
              <c:idx val="16"/>
              <c:layout/>
              <c:tx>
                <c:strRef>
                  <c:f>Input!$AH$24</c:f>
                  <c:strCache>
                    <c:ptCount val="1"/>
                    <c:pt idx="0">
                      <c:v>ws</c:v>
                    </c:pt>
                  </c:strCache>
                </c:strRef>
              </c:tx>
              <c:dLblPos val="r"/>
            </c:dLbl>
            <c:dLbl>
              <c:idx val="17"/>
              <c:layout/>
              <c:tx>
                <c:strRef>
                  <c:f>Input!$AH$25</c:f>
                  <c:strCache>
                    <c:ptCount val="1"/>
                    <c:pt idx="0">
                      <c:v>mo</c:v>
                    </c:pt>
                  </c:strCache>
                </c:strRef>
              </c:tx>
              <c:dLblPos val="r"/>
            </c:dLbl>
            <c:dLbl>
              <c:idx val="18"/>
              <c:layout/>
              <c:tx>
                <c:strRef>
                  <c:f>Input!$AH$26</c:f>
                  <c:strCache>
                    <c:ptCount val="1"/>
                    <c:pt idx="0">
                      <c:v>MU</c:v>
                    </c:pt>
                  </c:strCache>
                </c:strRef>
              </c:tx>
              <c:dLblPos val="r"/>
            </c:dLbl>
            <c:dLbl>
              <c:idx val="19"/>
              <c:layout/>
              <c:tx>
                <c:strRef>
                  <c:f>Input!$AH$27</c:f>
                  <c:strCache>
                    <c:ptCount val="1"/>
                    <c:pt idx="0">
                      <c:v>wi</c:v>
                    </c:pt>
                  </c:strCache>
                </c:strRef>
              </c:tx>
              <c:dLblPos val="r"/>
            </c:dLbl>
            <c:dLbl>
              <c:idx val="20"/>
              <c:tx>
                <c:strRef>
                  <c:f>Input!$AH$28</c:f>
                  <c:strCache>
                    <c:ptCount val="1"/>
                  </c:strCache>
                </c:strRef>
              </c:tx>
              <c:dLblPos val="r"/>
            </c:dLbl>
            <c:dLbl>
              <c:idx val="21"/>
              <c:tx>
                <c:strRef>
                  <c:f>Input!$AH$29</c:f>
                  <c:strCache>
                    <c:ptCount val="1"/>
                  </c:strCache>
                </c:strRef>
              </c:tx>
              <c:dLblPos val="r"/>
            </c:dLbl>
            <c:dLbl>
              <c:idx val="22"/>
              <c:tx>
                <c:strRef>
                  <c:f>Input!$AH$30</c:f>
                  <c:strCache>
                    <c:ptCount val="1"/>
                  </c:strCache>
                </c:strRef>
              </c:tx>
              <c:dLblPos val="r"/>
            </c:dLbl>
            <c:dLbl>
              <c:idx val="23"/>
              <c:tx>
                <c:strRef>
                  <c:f>Input!$AH$31</c:f>
                  <c:strCache>
                    <c:ptCount val="1"/>
                  </c:strCache>
                </c:strRef>
              </c:tx>
              <c:dLblPos val="r"/>
            </c:dLbl>
            <c:dLbl>
              <c:idx val="24"/>
              <c:tx>
                <c:strRef>
                  <c:f>Input!$AH$32</c:f>
                  <c:strCache>
                    <c:ptCount val="1"/>
                  </c:strCache>
                </c:strRef>
              </c:tx>
              <c:dLblPos val="r"/>
            </c:dLbl>
            <c:dLbl>
              <c:idx val="25"/>
              <c:tx>
                <c:strRef>
                  <c:f>Input!$AH$33</c:f>
                  <c:strCache>
                    <c:ptCount val="1"/>
                  </c:strCache>
                </c:strRef>
              </c:tx>
              <c:dLblPos val="r"/>
            </c:dLbl>
            <c:dLbl>
              <c:idx val="26"/>
              <c:tx>
                <c:strRef>
                  <c:f>Input!$AH$34</c:f>
                  <c:strCache>
                    <c:ptCount val="1"/>
                  </c:strCache>
                </c:strRef>
              </c:tx>
              <c:dLblPos val="r"/>
            </c:dLbl>
            <c:dLbl>
              <c:idx val="27"/>
              <c:tx>
                <c:strRef>
                  <c:f>Input!$AH$35</c:f>
                  <c:strCache>
                    <c:ptCount val="1"/>
                  </c:strCache>
                </c:strRef>
              </c:tx>
              <c:dLblPos val="r"/>
            </c:dLbl>
            <c:dLbl>
              <c:idx val="28"/>
              <c:tx>
                <c:strRef>
                  <c:f>Input!$AH$36</c:f>
                  <c:strCache>
                    <c:ptCount val="1"/>
                  </c:strCache>
                </c:strRef>
              </c:tx>
              <c:dLblPos val="r"/>
            </c:dLbl>
            <c:dLbl>
              <c:idx val="29"/>
              <c:tx>
                <c:strRef>
                  <c:f>Input!$AH$37</c:f>
                  <c:strCache>
                    <c:ptCount val="1"/>
                  </c:strCache>
                </c:strRef>
              </c:tx>
              <c:dLblPos val="r"/>
            </c:dLbl>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r"/>
            <c:showVal val="1"/>
          </c:dLbls>
          <c:xVal>
            <c:numRef>
              <c:f>Input!$CI$8:$CI$37</c:f>
              <c:numCache>
                <c:formatCode>0.000</c:formatCode>
                <c:ptCount val="30"/>
                <c:pt idx="0">
                  <c:v>0.5687818407960199</c:v>
                </c:pt>
                <c:pt idx="1">
                  <c:v>0.57739861111111113</c:v>
                </c:pt>
                <c:pt idx="2">
                  <c:v>0.68142956852791881</c:v>
                </c:pt>
                <c:pt idx="3">
                  <c:v>0.54496466602129723</c:v>
                </c:pt>
                <c:pt idx="4">
                  <c:v>0.6042830978545265</c:v>
                </c:pt>
                <c:pt idx="5">
                  <c:v>0.78093410404624286</c:v>
                </c:pt>
                <c:pt idx="6">
                  <c:v>0.57808293838862568</c:v>
                </c:pt>
                <c:pt idx="7">
                  <c:v>0.70303498622589533</c:v>
                </c:pt>
                <c:pt idx="8">
                  <c:v>6.4849417637271214E-2</c:v>
                </c:pt>
                <c:pt idx="9">
                  <c:v>0.64101356907894735</c:v>
                </c:pt>
                <c:pt idx="10">
                  <c:v>0.54298021523178808</c:v>
                </c:pt>
                <c:pt idx="11">
                  <c:v>0.82945070422535205</c:v>
                </c:pt>
                <c:pt idx="12">
                  <c:v>0.94340876288659803</c:v>
                </c:pt>
                <c:pt idx="13">
                  <c:v>0.532357585260682</c:v>
                </c:pt>
                <c:pt idx="14">
                  <c:v>0.51951515892420541</c:v>
                </c:pt>
                <c:pt idx="15">
                  <c:v>1.1503915422885573</c:v>
                </c:pt>
                <c:pt idx="16">
                  <c:v>0.7621629793510325</c:v>
                </c:pt>
                <c:pt idx="17">
                  <c:v>0.57838445019895157</c:v>
                </c:pt>
                <c:pt idx="18">
                  <c:v>0.60406861413043489</c:v>
                </c:pt>
                <c:pt idx="19">
                  <c:v>0.51287633288196277</c:v>
                </c:pt>
                <c:pt idx="20">
                  <c:v>0</c:v>
                </c:pt>
                <c:pt idx="21">
                  <c:v>0</c:v>
                </c:pt>
                <c:pt idx="22">
                  <c:v>0</c:v>
                </c:pt>
                <c:pt idx="23">
                  <c:v>0</c:v>
                </c:pt>
                <c:pt idx="24">
                  <c:v>0</c:v>
                </c:pt>
                <c:pt idx="25">
                  <c:v>0</c:v>
                </c:pt>
                <c:pt idx="26">
                  <c:v>0</c:v>
                </c:pt>
                <c:pt idx="27">
                  <c:v>0</c:v>
                </c:pt>
                <c:pt idx="28">
                  <c:v>0</c:v>
                </c:pt>
                <c:pt idx="29">
                  <c:v>0</c:v>
                </c:pt>
              </c:numCache>
            </c:numRef>
          </c:xVal>
          <c:yVal>
            <c:numRef>
              <c:f>Input!$CJ$8:$CJ$37</c:f>
              <c:numCache>
                <c:formatCode>0.000</c:formatCode>
                <c:ptCount val="30"/>
                <c:pt idx="0">
                  <c:v>0.98009950248756217</c:v>
                </c:pt>
                <c:pt idx="1">
                  <c:v>0.97222222222222221</c:v>
                </c:pt>
                <c:pt idx="2">
                  <c:v>0.78680203045685282</c:v>
                </c:pt>
                <c:pt idx="3">
                  <c:v>0.62439496611810263</c:v>
                </c:pt>
                <c:pt idx="4">
                  <c:v>0.88958660387231814</c:v>
                </c:pt>
                <c:pt idx="5">
                  <c:v>0.19653179190751446</c:v>
                </c:pt>
                <c:pt idx="6">
                  <c:v>0.97748815165876779</c:v>
                </c:pt>
                <c:pt idx="7">
                  <c:v>0.71625344352617082</c:v>
                </c:pt>
                <c:pt idx="8">
                  <c:v>0.11231281198003328</c:v>
                </c:pt>
                <c:pt idx="9">
                  <c:v>0.82236842105263153</c:v>
                </c:pt>
                <c:pt idx="10">
                  <c:v>0.83609271523178808</c:v>
                </c:pt>
                <c:pt idx="11">
                  <c:v>0.36619718309859156</c:v>
                </c:pt>
                <c:pt idx="12">
                  <c:v>0.13917525773195877</c:v>
                </c:pt>
                <c:pt idx="13">
                  <c:v>0.91728733829870635</c:v>
                </c:pt>
                <c:pt idx="14">
                  <c:v>0.82640586797066018</c:v>
                </c:pt>
                <c:pt idx="15">
                  <c:v>2.4875621890547263E-3</c:v>
                </c:pt>
                <c:pt idx="16">
                  <c:v>0.53834808259587019</c:v>
                </c:pt>
                <c:pt idx="17">
                  <c:v>0.99791574559464413</c:v>
                </c:pt>
                <c:pt idx="18">
                  <c:v>0.95108695652173914</c:v>
                </c:pt>
                <c:pt idx="19">
                  <c:v>0.88820545775860094</c:v>
                </c:pt>
                <c:pt idx="20">
                  <c:v>-1</c:v>
                </c:pt>
                <c:pt idx="21">
                  <c:v>-1</c:v>
                </c:pt>
                <c:pt idx="22">
                  <c:v>-1</c:v>
                </c:pt>
                <c:pt idx="23">
                  <c:v>-1</c:v>
                </c:pt>
                <c:pt idx="24">
                  <c:v>-1</c:v>
                </c:pt>
                <c:pt idx="25">
                  <c:v>-1</c:v>
                </c:pt>
                <c:pt idx="26">
                  <c:v>-1</c:v>
                </c:pt>
                <c:pt idx="27">
                  <c:v>-1</c:v>
                </c:pt>
                <c:pt idx="28">
                  <c:v>-1</c:v>
                </c:pt>
                <c:pt idx="29">
                  <c:v>-1</c:v>
                </c:pt>
              </c:numCache>
            </c:numRef>
          </c:yVal>
        </c:ser>
        <c:axId val="114907008"/>
        <c:axId val="114908544"/>
      </c:scatterChart>
      <c:valAx>
        <c:axId val="114907008"/>
        <c:scaling>
          <c:orientation val="minMax"/>
          <c:max val="1.4"/>
          <c:min val="-0.2"/>
        </c:scaling>
        <c:delete val="1"/>
        <c:axPos val="b"/>
        <c:numFmt formatCode="General" sourceLinked="1"/>
        <c:tickLblPos val="none"/>
        <c:crossAx val="114908544"/>
        <c:crosses val="autoZero"/>
        <c:crossBetween val="midCat"/>
      </c:valAx>
      <c:valAx>
        <c:axId val="114908544"/>
        <c:scaling>
          <c:orientation val="minMax"/>
          <c:max val="1.2"/>
          <c:min val="-0.2"/>
        </c:scaling>
        <c:delete val="1"/>
        <c:axPos val="l"/>
        <c:numFmt formatCode="General" sourceLinked="1"/>
        <c:tickLblPos val="none"/>
        <c:crossAx val="114907008"/>
        <c:crosses val="autoZero"/>
        <c:crossBetween val="midCat"/>
      </c:valAx>
      <c:spPr>
        <a:noFill/>
        <a:ln w="25400">
          <a:noFill/>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7425083240843534"/>
          <c:y val="9.1353996737357251E-2"/>
          <c:w val="0.67369589345172287"/>
          <c:h val="0.89233278955954221"/>
        </c:manualLayout>
      </c:layout>
      <c:scatterChart>
        <c:scatterStyle val="lineMarker"/>
        <c:ser>
          <c:idx val="2"/>
          <c:order val="0"/>
          <c:tx>
            <c:v>Trilinear</c:v>
          </c:tx>
          <c:spPr>
            <a:ln w="25400">
              <a:solidFill>
                <a:srgbClr val="000000"/>
              </a:solidFill>
              <a:prstDash val="solid"/>
            </a:ln>
          </c:spPr>
          <c:marker>
            <c:symbol val="none"/>
          </c:marker>
          <c:dLbls>
            <c:dLbl>
              <c:idx val="0"/>
              <c:delete val="1"/>
            </c:dLbl>
            <c:dLbl>
              <c:idx val="1"/>
              <c:layout>
                <c:manualLayout>
                  <c:x val="-0.15282803301085698"/>
                  <c:y val="-0.38080076042697014"/>
                </c:manualLayout>
              </c:layout>
              <c:tx>
                <c:rich>
                  <a:bodyPr rot="3600000" vert="horz"/>
                  <a:lstStyle/>
                  <a:p>
                    <a:pPr algn="ctr" rtl="0">
                      <a:defRPr sz="1200" b="0" i="0" u="none" strike="noStrike" baseline="0">
                        <a:solidFill>
                          <a:srgbClr val="000000"/>
                        </a:solidFill>
                        <a:latin typeface="Arial"/>
                        <a:ea typeface="Arial"/>
                        <a:cs typeface="Arial"/>
                      </a:defRPr>
                    </a:pPr>
                    <a:r>
                      <a:rPr lang="en-US"/>
                      <a:t>Ca+Mg</a:t>
                    </a:r>
                  </a:p>
                </c:rich>
              </c:tx>
              <c:spPr>
                <a:noFill/>
                <a:ln w="25400">
                  <a:noFill/>
                </a:ln>
              </c:spPr>
              <c:dLblPos val="r"/>
            </c:dLbl>
            <c:dLbl>
              <c:idx val="2"/>
              <c:layout>
                <c:manualLayout>
                  <c:x val="-5.5371779970345023E-2"/>
                  <c:y val="-7.9498871776427574E-3"/>
                </c:manualLayout>
              </c:layout>
              <c:tx>
                <c:rich>
                  <a:bodyPr rot="-3600000" vert="horz"/>
                  <a:lstStyle/>
                  <a:p>
                    <a:pPr algn="ctr" rtl="0">
                      <a:defRPr sz="1200" b="0" i="0" u="none" strike="noStrike" baseline="0">
                        <a:solidFill>
                          <a:srgbClr val="000000"/>
                        </a:solidFill>
                        <a:latin typeface="Arial"/>
                        <a:ea typeface="Arial"/>
                        <a:cs typeface="Arial"/>
                      </a:defRPr>
                    </a:pPr>
                    <a:r>
                      <a:rPr lang="en-NZ" sz="1200" b="0" i="0" u="none" strike="noStrike" baseline="0">
                        <a:solidFill>
                          <a:srgbClr val="000000"/>
                        </a:solidFill>
                        <a:latin typeface="Arial"/>
                        <a:cs typeface="Arial"/>
                      </a:rPr>
                      <a:t>Cl+SO</a:t>
                    </a:r>
                    <a:r>
                      <a:rPr lang="en-NZ" sz="1200" b="0" i="0" u="none" strike="noStrike" baseline="-25000">
                        <a:solidFill>
                          <a:srgbClr val="000000"/>
                        </a:solidFill>
                        <a:latin typeface="Arial"/>
                        <a:cs typeface="Arial"/>
                      </a:rPr>
                      <a:t>4</a:t>
                    </a:r>
                  </a:p>
                </c:rich>
              </c:tx>
              <c:spPr>
                <a:noFill/>
                <a:ln w="25400">
                  <a:noFill/>
                </a:ln>
              </c:spPr>
              <c:dLblPos val="r"/>
            </c:dLbl>
            <c:dLbl>
              <c:idx val="3"/>
              <c:layout>
                <c:manualLayout>
                  <c:x val="9.5358612914784147E-2"/>
                  <c:y val="0.38591565940065065"/>
                </c:manualLayout>
              </c:layout>
              <c:tx>
                <c:rich>
                  <a:bodyPr rot="3600000" vert="horz"/>
                  <a:lstStyle/>
                  <a:p>
                    <a:pPr algn="ctr" rtl="0">
                      <a:defRPr sz="1200" b="0" i="0" u="none" strike="noStrike" baseline="0">
                        <a:solidFill>
                          <a:srgbClr val="000000"/>
                        </a:solidFill>
                        <a:latin typeface="Arial"/>
                        <a:ea typeface="Arial"/>
                        <a:cs typeface="Arial"/>
                      </a:defRPr>
                    </a:pPr>
                    <a:r>
                      <a:rPr lang="en-US"/>
                      <a:t>Na+K</a:t>
                    </a:r>
                  </a:p>
                </c:rich>
              </c:tx>
              <c:spPr>
                <a:noFill/>
                <a:ln w="25400">
                  <a:noFill/>
                </a:ln>
              </c:spPr>
              <c:dLblPos val="r"/>
            </c:dLbl>
            <c:dLbl>
              <c:idx val="4"/>
              <c:layout>
                <c:manualLayout>
                  <c:x val="-1.763593091374123E-2"/>
                  <c:y val="1.3194949326277195E-2"/>
                </c:manualLayout>
              </c:layout>
              <c:tx>
                <c:rich>
                  <a:bodyPr rot="-3600000" vert="horz"/>
                  <a:lstStyle/>
                  <a:p>
                    <a:pPr algn="ctr" rtl="0">
                      <a:defRPr sz="1200" b="0" i="0" u="none" strike="noStrike" baseline="0">
                        <a:solidFill>
                          <a:srgbClr val="000000"/>
                        </a:solidFill>
                        <a:latin typeface="Arial"/>
                        <a:ea typeface="Arial"/>
                        <a:cs typeface="Arial"/>
                      </a:defRPr>
                    </a:pPr>
                    <a:r>
                      <a:rPr lang="en-NZ" sz="1200" b="0" i="0" u="none" strike="noStrike" baseline="0">
                        <a:solidFill>
                          <a:srgbClr val="000000"/>
                        </a:solidFill>
                        <a:latin typeface="Arial"/>
                        <a:cs typeface="Arial"/>
                      </a:rPr>
                      <a:t>HCO</a:t>
                    </a:r>
                    <a:r>
                      <a:rPr lang="en-NZ" sz="1200" b="0" i="0" u="none" strike="noStrike" baseline="-25000">
                        <a:solidFill>
                          <a:srgbClr val="000000"/>
                        </a:solidFill>
                        <a:latin typeface="Arial"/>
                        <a:cs typeface="Arial"/>
                      </a:rPr>
                      <a:t>3</a:t>
                    </a:r>
                  </a:p>
                </c:rich>
              </c:tx>
              <c:spPr>
                <a:noFill/>
                <a:ln w="25400">
                  <a:noFill/>
                </a:ln>
              </c:spPr>
              <c:dLblPos val="r"/>
            </c:dLbl>
            <c:spPr>
              <a:noFill/>
              <a:ln w="25400">
                <a:noFill/>
              </a:ln>
            </c:spPr>
            <c:txPr>
              <a:bodyPr/>
              <a:lstStyle/>
              <a:p>
                <a:pPr algn="ctr" rtl="0">
                  <a:defRPr sz="1200" b="0" i="0" u="none" strike="noStrike" baseline="0">
                    <a:solidFill>
                      <a:srgbClr val="000000"/>
                    </a:solidFill>
                    <a:latin typeface="Arial"/>
                    <a:ea typeface="Arial"/>
                    <a:cs typeface="Arial"/>
                  </a:defRPr>
                </a:pPr>
                <a:endParaRPr lang="en-US"/>
              </a:p>
            </c:txPr>
            <c:showVal val="1"/>
          </c:dLbls>
          <c:xVal>
            <c:numRef>
              <c:f>Tgrid!$A$58:$A$62</c:f>
              <c:numCache>
                <c:formatCode>General</c:formatCode>
                <c:ptCount val="5"/>
                <c:pt idx="0">
                  <c:v>1.2547000000000001</c:v>
                </c:pt>
                <c:pt idx="1">
                  <c:v>1.8321000000000001</c:v>
                </c:pt>
                <c:pt idx="2">
                  <c:v>1.2547000000000001</c:v>
                </c:pt>
                <c:pt idx="3">
                  <c:v>0.67730000000000012</c:v>
                </c:pt>
                <c:pt idx="4">
                  <c:v>1.2547000000000001</c:v>
                </c:pt>
              </c:numCache>
            </c:numRef>
          </c:xVal>
          <c:yVal>
            <c:numRef>
              <c:f>Tgrid!$B$58:$B$62</c:f>
              <c:numCache>
                <c:formatCode>General</c:formatCode>
                <c:ptCount val="5"/>
                <c:pt idx="0">
                  <c:v>0.17320000000000002</c:v>
                </c:pt>
                <c:pt idx="1">
                  <c:v>1.1732</c:v>
                </c:pt>
                <c:pt idx="2">
                  <c:v>2.1732</c:v>
                </c:pt>
                <c:pt idx="3">
                  <c:v>1.1732</c:v>
                </c:pt>
                <c:pt idx="4">
                  <c:v>0.17320000000000002</c:v>
                </c:pt>
              </c:numCache>
            </c:numRef>
          </c:yVal>
        </c:ser>
        <c:ser>
          <c:idx val="3"/>
          <c:order val="1"/>
          <c:tx>
            <c:v>cations A grid</c:v>
          </c:tx>
          <c:spPr>
            <a:ln w="3175">
              <a:solidFill>
                <a:srgbClr val="808080"/>
              </a:solidFill>
              <a:prstDash val="solid"/>
            </a:ln>
          </c:spPr>
          <c:marker>
            <c:symbol val="none"/>
          </c:marker>
          <c:xVal>
            <c:numRef>
              <c:f>Tgrid!$F$35:$F$42</c:f>
              <c:numCache>
                <c:formatCode>General</c:formatCode>
                <c:ptCount val="8"/>
                <c:pt idx="0">
                  <c:v>0.11548000000000001</c:v>
                </c:pt>
                <c:pt idx="1">
                  <c:v>1.0392400000000002</c:v>
                </c:pt>
                <c:pt idx="2">
                  <c:v>0.92378000000000005</c:v>
                </c:pt>
                <c:pt idx="3">
                  <c:v>0.23096000000000003</c:v>
                </c:pt>
                <c:pt idx="4">
                  <c:v>0.34644000000000003</c:v>
                </c:pt>
                <c:pt idx="5">
                  <c:v>0.80832000000000015</c:v>
                </c:pt>
                <c:pt idx="6">
                  <c:v>0.69286000000000003</c:v>
                </c:pt>
                <c:pt idx="7">
                  <c:v>0.46192000000000005</c:v>
                </c:pt>
              </c:numCache>
            </c:numRef>
          </c:xVal>
          <c:yVal>
            <c:numRef>
              <c:f>Tgrid!$G$35:$G$42</c:f>
              <c:numCache>
                <c:formatCode>_(* #,##0.00_);_(* \(#,##0.00\);_(* "-"??_);_(@_)</c:formatCode>
                <c:ptCount val="8"/>
                <c:pt idx="0">
                  <c:v>0.2</c:v>
                </c:pt>
                <c:pt idx="1">
                  <c:v>0.2</c:v>
                </c:pt>
                <c:pt idx="2">
                  <c:v>0.4</c:v>
                </c:pt>
                <c:pt idx="3">
                  <c:v>0.4</c:v>
                </c:pt>
                <c:pt idx="4">
                  <c:v>0.6</c:v>
                </c:pt>
                <c:pt idx="5">
                  <c:v>0.6</c:v>
                </c:pt>
                <c:pt idx="6">
                  <c:v>0.8</c:v>
                </c:pt>
                <c:pt idx="7">
                  <c:v>0.8</c:v>
                </c:pt>
              </c:numCache>
            </c:numRef>
          </c:yVal>
        </c:ser>
        <c:ser>
          <c:idx val="4"/>
          <c:order val="2"/>
          <c:tx>
            <c:v>cations B grid</c:v>
          </c:tx>
          <c:spPr>
            <a:ln w="3175">
              <a:solidFill>
                <a:srgbClr val="808080"/>
              </a:solidFill>
              <a:prstDash val="solid"/>
            </a:ln>
          </c:spPr>
          <c:marker>
            <c:symbol val="none"/>
          </c:marker>
          <c:dLbls>
            <c:dLbl>
              <c:idx val="0"/>
              <c:delete val="1"/>
            </c:dLbl>
            <c:dLbl>
              <c:idx val="3"/>
              <c:delete val="1"/>
            </c:dLbl>
            <c:dLbl>
              <c:idx val="4"/>
              <c:delete val="1"/>
            </c:dLbl>
            <c:dLbl>
              <c:idx val="6"/>
              <c:layout>
                <c:manualLayout>
                  <c:x val="-3.5140191271873476E-2"/>
                  <c:y val="-2.4393606590367087E-2"/>
                </c:manualLayout>
              </c:layout>
              <c:dLblPos val="r"/>
              <c:showVal val="1"/>
            </c:dLbl>
            <c:dLbl>
              <c:idx val="7"/>
              <c:delete val="1"/>
            </c:dLbl>
            <c:numFmt formatCode="0%" sourceLinked="0"/>
            <c:spPr>
              <a:noFill/>
              <a:ln w="25400">
                <a:noFill/>
              </a:ln>
            </c:spPr>
            <c:txPr>
              <a:bodyPr/>
              <a:lstStyle/>
              <a:p>
                <a:pPr algn="ctr" rtl="0">
                  <a:defRPr sz="800" b="0" i="0" u="none" strike="noStrike" baseline="0">
                    <a:solidFill>
                      <a:srgbClr val="808080"/>
                    </a:solidFill>
                    <a:latin typeface="Arial"/>
                    <a:ea typeface="Arial"/>
                    <a:cs typeface="Arial"/>
                  </a:defRPr>
                </a:pPr>
                <a:endParaRPr lang="en-US"/>
              </a:p>
            </c:txPr>
            <c:dLblPos val="l"/>
            <c:showVal val="1"/>
          </c:dLbls>
          <c:xVal>
            <c:numRef>
              <c:f>Tgrid!$K$35:$K$42</c:f>
              <c:numCache>
                <c:formatCode>General</c:formatCode>
                <c:ptCount val="8"/>
                <c:pt idx="0">
                  <c:v>0.23094000000000003</c:v>
                </c:pt>
                <c:pt idx="1">
                  <c:v>0.11548000000000001</c:v>
                </c:pt>
                <c:pt idx="2">
                  <c:v>0.23096000000000003</c:v>
                </c:pt>
                <c:pt idx="3">
                  <c:v>0.46188000000000007</c:v>
                </c:pt>
                <c:pt idx="4">
                  <c:v>0.69281999999999999</c:v>
                </c:pt>
                <c:pt idx="5">
                  <c:v>0.34644000000000003</c:v>
                </c:pt>
                <c:pt idx="6">
                  <c:v>0.46192000000000005</c:v>
                </c:pt>
                <c:pt idx="7">
                  <c:v>0.92376000000000014</c:v>
                </c:pt>
              </c:numCache>
            </c:numRef>
          </c:xVal>
          <c:yVal>
            <c:numRef>
              <c:f>Tgrid!$L$35:$L$42</c:f>
              <c:numCache>
                <c:formatCode>0.00</c:formatCode>
                <c:ptCount val="8"/>
                <c:pt idx="0">
                  <c:v>0</c:v>
                </c:pt>
                <c:pt idx="1">
                  <c:v>0.2</c:v>
                </c:pt>
                <c:pt idx="2">
                  <c:v>0.4</c:v>
                </c:pt>
                <c:pt idx="3">
                  <c:v>0</c:v>
                </c:pt>
                <c:pt idx="4">
                  <c:v>0</c:v>
                </c:pt>
                <c:pt idx="5">
                  <c:v>0.6</c:v>
                </c:pt>
                <c:pt idx="6">
                  <c:v>0.8</c:v>
                </c:pt>
                <c:pt idx="7">
                  <c:v>0</c:v>
                </c:pt>
              </c:numCache>
            </c:numRef>
          </c:yVal>
        </c:ser>
        <c:ser>
          <c:idx val="5"/>
          <c:order val="3"/>
          <c:tx>
            <c:v>cations C grid</c:v>
          </c:tx>
          <c:spPr>
            <a:ln w="3175">
              <a:solidFill>
                <a:srgbClr val="808080"/>
              </a:solidFill>
              <a:prstDash val="solid"/>
            </a:ln>
          </c:spPr>
          <c:marker>
            <c:symbol val="none"/>
          </c:marker>
          <c:dLbls>
            <c:dLbl>
              <c:idx val="0"/>
              <c:layout>
                <c:manualLayout>
                  <c:x val="-1.4132678476233722E-2"/>
                  <c:y val="3.1580155253839545E-2"/>
                </c:manualLayout>
              </c:layout>
              <c:tx>
                <c:rich>
                  <a:bodyPr rot="3600000" vert="horz"/>
                  <a:lstStyle/>
                  <a:p>
                    <a:pPr algn="ctr" rtl="0">
                      <a:defRPr sz="800" b="0" i="0" u="none" strike="noStrike" baseline="0">
                        <a:solidFill>
                          <a:srgbClr val="808080"/>
                        </a:solidFill>
                        <a:latin typeface="Arial"/>
                        <a:ea typeface="Arial"/>
                        <a:cs typeface="Arial"/>
                      </a:defRPr>
                    </a:pPr>
                    <a:r>
                      <a:rPr lang="en-US"/>
                      <a:t>80%</a:t>
                    </a:r>
                  </a:p>
                </c:rich>
              </c:tx>
              <c:spPr>
                <a:noFill/>
                <a:ln w="25400">
                  <a:noFill/>
                </a:ln>
              </c:spPr>
              <c:dLblPos val="r"/>
            </c:dLbl>
            <c:dLbl>
              <c:idx val="1"/>
              <c:layout>
                <c:manualLayout>
                  <c:x val="-9.5228107585330728E-3"/>
                  <c:y val="-3.4760247138765091E-2"/>
                </c:manualLayout>
              </c:layout>
              <c:tx>
                <c:rich>
                  <a:bodyPr rot="-3600000" vert="horz"/>
                  <a:lstStyle/>
                  <a:p>
                    <a:pPr algn="ctr" rtl="0">
                      <a:defRPr sz="800" b="0" i="0" u="none" strike="noStrike" baseline="0">
                        <a:solidFill>
                          <a:srgbClr val="808080"/>
                        </a:solidFill>
                        <a:latin typeface="Arial"/>
                        <a:ea typeface="Arial"/>
                        <a:cs typeface="Arial"/>
                      </a:defRPr>
                    </a:pPr>
                    <a:r>
                      <a:rPr lang="en-US"/>
                      <a:t>20%</a:t>
                    </a:r>
                  </a:p>
                </c:rich>
              </c:tx>
              <c:spPr>
                <a:noFill/>
                <a:ln w="25400">
                  <a:noFill/>
                </a:ln>
              </c:spPr>
              <c:dLblPos val="r"/>
            </c:dLbl>
            <c:dLbl>
              <c:idx val="2"/>
              <c:layout>
                <c:manualLayout>
                  <c:x val="-8.3652750953300339E-3"/>
                  <c:y val="-3.0817844343682229E-2"/>
                </c:manualLayout>
              </c:layout>
              <c:tx>
                <c:rich>
                  <a:bodyPr rot="-3600000" vert="horz"/>
                  <a:lstStyle/>
                  <a:p>
                    <a:pPr algn="ctr" rtl="0">
                      <a:defRPr sz="800" b="0" i="0" u="none" strike="noStrike" baseline="0">
                        <a:solidFill>
                          <a:srgbClr val="808080"/>
                        </a:solidFill>
                        <a:latin typeface="Arial"/>
                        <a:ea typeface="Arial"/>
                        <a:cs typeface="Arial"/>
                      </a:defRPr>
                    </a:pPr>
                    <a:r>
                      <a:rPr lang="en-US"/>
                      <a:t>40%</a:t>
                    </a:r>
                  </a:p>
                </c:rich>
              </c:tx>
              <c:spPr>
                <a:noFill/>
                <a:ln w="25400">
                  <a:noFill/>
                </a:ln>
              </c:spPr>
              <c:dLblPos val="r"/>
            </c:dLbl>
            <c:dLbl>
              <c:idx val="3"/>
              <c:layout>
                <c:manualLayout>
                  <c:x val="-1.6262245798631461E-2"/>
                  <c:y val="2.9948833883529629E-2"/>
                </c:manualLayout>
              </c:layout>
              <c:tx>
                <c:rich>
                  <a:bodyPr rot="3600000" vert="horz"/>
                  <a:lstStyle/>
                  <a:p>
                    <a:pPr algn="ctr" rtl="0">
                      <a:defRPr sz="800" b="0" i="0" u="none" strike="noStrike" baseline="0">
                        <a:solidFill>
                          <a:srgbClr val="808080"/>
                        </a:solidFill>
                        <a:latin typeface="Arial"/>
                        <a:ea typeface="Arial"/>
                        <a:cs typeface="Arial"/>
                      </a:defRPr>
                    </a:pPr>
                    <a:r>
                      <a:rPr lang="en-US"/>
                      <a:t>60%</a:t>
                    </a:r>
                  </a:p>
                </c:rich>
              </c:tx>
              <c:spPr>
                <a:noFill/>
                <a:ln w="25400">
                  <a:noFill/>
                </a:ln>
              </c:spPr>
              <c:dLblPos val="r"/>
            </c:dLbl>
            <c:dLbl>
              <c:idx val="4"/>
              <c:layout>
                <c:manualLayout>
                  <c:x val="-1.9501691034458653E-2"/>
                  <c:y val="2.9948833883529629E-2"/>
                </c:manualLayout>
              </c:layout>
              <c:tx>
                <c:rich>
                  <a:bodyPr rot="3600000" vert="horz"/>
                  <a:lstStyle/>
                  <a:p>
                    <a:pPr algn="ctr" rtl="0">
                      <a:defRPr sz="800" b="0" i="0" u="none" strike="noStrike" baseline="0">
                        <a:solidFill>
                          <a:srgbClr val="808080"/>
                        </a:solidFill>
                        <a:latin typeface="Arial"/>
                        <a:ea typeface="Arial"/>
                        <a:cs typeface="Arial"/>
                      </a:defRPr>
                    </a:pPr>
                    <a:r>
                      <a:rPr lang="en-US"/>
                      <a:t>40%</a:t>
                    </a:r>
                  </a:p>
                </c:rich>
              </c:tx>
              <c:spPr>
                <a:noFill/>
                <a:ln w="25400">
                  <a:noFill/>
                </a:ln>
              </c:spPr>
              <c:dLblPos val="r"/>
            </c:dLbl>
            <c:dLbl>
              <c:idx val="5"/>
              <c:layout>
                <c:manualLayout>
                  <c:x val="-8.3177338681721027E-3"/>
                  <c:y val="-3.176940565952923E-2"/>
                </c:manualLayout>
              </c:layout>
              <c:tx>
                <c:rich>
                  <a:bodyPr rot="-3600000" vert="horz"/>
                  <a:lstStyle/>
                  <a:p>
                    <a:pPr algn="ctr" rtl="0">
                      <a:defRPr sz="800" b="0" i="0" u="none" strike="noStrike" baseline="0">
                        <a:solidFill>
                          <a:srgbClr val="808080"/>
                        </a:solidFill>
                        <a:latin typeface="Arial"/>
                        <a:ea typeface="Arial"/>
                        <a:cs typeface="Arial"/>
                      </a:defRPr>
                    </a:pPr>
                    <a:r>
                      <a:rPr lang="en-US"/>
                      <a:t>60%</a:t>
                    </a:r>
                  </a:p>
                </c:rich>
              </c:tx>
              <c:spPr>
                <a:noFill/>
                <a:ln w="25400">
                  <a:noFill/>
                </a:ln>
              </c:spPr>
              <c:dLblPos val="r"/>
            </c:dLbl>
            <c:dLbl>
              <c:idx val="6"/>
              <c:layout>
                <c:manualLayout>
                  <c:x val="-9.3799540318281558E-3"/>
                  <c:y val="-3.5983609715995991E-2"/>
                </c:manualLayout>
              </c:layout>
              <c:tx>
                <c:rich>
                  <a:bodyPr rot="-3600000" vert="horz"/>
                  <a:lstStyle/>
                  <a:p>
                    <a:pPr algn="ctr" rtl="0">
                      <a:defRPr sz="800" b="0" i="0" u="none" strike="noStrike" baseline="0">
                        <a:solidFill>
                          <a:srgbClr val="808080"/>
                        </a:solidFill>
                        <a:latin typeface="Arial"/>
                        <a:ea typeface="Arial"/>
                        <a:cs typeface="Arial"/>
                      </a:defRPr>
                    </a:pPr>
                    <a:r>
                      <a:rPr lang="en-US"/>
                      <a:t>80%</a:t>
                    </a:r>
                  </a:p>
                </c:rich>
              </c:tx>
              <c:spPr>
                <a:noFill/>
                <a:ln w="25400">
                  <a:noFill/>
                </a:ln>
              </c:spPr>
              <c:dLblPos val="r"/>
            </c:dLbl>
            <c:dLbl>
              <c:idx val="7"/>
              <c:layout>
                <c:manualLayout>
                  <c:x val="-1.9411502529997265E-2"/>
                  <c:y val="2.9948833883529629E-2"/>
                </c:manualLayout>
              </c:layout>
              <c:tx>
                <c:rich>
                  <a:bodyPr rot="3600000" vert="horz"/>
                  <a:lstStyle/>
                  <a:p>
                    <a:pPr algn="ctr" rtl="0">
                      <a:defRPr sz="800" b="0" i="0" u="none" strike="noStrike" baseline="0">
                        <a:solidFill>
                          <a:srgbClr val="808080"/>
                        </a:solidFill>
                        <a:latin typeface="Arial"/>
                        <a:ea typeface="Arial"/>
                        <a:cs typeface="Arial"/>
                      </a:defRPr>
                    </a:pPr>
                    <a:r>
                      <a:rPr lang="en-US"/>
                      <a:t>20%</a:t>
                    </a:r>
                  </a:p>
                </c:rich>
              </c:tx>
              <c:spPr>
                <a:noFill/>
                <a:ln w="25400">
                  <a:noFill/>
                </a:ln>
              </c:spPr>
              <c:dLblPos val="r"/>
            </c:dLbl>
            <c:numFmt formatCode="0%" sourceLinked="0"/>
            <c:spPr>
              <a:noFill/>
              <a:ln w="25400">
                <a:noFill/>
              </a:ln>
            </c:spPr>
            <c:txPr>
              <a:bodyPr rot="-3600000" vert="horz"/>
              <a:lstStyle/>
              <a:p>
                <a:pPr algn="ctr" rtl="0">
                  <a:defRPr sz="800" b="0" i="0" u="none" strike="noStrike" baseline="0">
                    <a:solidFill>
                      <a:srgbClr val="808080"/>
                    </a:solidFill>
                    <a:latin typeface="Arial"/>
                    <a:ea typeface="Arial"/>
                    <a:cs typeface="Arial"/>
                  </a:defRPr>
                </a:pPr>
                <a:endParaRPr lang="en-US"/>
              </a:p>
            </c:txPr>
            <c:dLblPos val="r"/>
            <c:showVal val="1"/>
          </c:dLbls>
          <c:xVal>
            <c:numRef>
              <c:f>Tgrid!$P$35:$P$42</c:f>
              <c:numCache>
                <c:formatCode>General</c:formatCode>
                <c:ptCount val="8"/>
                <c:pt idx="0">
                  <c:v>0.23094000000000003</c:v>
                </c:pt>
                <c:pt idx="1">
                  <c:v>0.69286000000000003</c:v>
                </c:pt>
                <c:pt idx="2">
                  <c:v>0.80832000000000015</c:v>
                </c:pt>
                <c:pt idx="3">
                  <c:v>0.46188000000000007</c:v>
                </c:pt>
                <c:pt idx="4">
                  <c:v>0.69281999999999999</c:v>
                </c:pt>
                <c:pt idx="5">
                  <c:v>0.92378000000000005</c:v>
                </c:pt>
                <c:pt idx="6">
                  <c:v>1.0392400000000002</c:v>
                </c:pt>
                <c:pt idx="7">
                  <c:v>0.92376000000000014</c:v>
                </c:pt>
              </c:numCache>
            </c:numRef>
          </c:xVal>
          <c:yVal>
            <c:numRef>
              <c:f>Tgrid!$Q$35:$Q$42</c:f>
              <c:numCache>
                <c:formatCode>0.00</c:formatCode>
                <c:ptCount val="8"/>
                <c:pt idx="0">
                  <c:v>0</c:v>
                </c:pt>
                <c:pt idx="1">
                  <c:v>0.8</c:v>
                </c:pt>
                <c:pt idx="2">
                  <c:v>0.6</c:v>
                </c:pt>
                <c:pt idx="3">
                  <c:v>0</c:v>
                </c:pt>
                <c:pt idx="4">
                  <c:v>0</c:v>
                </c:pt>
                <c:pt idx="5">
                  <c:v>0.4</c:v>
                </c:pt>
                <c:pt idx="6">
                  <c:v>0.2</c:v>
                </c:pt>
                <c:pt idx="7">
                  <c:v>0</c:v>
                </c:pt>
              </c:numCache>
            </c:numRef>
          </c:yVal>
        </c:ser>
        <c:ser>
          <c:idx val="0"/>
          <c:order val="4"/>
          <c:tx>
            <c:v>Cations</c:v>
          </c:tx>
          <c:spPr>
            <a:ln w="25400">
              <a:solidFill>
                <a:srgbClr val="000000"/>
              </a:solidFill>
              <a:prstDash val="solid"/>
            </a:ln>
          </c:spPr>
          <c:marker>
            <c:symbol val="none"/>
          </c:marker>
          <c:dLbls>
            <c:dLbl>
              <c:idx val="0"/>
              <c:delete val="1"/>
            </c:dLbl>
            <c:dLbl>
              <c:idx val="1"/>
              <c:layout>
                <c:manualLayout>
                  <c:x val="-2.7328398600563415E-2"/>
                  <c:y val="-2.8216293517959595E-2"/>
                </c:manualLayout>
              </c:layout>
              <c:tx>
                <c:rich>
                  <a:bodyPr/>
                  <a:lstStyle/>
                  <a:p>
                    <a:r>
                      <a:rPr lang="en-US"/>
                      <a:t>Mg</a:t>
                    </a:r>
                  </a:p>
                </c:rich>
              </c:tx>
              <c:dLblPos val="r"/>
            </c:dLbl>
            <c:dLbl>
              <c:idx val="2"/>
              <c:layout>
                <c:manualLayout>
                  <c:x val="-4.0408994380696922E-2"/>
                  <c:y val="1.7596519847743401E-2"/>
                </c:manualLayout>
              </c:layout>
              <c:tx>
                <c:rich>
                  <a:bodyPr/>
                  <a:lstStyle/>
                  <a:p>
                    <a:r>
                      <a:rPr lang="en-US"/>
                      <a:t>Na+K</a:t>
                    </a:r>
                  </a:p>
                </c:rich>
              </c:tx>
              <c:dLblPos val="r"/>
            </c:dLbl>
            <c:dLbl>
              <c:idx val="3"/>
              <c:layout>
                <c:manualLayout>
                  <c:x val="-3.3090791508996992E-2"/>
                  <c:y val="1.4333877107123459E-2"/>
                </c:manualLayout>
              </c:layout>
              <c:tx>
                <c:rich>
                  <a:bodyPr/>
                  <a:lstStyle/>
                  <a:p>
                    <a:r>
                      <a:rPr lang="en-US"/>
                      <a:t>Ca</a:t>
                    </a:r>
                  </a:p>
                </c:rich>
              </c:tx>
              <c:dLblPos val="r"/>
            </c:dLbl>
            <c:spPr>
              <a:noFill/>
              <a:ln w="25400">
                <a:noFill/>
              </a:ln>
            </c:spPr>
            <c:txPr>
              <a:bodyPr/>
              <a:lstStyle/>
              <a:p>
                <a:pPr algn="ctr" rtl="0">
                  <a:defRPr sz="1200" b="0" i="0" u="none" strike="noStrike" baseline="0">
                    <a:solidFill>
                      <a:srgbClr val="000000"/>
                    </a:solidFill>
                    <a:latin typeface="Arial"/>
                    <a:ea typeface="Arial"/>
                    <a:cs typeface="Arial"/>
                  </a:defRPr>
                </a:pPr>
                <a:endParaRPr lang="en-US"/>
              </a:p>
            </c:txPr>
            <c:showVal val="1"/>
          </c:dLbls>
          <c:xVal>
            <c:numRef>
              <c:f>Tgrid!$A$35:$A$38</c:f>
              <c:numCache>
                <c:formatCode>General</c:formatCode>
                <c:ptCount val="4"/>
                <c:pt idx="0">
                  <c:v>0</c:v>
                </c:pt>
                <c:pt idx="1">
                  <c:v>0.57740000000000002</c:v>
                </c:pt>
                <c:pt idx="2">
                  <c:v>1.1547000000000001</c:v>
                </c:pt>
                <c:pt idx="3">
                  <c:v>0</c:v>
                </c:pt>
              </c:numCache>
            </c:numRef>
          </c:xVal>
          <c:yVal>
            <c:numRef>
              <c:f>Tgrid!$B$35:$B$38</c:f>
              <c:numCache>
                <c:formatCode>General</c:formatCode>
                <c:ptCount val="4"/>
                <c:pt idx="0">
                  <c:v>0</c:v>
                </c:pt>
                <c:pt idx="1">
                  <c:v>1</c:v>
                </c:pt>
                <c:pt idx="2">
                  <c:v>0</c:v>
                </c:pt>
                <c:pt idx="3">
                  <c:v>0</c:v>
                </c:pt>
              </c:numCache>
            </c:numRef>
          </c:yVal>
        </c:ser>
        <c:ser>
          <c:idx val="6"/>
          <c:order val="5"/>
          <c:tx>
            <c:v>anions A grid</c:v>
          </c:tx>
          <c:spPr>
            <a:ln w="3175">
              <a:solidFill>
                <a:srgbClr val="808080"/>
              </a:solidFill>
              <a:prstDash val="solid"/>
            </a:ln>
          </c:spPr>
          <c:marker>
            <c:symbol val="none"/>
          </c:marker>
          <c:dLbls>
            <c:dLbl>
              <c:idx val="0"/>
              <c:layout>
                <c:manualLayout>
                  <c:x val="-3.5885702966374576E-2"/>
                  <c:y val="-3.1089645605066225E-2"/>
                </c:manualLayout>
              </c:layout>
              <c:tx>
                <c:rich>
                  <a:bodyPr rot="3600000" vert="horz"/>
                  <a:lstStyle/>
                  <a:p>
                    <a:pPr algn="ctr" rtl="0">
                      <a:defRPr sz="800" b="0" i="0" u="none" strike="noStrike" baseline="0">
                        <a:solidFill>
                          <a:srgbClr val="808080"/>
                        </a:solidFill>
                        <a:latin typeface="Arial"/>
                        <a:ea typeface="Arial"/>
                        <a:cs typeface="Arial"/>
                      </a:defRPr>
                    </a:pPr>
                    <a:r>
                      <a:rPr lang="en-US"/>
                      <a:t>80%</a:t>
                    </a:r>
                  </a:p>
                </c:rich>
              </c:tx>
              <c:spPr>
                <a:noFill/>
                <a:ln w="25400">
                  <a:noFill/>
                </a:ln>
              </c:spPr>
              <c:dLblPos val="r"/>
            </c:dLbl>
            <c:dLbl>
              <c:idx val="3"/>
              <c:layout>
                <c:manualLayout>
                  <c:x val="-3.3623416384827541E-2"/>
                  <c:y val="-3.013808428921921E-2"/>
                </c:manualLayout>
              </c:layout>
              <c:tx>
                <c:rich>
                  <a:bodyPr rot="3600000" vert="horz"/>
                  <a:lstStyle/>
                  <a:p>
                    <a:pPr algn="ctr" rtl="0">
                      <a:defRPr sz="800" b="0" i="0" u="none" strike="noStrike" baseline="0">
                        <a:solidFill>
                          <a:srgbClr val="808080"/>
                        </a:solidFill>
                        <a:latin typeface="Arial"/>
                        <a:ea typeface="Arial"/>
                        <a:cs typeface="Arial"/>
                      </a:defRPr>
                    </a:pPr>
                    <a:r>
                      <a:rPr lang="en-US"/>
                      <a:t>60%</a:t>
                    </a:r>
                  </a:p>
                </c:rich>
              </c:tx>
              <c:spPr>
                <a:noFill/>
                <a:ln w="25400">
                  <a:noFill/>
                </a:ln>
              </c:spPr>
              <c:dLblPos val="r"/>
            </c:dLbl>
            <c:dLbl>
              <c:idx val="4"/>
              <c:layout>
                <c:manualLayout>
                  <c:x val="-3.2470891194094582E-2"/>
                  <c:y val="-3.0817844343682229E-2"/>
                </c:manualLayout>
              </c:layout>
              <c:tx>
                <c:rich>
                  <a:bodyPr rot="3600000" vert="horz"/>
                  <a:lstStyle/>
                  <a:p>
                    <a:pPr algn="ctr" rtl="0">
                      <a:defRPr sz="800" b="0" i="0" u="none" strike="noStrike" baseline="0">
                        <a:solidFill>
                          <a:srgbClr val="808080"/>
                        </a:solidFill>
                        <a:latin typeface="Arial"/>
                        <a:ea typeface="Arial"/>
                        <a:cs typeface="Arial"/>
                      </a:defRPr>
                    </a:pPr>
                    <a:r>
                      <a:rPr lang="en-US"/>
                      <a:t>40%</a:t>
                    </a:r>
                  </a:p>
                </c:rich>
              </c:tx>
              <c:spPr>
                <a:noFill/>
                <a:ln w="25400">
                  <a:noFill/>
                </a:ln>
              </c:spPr>
              <c:dLblPos val="r"/>
            </c:dLbl>
            <c:dLbl>
              <c:idx val="7"/>
              <c:layout>
                <c:manualLayout>
                  <c:x val="-3.2428360439406778E-2"/>
                  <c:y val="-3.1497604398145258E-2"/>
                </c:manualLayout>
              </c:layout>
              <c:tx>
                <c:rich>
                  <a:bodyPr rot="3600000" vert="horz"/>
                  <a:lstStyle/>
                  <a:p>
                    <a:pPr algn="ctr" rtl="0">
                      <a:defRPr sz="800" b="0" i="0" u="none" strike="noStrike" baseline="0">
                        <a:solidFill>
                          <a:srgbClr val="808080"/>
                        </a:solidFill>
                        <a:latin typeface="Arial"/>
                        <a:ea typeface="Arial"/>
                        <a:cs typeface="Arial"/>
                      </a:defRPr>
                    </a:pPr>
                    <a:r>
                      <a:rPr lang="en-US"/>
                      <a:t>20%</a:t>
                    </a:r>
                  </a:p>
                </c:rich>
              </c:tx>
              <c:spPr>
                <a:noFill/>
                <a:ln w="25400">
                  <a:noFill/>
                </a:ln>
              </c:spPr>
              <c:dLblPos val="r"/>
            </c:dLbl>
            <c:numFmt formatCode="0%" sourceLinked="0"/>
            <c:spPr>
              <a:noFill/>
              <a:ln w="25400">
                <a:noFill/>
              </a:ln>
            </c:spPr>
            <c:txPr>
              <a:bodyPr/>
              <a:lstStyle/>
              <a:p>
                <a:pPr algn="ctr" rtl="0">
                  <a:defRPr sz="800" b="0" i="0" u="none" strike="noStrike" baseline="0">
                    <a:solidFill>
                      <a:srgbClr val="808080"/>
                    </a:solidFill>
                    <a:latin typeface="Arial"/>
                    <a:ea typeface="Arial"/>
                    <a:cs typeface="Arial"/>
                  </a:defRPr>
                </a:pPr>
                <a:endParaRPr lang="en-US"/>
              </a:p>
            </c:txPr>
            <c:showVal val="1"/>
          </c:dLbls>
          <c:xVal>
            <c:numRef>
              <c:f>Tgrid!$F$46:$F$53</c:f>
              <c:numCache>
                <c:formatCode>General</c:formatCode>
                <c:ptCount val="8"/>
                <c:pt idx="0">
                  <c:v>1.47018</c:v>
                </c:pt>
                <c:pt idx="1">
                  <c:v>2.3939400000000002</c:v>
                </c:pt>
                <c:pt idx="2">
                  <c:v>2.2784800000000001</c:v>
                </c:pt>
                <c:pt idx="3">
                  <c:v>1.5856600000000001</c:v>
                </c:pt>
                <c:pt idx="4">
                  <c:v>1.7011400000000001</c:v>
                </c:pt>
                <c:pt idx="5">
                  <c:v>2.1630200000000004</c:v>
                </c:pt>
                <c:pt idx="6">
                  <c:v>2.0475600000000003</c:v>
                </c:pt>
                <c:pt idx="7">
                  <c:v>1.8166200000000001</c:v>
                </c:pt>
              </c:numCache>
            </c:numRef>
          </c:xVal>
          <c:yVal>
            <c:numRef>
              <c:f>Tgrid!$G$46:$G$53</c:f>
              <c:numCache>
                <c:formatCode>_(* #,##0.00_);_(* \(#,##0.00\);_(* "-"??_);_(@_)</c:formatCode>
                <c:ptCount val="8"/>
                <c:pt idx="0">
                  <c:v>0.2</c:v>
                </c:pt>
                <c:pt idx="1">
                  <c:v>0.2</c:v>
                </c:pt>
                <c:pt idx="2">
                  <c:v>0.4</c:v>
                </c:pt>
                <c:pt idx="3">
                  <c:v>0.4</c:v>
                </c:pt>
                <c:pt idx="4">
                  <c:v>0.6</c:v>
                </c:pt>
                <c:pt idx="5">
                  <c:v>0.6</c:v>
                </c:pt>
                <c:pt idx="6">
                  <c:v>0.8</c:v>
                </c:pt>
                <c:pt idx="7">
                  <c:v>0.8</c:v>
                </c:pt>
              </c:numCache>
            </c:numRef>
          </c:yVal>
        </c:ser>
        <c:ser>
          <c:idx val="7"/>
          <c:order val="6"/>
          <c:tx>
            <c:v>anions B grid</c:v>
          </c:tx>
          <c:spPr>
            <a:ln w="3175">
              <a:solidFill>
                <a:srgbClr val="808080"/>
              </a:solidFill>
              <a:prstDash val="solid"/>
            </a:ln>
          </c:spPr>
          <c:marker>
            <c:symbol val="none"/>
          </c:marker>
          <c:xVal>
            <c:numRef>
              <c:f>Tgrid!$K$46:$K$53</c:f>
              <c:numCache>
                <c:formatCode>General</c:formatCode>
                <c:ptCount val="8"/>
                <c:pt idx="0">
                  <c:v>1.5856400000000002</c:v>
                </c:pt>
                <c:pt idx="1">
                  <c:v>1.47018</c:v>
                </c:pt>
                <c:pt idx="2">
                  <c:v>1.5856600000000001</c:v>
                </c:pt>
                <c:pt idx="3">
                  <c:v>1.8165800000000001</c:v>
                </c:pt>
                <c:pt idx="4">
                  <c:v>2.04752</c:v>
                </c:pt>
                <c:pt idx="5">
                  <c:v>1.7011400000000001</c:v>
                </c:pt>
                <c:pt idx="6">
                  <c:v>1.8166200000000001</c:v>
                </c:pt>
                <c:pt idx="7">
                  <c:v>2.2784599999999999</c:v>
                </c:pt>
              </c:numCache>
            </c:numRef>
          </c:xVal>
          <c:yVal>
            <c:numRef>
              <c:f>Tgrid!$L$46:$L$53</c:f>
              <c:numCache>
                <c:formatCode>0.00</c:formatCode>
                <c:ptCount val="8"/>
                <c:pt idx="0">
                  <c:v>0</c:v>
                </c:pt>
                <c:pt idx="1">
                  <c:v>0.2</c:v>
                </c:pt>
                <c:pt idx="2">
                  <c:v>0.4</c:v>
                </c:pt>
                <c:pt idx="3">
                  <c:v>0</c:v>
                </c:pt>
                <c:pt idx="4">
                  <c:v>0</c:v>
                </c:pt>
                <c:pt idx="5">
                  <c:v>0.6</c:v>
                </c:pt>
                <c:pt idx="6">
                  <c:v>0.8</c:v>
                </c:pt>
                <c:pt idx="7">
                  <c:v>0</c:v>
                </c:pt>
              </c:numCache>
            </c:numRef>
          </c:yVal>
        </c:ser>
        <c:ser>
          <c:idx val="8"/>
          <c:order val="7"/>
          <c:tx>
            <c:v>anions C grid</c:v>
          </c:tx>
          <c:spPr>
            <a:ln w="3175">
              <a:solidFill>
                <a:srgbClr val="808080"/>
              </a:solidFill>
              <a:prstDash val="solid"/>
            </a:ln>
          </c:spPr>
          <c:marker>
            <c:symbol val="none"/>
          </c:marker>
          <c:dLbls>
            <c:dLbl>
              <c:idx val="0"/>
              <c:layout>
                <c:manualLayout>
                  <c:x val="-3.0288772172069028E-2"/>
                  <c:y val="2.5054869772599801E-2"/>
                </c:manualLayout>
              </c:layout>
              <c:tx>
                <c:rich>
                  <a:bodyPr/>
                  <a:lstStyle/>
                  <a:p>
                    <a:r>
                      <a:rPr lang="en-US"/>
                      <a:t>20%</a:t>
                    </a:r>
                  </a:p>
                </c:rich>
              </c:tx>
              <c:dLblPos val="r"/>
            </c:dLbl>
            <c:dLbl>
              <c:idx val="1"/>
              <c:delete val="1"/>
            </c:dLbl>
            <c:dLbl>
              <c:idx val="2"/>
              <c:delete val="1"/>
            </c:dLbl>
            <c:dLbl>
              <c:idx val="3"/>
              <c:layout>
                <c:manualLayout>
                  <c:x val="-3.3528217407896112E-2"/>
                  <c:y val="2.5054869772599801E-2"/>
                </c:manualLayout>
              </c:layout>
              <c:tx>
                <c:rich>
                  <a:bodyPr/>
                  <a:lstStyle/>
                  <a:p>
                    <a:r>
                      <a:rPr lang="en-US"/>
                      <a:t>40%</a:t>
                    </a:r>
                  </a:p>
                </c:rich>
              </c:tx>
              <c:dLblPos val="r"/>
            </c:dLbl>
            <c:dLbl>
              <c:idx val="4"/>
              <c:layout>
                <c:manualLayout>
                  <c:x val="-3.2328150990005203E-2"/>
                  <c:y val="2.5054869772599801E-2"/>
                </c:manualLayout>
              </c:layout>
              <c:tx>
                <c:rich>
                  <a:bodyPr/>
                  <a:lstStyle/>
                  <a:p>
                    <a:r>
                      <a:rPr lang="en-US"/>
                      <a:t>60%</a:t>
                    </a:r>
                  </a:p>
                </c:rich>
              </c:tx>
              <c:dLblPos val="r"/>
            </c:dLbl>
            <c:dLbl>
              <c:idx val="5"/>
              <c:delete val="1"/>
            </c:dLbl>
            <c:dLbl>
              <c:idx val="6"/>
              <c:delete val="1"/>
            </c:dLbl>
            <c:dLbl>
              <c:idx val="7"/>
              <c:layout>
                <c:manualLayout>
                  <c:x val="-3.2237962485543989E-2"/>
                  <c:y val="2.8317512513219789E-2"/>
                </c:manualLayout>
              </c:layout>
              <c:tx>
                <c:rich>
                  <a:bodyPr/>
                  <a:lstStyle/>
                  <a:p>
                    <a:r>
                      <a:rPr lang="en-US"/>
                      <a:t>80%</a:t>
                    </a:r>
                  </a:p>
                </c:rich>
              </c:tx>
              <c:dLblPos val="r"/>
            </c:dLbl>
            <c:spPr>
              <a:noFill/>
              <a:ln w="25400">
                <a:noFill/>
              </a:ln>
            </c:spPr>
            <c:txPr>
              <a:bodyPr rot="-3600000" vert="horz"/>
              <a:lstStyle/>
              <a:p>
                <a:pPr algn="ctr" rtl="0">
                  <a:defRPr sz="800" b="0" i="0" u="none" strike="noStrike" baseline="0">
                    <a:solidFill>
                      <a:srgbClr val="808080"/>
                    </a:solidFill>
                    <a:latin typeface="Arial"/>
                    <a:ea typeface="Arial"/>
                    <a:cs typeface="Arial"/>
                  </a:defRPr>
                </a:pPr>
                <a:endParaRPr lang="en-US"/>
              </a:p>
            </c:txPr>
            <c:dLblPos val="b"/>
            <c:showVal val="1"/>
          </c:dLbls>
          <c:xVal>
            <c:numRef>
              <c:f>Tgrid!$P$46:$P$53</c:f>
              <c:numCache>
                <c:formatCode>General</c:formatCode>
                <c:ptCount val="8"/>
                <c:pt idx="0">
                  <c:v>1.5856400000000002</c:v>
                </c:pt>
                <c:pt idx="1">
                  <c:v>2.0475599999999998</c:v>
                </c:pt>
                <c:pt idx="2">
                  <c:v>2.1630200000000004</c:v>
                </c:pt>
                <c:pt idx="3">
                  <c:v>1.8165800000000001</c:v>
                </c:pt>
                <c:pt idx="4">
                  <c:v>2.04752</c:v>
                </c:pt>
                <c:pt idx="5">
                  <c:v>2.2784800000000001</c:v>
                </c:pt>
                <c:pt idx="6">
                  <c:v>2.3939400000000002</c:v>
                </c:pt>
                <c:pt idx="7">
                  <c:v>2.2784599999999999</c:v>
                </c:pt>
              </c:numCache>
            </c:numRef>
          </c:xVal>
          <c:yVal>
            <c:numRef>
              <c:f>Tgrid!$Q$46:$Q$53</c:f>
              <c:numCache>
                <c:formatCode>0.00</c:formatCode>
                <c:ptCount val="8"/>
                <c:pt idx="0">
                  <c:v>0</c:v>
                </c:pt>
                <c:pt idx="1">
                  <c:v>0.8</c:v>
                </c:pt>
                <c:pt idx="2">
                  <c:v>0.6</c:v>
                </c:pt>
                <c:pt idx="3">
                  <c:v>0</c:v>
                </c:pt>
                <c:pt idx="4">
                  <c:v>0</c:v>
                </c:pt>
                <c:pt idx="5">
                  <c:v>0.4</c:v>
                </c:pt>
                <c:pt idx="6">
                  <c:v>0.2</c:v>
                </c:pt>
                <c:pt idx="7">
                  <c:v>0</c:v>
                </c:pt>
              </c:numCache>
            </c:numRef>
          </c:yVal>
        </c:ser>
        <c:ser>
          <c:idx val="1"/>
          <c:order val="8"/>
          <c:tx>
            <c:v>Anions</c:v>
          </c:tx>
          <c:spPr>
            <a:ln w="25400">
              <a:solidFill>
                <a:srgbClr val="000000"/>
              </a:solidFill>
              <a:prstDash val="solid"/>
            </a:ln>
          </c:spPr>
          <c:marker>
            <c:symbol val="none"/>
          </c:marker>
          <c:dLbls>
            <c:dLbl>
              <c:idx val="0"/>
              <c:delete val="1"/>
            </c:dLbl>
            <c:dLbl>
              <c:idx val="1"/>
              <c:layout>
                <c:manualLayout>
                  <c:x val="-2.0152120274643848E-2"/>
                  <c:y val="-2.9847614888269598E-2"/>
                </c:manualLayout>
              </c:layout>
              <c:tx>
                <c:rich>
                  <a:bodyPr/>
                  <a:lstStyle/>
                  <a:p>
                    <a:r>
                      <a:rPr lang="en-NZ" sz="1200" b="0" i="0" u="none" strike="noStrike" baseline="0">
                        <a:solidFill>
                          <a:srgbClr val="000000"/>
                        </a:solidFill>
                        <a:latin typeface="Arial"/>
                        <a:cs typeface="Arial"/>
                      </a:rPr>
                      <a:t>SO</a:t>
                    </a:r>
                    <a:r>
                      <a:rPr lang="en-NZ" sz="1200" b="0" i="0" u="none" strike="noStrike" baseline="-25000">
                        <a:solidFill>
                          <a:srgbClr val="000000"/>
                        </a:solidFill>
                        <a:latin typeface="Arial"/>
                        <a:cs typeface="Arial"/>
                      </a:rPr>
                      <a:t>4</a:t>
                    </a:r>
                  </a:p>
                </c:rich>
              </c:tx>
              <c:dLblPos val="r"/>
            </c:dLbl>
            <c:dLbl>
              <c:idx val="2"/>
              <c:layout>
                <c:manualLayout>
                  <c:x val="-1.650962331151452E-2"/>
                  <c:y val="1.4333877107123459E-2"/>
                </c:manualLayout>
              </c:layout>
              <c:tx>
                <c:rich>
                  <a:bodyPr/>
                  <a:lstStyle/>
                  <a:p>
                    <a:r>
                      <a:rPr lang="en-US"/>
                      <a:t>Cl</a:t>
                    </a:r>
                  </a:p>
                </c:rich>
              </c:tx>
              <c:dLblPos val="r"/>
            </c:dLbl>
            <c:dLbl>
              <c:idx val="3"/>
              <c:layout>
                <c:manualLayout>
                  <c:x val="-3.0378960676530373E-2"/>
                  <c:y val="1.4333877107123459E-2"/>
                </c:manualLayout>
              </c:layout>
              <c:tx>
                <c:rich>
                  <a:bodyPr/>
                  <a:lstStyle/>
                  <a:p>
                    <a:r>
                      <a:rPr lang="en-NZ" sz="1200" b="0" i="0" u="none" strike="noStrike" baseline="0">
                        <a:solidFill>
                          <a:srgbClr val="000000"/>
                        </a:solidFill>
                        <a:latin typeface="Arial"/>
                        <a:cs typeface="Arial"/>
                      </a:rPr>
                      <a:t>HCO</a:t>
                    </a:r>
                    <a:r>
                      <a:rPr lang="en-NZ" sz="1200" b="0" i="0" u="none" strike="noStrike" baseline="-25000">
                        <a:solidFill>
                          <a:srgbClr val="000000"/>
                        </a:solidFill>
                        <a:latin typeface="Arial"/>
                        <a:cs typeface="Arial"/>
                      </a:rPr>
                      <a:t>3</a:t>
                    </a:r>
                  </a:p>
                </c:rich>
              </c:tx>
              <c:dLblPos val="r"/>
            </c:dLbl>
            <c:spPr>
              <a:noFill/>
              <a:ln w="25400">
                <a:noFill/>
              </a:ln>
            </c:spPr>
            <c:txPr>
              <a:bodyPr/>
              <a:lstStyle/>
              <a:p>
                <a:pPr algn="ctr" rtl="0">
                  <a:defRPr sz="1200" b="0" i="0" u="none" strike="noStrike" baseline="0">
                    <a:solidFill>
                      <a:srgbClr val="000000"/>
                    </a:solidFill>
                    <a:latin typeface="Arial"/>
                    <a:ea typeface="Arial"/>
                    <a:cs typeface="Arial"/>
                  </a:defRPr>
                </a:pPr>
                <a:endParaRPr lang="en-US"/>
              </a:p>
            </c:txPr>
            <c:showVal val="1"/>
          </c:dLbls>
          <c:xVal>
            <c:numRef>
              <c:f>Tgrid!$A$46:$A$49</c:f>
              <c:numCache>
                <c:formatCode>General</c:formatCode>
                <c:ptCount val="4"/>
                <c:pt idx="0">
                  <c:v>1.3547</c:v>
                </c:pt>
                <c:pt idx="1">
                  <c:v>1.9319999999999999</c:v>
                </c:pt>
                <c:pt idx="2">
                  <c:v>2.5090000000000003</c:v>
                </c:pt>
                <c:pt idx="3">
                  <c:v>1.3547</c:v>
                </c:pt>
              </c:numCache>
            </c:numRef>
          </c:xVal>
          <c:yVal>
            <c:numRef>
              <c:f>Tgrid!$B$46:$B$49</c:f>
              <c:numCache>
                <c:formatCode>General</c:formatCode>
                <c:ptCount val="4"/>
                <c:pt idx="0">
                  <c:v>0</c:v>
                </c:pt>
                <c:pt idx="1">
                  <c:v>1</c:v>
                </c:pt>
                <c:pt idx="2">
                  <c:v>0</c:v>
                </c:pt>
                <c:pt idx="3">
                  <c:v>0</c:v>
                </c:pt>
              </c:numCache>
            </c:numRef>
          </c:yVal>
        </c:ser>
        <c:ser>
          <c:idx val="9"/>
          <c:order val="9"/>
          <c:tx>
            <c:v>Tri cations grid</c:v>
          </c:tx>
          <c:spPr>
            <a:ln w="3175">
              <a:solidFill>
                <a:srgbClr val="808080"/>
              </a:solidFill>
              <a:prstDash val="solid"/>
            </a:ln>
          </c:spPr>
          <c:marker>
            <c:symbol val="none"/>
          </c:marker>
          <c:dLbls>
            <c:dLbl>
              <c:idx val="0"/>
              <c:delete val="1"/>
            </c:dLbl>
            <c:dLbl>
              <c:idx val="1"/>
              <c:layout>
                <c:manualLayout>
                  <c:x val="-4.2996845150183273E-3"/>
                  <c:y val="-2.107050648032785E-2"/>
                </c:manualLayout>
              </c:layout>
              <c:tx>
                <c:rich>
                  <a:bodyPr/>
                  <a:lstStyle/>
                  <a:p>
                    <a:r>
                      <a:rPr lang="en-US"/>
                      <a:t>80%</a:t>
                    </a:r>
                  </a:p>
                </c:rich>
              </c:tx>
              <c:dLblPos val="r"/>
            </c:dLbl>
            <c:dLbl>
              <c:idx val="2"/>
              <c:layout>
                <c:manualLayout>
                  <c:x val="-7.5867875006189736E-3"/>
                  <c:y val="-2.3653389166484712E-2"/>
                </c:manualLayout>
              </c:layout>
              <c:tx>
                <c:rich>
                  <a:bodyPr/>
                  <a:lstStyle/>
                  <a:p>
                    <a:r>
                      <a:rPr lang="en-US"/>
                      <a:t>60%</a:t>
                    </a:r>
                  </a:p>
                </c:rich>
              </c:tx>
              <c:dLblPos val="r"/>
            </c:dLbl>
            <c:dLbl>
              <c:idx val="3"/>
              <c:delete val="1"/>
            </c:dLbl>
            <c:dLbl>
              <c:idx val="4"/>
              <c:delete val="1"/>
            </c:dLbl>
            <c:dLbl>
              <c:idx val="5"/>
              <c:layout>
                <c:manualLayout>
                  <c:x val="-9.7638960501746259E-3"/>
                  <c:y val="-2.2973629112021682E-2"/>
                </c:manualLayout>
              </c:layout>
              <c:tx>
                <c:rich>
                  <a:bodyPr/>
                  <a:lstStyle/>
                  <a:p>
                    <a:r>
                      <a:rPr lang="en-US"/>
                      <a:t>40%</a:t>
                    </a:r>
                  </a:p>
                </c:rich>
              </c:tx>
              <c:dLblPos val="r"/>
            </c:dLbl>
            <c:dLbl>
              <c:idx val="6"/>
              <c:layout>
                <c:manualLayout>
                  <c:x val="-7.5016094686276942E-3"/>
                  <c:y val="-2.0662547687248761E-2"/>
                </c:manualLayout>
              </c:layout>
              <c:tx>
                <c:rich>
                  <a:bodyPr/>
                  <a:lstStyle/>
                  <a:p>
                    <a:r>
                      <a:rPr lang="en-US"/>
                      <a:t>20%</a:t>
                    </a:r>
                  </a:p>
                </c:rich>
              </c:tx>
              <c:dLblPos val="r"/>
            </c:dLbl>
            <c:dLbl>
              <c:idx val="7"/>
              <c:delete val="1"/>
            </c:dLbl>
            <c:spPr>
              <a:noFill/>
              <a:ln w="25400">
                <a:noFill/>
              </a:ln>
            </c:spPr>
            <c:txPr>
              <a:bodyPr rot="-3600000" vert="horz"/>
              <a:lstStyle/>
              <a:p>
                <a:pPr algn="ctr" rtl="0">
                  <a:defRPr sz="800" b="0" i="0" u="none" strike="noStrike" baseline="0">
                    <a:solidFill>
                      <a:srgbClr val="808080"/>
                    </a:solidFill>
                    <a:latin typeface="Arial"/>
                    <a:ea typeface="Arial"/>
                    <a:cs typeface="Arial"/>
                  </a:defRPr>
                </a:pPr>
                <a:endParaRPr lang="en-US"/>
              </a:p>
            </c:txPr>
            <c:dLblPos val="r"/>
            <c:showVal val="1"/>
          </c:dLbls>
          <c:xVal>
            <c:numRef>
              <c:f>Tgrid!$F$58:$F$65</c:f>
              <c:numCache>
                <c:formatCode>_(* #,##0.00_);_(* \(#,##0.00\);_(* "-"??_);_(@_)</c:formatCode>
                <c:ptCount val="8"/>
                <c:pt idx="0">
                  <c:v>0.79288000000000014</c:v>
                </c:pt>
                <c:pt idx="1">
                  <c:v>1.3702800000000002</c:v>
                </c:pt>
                <c:pt idx="2">
                  <c:v>1.4857600000000002</c:v>
                </c:pt>
                <c:pt idx="3">
                  <c:v>0.90835999999999995</c:v>
                </c:pt>
                <c:pt idx="4">
                  <c:v>1.0238400000000001</c:v>
                </c:pt>
                <c:pt idx="5">
                  <c:v>1.6012400000000002</c:v>
                </c:pt>
                <c:pt idx="6">
                  <c:v>1.71672</c:v>
                </c:pt>
                <c:pt idx="7">
                  <c:v>1.1393200000000001</c:v>
                </c:pt>
              </c:numCache>
            </c:numRef>
          </c:xVal>
          <c:yVal>
            <c:numRef>
              <c:f>Tgrid!$G$58:$G$65</c:f>
              <c:numCache>
                <c:formatCode>_(* #,##0.00_);_(* \(#,##0.00\);_(* "-"??_);_(@_)</c:formatCode>
                <c:ptCount val="8"/>
                <c:pt idx="0">
                  <c:v>0.97320000000000007</c:v>
                </c:pt>
                <c:pt idx="1">
                  <c:v>1.9732000000000001</c:v>
                </c:pt>
                <c:pt idx="2">
                  <c:v>1.7732000000000001</c:v>
                </c:pt>
                <c:pt idx="3">
                  <c:v>0.77320000000000011</c:v>
                </c:pt>
                <c:pt idx="4">
                  <c:v>0.57319999999999993</c:v>
                </c:pt>
                <c:pt idx="5">
                  <c:v>1.5731999999999999</c:v>
                </c:pt>
                <c:pt idx="6">
                  <c:v>1.3732</c:v>
                </c:pt>
                <c:pt idx="7">
                  <c:v>0.37319999999999998</c:v>
                </c:pt>
              </c:numCache>
            </c:numRef>
          </c:yVal>
        </c:ser>
        <c:ser>
          <c:idx val="10"/>
          <c:order val="10"/>
          <c:tx>
            <c:v>Tri anions grid</c:v>
          </c:tx>
          <c:spPr>
            <a:ln w="3175">
              <a:solidFill>
                <a:srgbClr val="808080"/>
              </a:solidFill>
              <a:prstDash val="solid"/>
            </a:ln>
          </c:spPr>
          <c:marker>
            <c:symbol val="none"/>
          </c:marker>
          <c:dLbls>
            <c:dLbl>
              <c:idx val="0"/>
              <c:layout>
                <c:manualLayout>
                  <c:x val="-3.5461560645651792E-2"/>
                  <c:y val="-2.2701827850637801E-2"/>
                </c:manualLayout>
              </c:layout>
              <c:tx>
                <c:rich>
                  <a:bodyPr rot="3600000" vert="horz"/>
                  <a:lstStyle/>
                  <a:p>
                    <a:pPr algn="ctr" rtl="0">
                      <a:defRPr sz="800" b="0" i="0" u="none" strike="noStrike" baseline="0">
                        <a:solidFill>
                          <a:srgbClr val="808080"/>
                        </a:solidFill>
                        <a:latin typeface="Arial"/>
                        <a:ea typeface="Arial"/>
                        <a:cs typeface="Arial"/>
                      </a:defRPr>
                    </a:pPr>
                    <a:r>
                      <a:rPr lang="en-US"/>
                      <a:t>80%</a:t>
                    </a:r>
                  </a:p>
                </c:rich>
              </c:tx>
              <c:spPr>
                <a:noFill/>
                <a:ln w="25400">
                  <a:noFill/>
                </a:ln>
              </c:spPr>
              <c:dLblPos val="r"/>
            </c:dLbl>
            <c:dLbl>
              <c:idx val="1"/>
              <c:delete val="1"/>
            </c:dLbl>
            <c:dLbl>
              <c:idx val="2"/>
              <c:delete val="1"/>
            </c:dLbl>
            <c:dLbl>
              <c:idx val="3"/>
              <c:layout>
                <c:manualLayout>
                  <c:x val="-3.4394213486910193E-2"/>
                  <c:y val="-2.3653389166484712E-2"/>
                </c:manualLayout>
              </c:layout>
              <c:tx>
                <c:rich>
                  <a:bodyPr rot="3600000" vert="horz"/>
                  <a:lstStyle/>
                  <a:p>
                    <a:pPr algn="ctr" rtl="0">
                      <a:defRPr sz="800" b="0" i="0" u="none" strike="noStrike" baseline="0">
                        <a:solidFill>
                          <a:srgbClr val="808080"/>
                        </a:solidFill>
                        <a:latin typeface="Arial"/>
                        <a:ea typeface="Arial"/>
                        <a:cs typeface="Arial"/>
                      </a:defRPr>
                    </a:pPr>
                    <a:r>
                      <a:rPr lang="en-US"/>
                      <a:t>60%</a:t>
                    </a:r>
                  </a:p>
                </c:rich>
              </c:tx>
              <c:spPr>
                <a:noFill/>
                <a:ln w="25400">
                  <a:noFill/>
                </a:ln>
              </c:spPr>
              <c:dLblPos val="r"/>
            </c:dLbl>
            <c:dLbl>
              <c:idx val="4"/>
              <c:layout>
                <c:manualLayout>
                  <c:x val="-3.5546738677643096E-2"/>
                  <c:y val="-2.2973629112021682E-2"/>
                </c:manualLayout>
              </c:layout>
              <c:tx>
                <c:rich>
                  <a:bodyPr rot="3600000" vert="horz"/>
                  <a:lstStyle/>
                  <a:p>
                    <a:pPr algn="ctr" rtl="0">
                      <a:defRPr sz="800" b="0" i="0" u="none" strike="noStrike" baseline="0">
                        <a:solidFill>
                          <a:srgbClr val="808080"/>
                        </a:solidFill>
                        <a:latin typeface="Arial"/>
                        <a:ea typeface="Arial"/>
                        <a:cs typeface="Arial"/>
                      </a:defRPr>
                    </a:pPr>
                    <a:r>
                      <a:rPr lang="en-US"/>
                      <a:t>40%</a:t>
                    </a:r>
                  </a:p>
                </c:rich>
              </c:tx>
              <c:spPr>
                <a:noFill/>
                <a:ln w="25400">
                  <a:noFill/>
                </a:ln>
              </c:spPr>
              <c:dLblPos val="r"/>
            </c:dLbl>
            <c:dLbl>
              <c:idx val="5"/>
              <c:delete val="1"/>
            </c:dLbl>
            <c:dLbl>
              <c:idx val="6"/>
              <c:delete val="1"/>
            </c:dLbl>
            <c:dLbl>
              <c:idx val="7"/>
              <c:layout>
                <c:manualLayout>
                  <c:x val="-3.4479508041517011E-2"/>
                  <c:y val="-2.2293869057558632E-2"/>
                </c:manualLayout>
              </c:layout>
              <c:tx>
                <c:rich>
                  <a:bodyPr rot="3600000" vert="horz"/>
                  <a:lstStyle/>
                  <a:p>
                    <a:pPr algn="ctr" rtl="0">
                      <a:defRPr sz="800" b="0" i="0" u="none" strike="noStrike" baseline="0">
                        <a:solidFill>
                          <a:srgbClr val="808080"/>
                        </a:solidFill>
                        <a:latin typeface="Arial"/>
                        <a:ea typeface="Arial"/>
                        <a:cs typeface="Arial"/>
                      </a:defRPr>
                    </a:pPr>
                    <a:r>
                      <a:rPr lang="en-US"/>
                      <a:t>20%</a:t>
                    </a:r>
                  </a:p>
                </c:rich>
              </c:tx>
              <c:spPr>
                <a:noFill/>
                <a:ln w="25400">
                  <a:noFill/>
                </a:ln>
              </c:spPr>
              <c:dLblPos val="r"/>
            </c:dLbl>
            <c:numFmt formatCode="0%" sourceLinked="0"/>
            <c:spPr>
              <a:noFill/>
              <a:ln w="25400">
                <a:noFill/>
              </a:ln>
            </c:spPr>
            <c:txPr>
              <a:bodyPr rot="3600000" vert="horz"/>
              <a:lstStyle/>
              <a:p>
                <a:pPr algn="ctr" rtl="0">
                  <a:defRPr sz="800" b="0" i="0" u="none" strike="noStrike" baseline="0">
                    <a:solidFill>
                      <a:srgbClr val="808080"/>
                    </a:solidFill>
                    <a:latin typeface="Arial"/>
                    <a:ea typeface="Arial"/>
                    <a:cs typeface="Arial"/>
                  </a:defRPr>
                </a:pPr>
                <a:endParaRPr lang="en-US"/>
              </a:p>
            </c:txPr>
            <c:dLblPos val="l"/>
            <c:showVal val="1"/>
          </c:dLbls>
          <c:xVal>
            <c:numRef>
              <c:f>Tgrid!$K$58:$K$65</c:f>
              <c:numCache>
                <c:formatCode>_(* #,##0.00_);_(* \(#,##0.00\);_(* "-"??_);_(@_)</c:formatCode>
                <c:ptCount val="8"/>
                <c:pt idx="0">
                  <c:v>1.1393200000000001</c:v>
                </c:pt>
                <c:pt idx="1">
                  <c:v>1.71672</c:v>
                </c:pt>
                <c:pt idx="2">
                  <c:v>1.6012400000000002</c:v>
                </c:pt>
                <c:pt idx="3">
                  <c:v>1.0238400000000001</c:v>
                </c:pt>
                <c:pt idx="4">
                  <c:v>0.90835999999999995</c:v>
                </c:pt>
                <c:pt idx="5">
                  <c:v>1.4857600000000002</c:v>
                </c:pt>
                <c:pt idx="6">
                  <c:v>1.3702800000000002</c:v>
                </c:pt>
                <c:pt idx="7">
                  <c:v>0.79288000000000003</c:v>
                </c:pt>
              </c:numCache>
            </c:numRef>
          </c:xVal>
          <c:yVal>
            <c:numRef>
              <c:f>Tgrid!$L$58:$L$65</c:f>
              <c:numCache>
                <c:formatCode>_(* #,##0.00_);_(* \(#,##0.00\);_(* "-"??_);_(@_)</c:formatCode>
                <c:ptCount val="8"/>
                <c:pt idx="0">
                  <c:v>1.9732000000000001</c:v>
                </c:pt>
                <c:pt idx="1">
                  <c:v>0.97320000000000007</c:v>
                </c:pt>
                <c:pt idx="2">
                  <c:v>0.7732</c:v>
                </c:pt>
                <c:pt idx="3">
                  <c:v>1.7732000000000001</c:v>
                </c:pt>
                <c:pt idx="4">
                  <c:v>1.5731999999999999</c:v>
                </c:pt>
                <c:pt idx="5">
                  <c:v>0.57320000000000004</c:v>
                </c:pt>
                <c:pt idx="6">
                  <c:v>0.37319999999999998</c:v>
                </c:pt>
                <c:pt idx="7">
                  <c:v>1.3732</c:v>
                </c:pt>
              </c:numCache>
            </c:numRef>
          </c:yVal>
        </c:ser>
        <c:ser>
          <c:idx val="16"/>
          <c:order val="11"/>
          <c:tx>
            <c:strRef>
              <c:f>Input!$AH$8</c:f>
              <c:strCache>
                <c:ptCount val="1"/>
                <c:pt idx="0">
                  <c:v>WK</c:v>
                </c:pt>
              </c:strCache>
            </c:strRef>
          </c:tx>
          <c:spPr>
            <a:ln w="28575">
              <a:noFill/>
            </a:ln>
          </c:spPr>
          <c:marker>
            <c:symbol val="triangle"/>
            <c:size val="7"/>
            <c:spPr>
              <a:noFill/>
            </c:spPr>
          </c:marker>
          <c:xVal>
            <c:numRef>
              <c:f>(Input!$DJ$8,Input!$DO$8,Input!$DS$8)</c:f>
              <c:numCache>
                <c:formatCode>0.000</c:formatCode>
                <c:ptCount val="3"/>
                <c:pt idx="0">
                  <c:v>1.1341732350198925</c:v>
                </c:pt>
                <c:pt idx="1">
                  <c:v>2.5002608297337825</c:v>
                </c:pt>
                <c:pt idx="2">
                  <c:v>1.8210922966416236</c:v>
                </c:pt>
              </c:numCache>
            </c:numRef>
          </c:xVal>
          <c:yVal>
            <c:numRef>
              <c:f>(Input!$DK$8,Input!$DP$8,Input!$DT$8)</c:f>
              <c:numCache>
                <c:formatCode>0.000</c:formatCode>
                <c:ptCount val="3"/>
                <c:pt idx="0">
                  <c:v>1.4646389421257273E-5</c:v>
                </c:pt>
                <c:pt idx="1">
                  <c:v>1.2923798891004331E-2</c:v>
                </c:pt>
                <c:pt idx="2">
                  <c:v>1.1895306145656175</c:v>
                </c:pt>
              </c:numCache>
            </c:numRef>
          </c:yVal>
        </c:ser>
        <c:ser>
          <c:idx val="11"/>
          <c:order val="12"/>
          <c:tx>
            <c:strRef>
              <c:f>Input!$AH$9</c:f>
              <c:strCache>
                <c:ptCount val="1"/>
                <c:pt idx="0">
                  <c:v>wk</c:v>
                </c:pt>
              </c:strCache>
            </c:strRef>
          </c:tx>
          <c:spPr>
            <a:ln>
              <a:noFill/>
            </a:ln>
          </c:spPr>
          <c:marker>
            <c:symbol val="triangle"/>
            <c:size val="7"/>
            <c:spPr>
              <a:noFill/>
            </c:spPr>
          </c:marker>
          <c:xVal>
            <c:numRef>
              <c:f>(Input!$DJ$9,Input!$DO$9,Input!$DS$9)</c:f>
              <c:numCache>
                <c:formatCode>0.000</c:formatCode>
                <c:ptCount val="3"/>
                <c:pt idx="0">
                  <c:v>1.121508174773916</c:v>
                </c:pt>
                <c:pt idx="1">
                  <c:v>2.4940191335596524</c:v>
                </c:pt>
                <c:pt idx="2">
                  <c:v>1.8090724350062584</c:v>
                </c:pt>
              </c:numCache>
            </c:numRef>
          </c:xVal>
          <c:yVal>
            <c:numRef>
              <c:f>(Input!$DK$9,Input!$DP$9,Input!$DT$9)</c:f>
              <c:numCache>
                <c:formatCode>0.000</c:formatCode>
                <c:ptCount val="3"/>
                <c:pt idx="0">
                  <c:v>6.3258572684129072E-3</c:v>
                </c:pt>
                <c:pt idx="1">
                  <c:v>1.0348375424348008E-2</c:v>
                </c:pt>
                <c:pt idx="2">
                  <c:v>1.1969616921321504</c:v>
                </c:pt>
              </c:numCache>
            </c:numRef>
          </c:yVal>
        </c:ser>
        <c:ser>
          <c:idx val="12"/>
          <c:order val="13"/>
          <c:tx>
            <c:strRef>
              <c:f>Input!$AH$10</c:f>
              <c:strCache>
                <c:ptCount val="1"/>
                <c:pt idx="0">
                  <c:v>NG</c:v>
                </c:pt>
              </c:strCache>
            </c:strRef>
          </c:tx>
          <c:spPr>
            <a:ln>
              <a:noFill/>
            </a:ln>
          </c:spPr>
          <c:marker>
            <c:symbol val="triangle"/>
            <c:size val="7"/>
            <c:spPr>
              <a:noFill/>
            </c:spPr>
          </c:marker>
          <c:xVal>
            <c:numRef>
              <c:f>(Input!$DJ$10,Input!$DO$10,Input!$DS$10)</c:f>
              <c:numCache>
                <c:formatCode>0.000</c:formatCode>
                <c:ptCount val="3"/>
                <c:pt idx="0">
                  <c:v>1.1502989472261596</c:v>
                </c:pt>
                <c:pt idx="1">
                  <c:v>2.3572073763220205</c:v>
                </c:pt>
                <c:pt idx="2">
                  <c:v>1.7576861848905494</c:v>
                </c:pt>
              </c:numCache>
            </c:numRef>
          </c:xVal>
          <c:yVal>
            <c:numRef>
              <c:f>(Input!$DK$10,Input!$DP$10,Input!$DT$10)</c:f>
              <c:numCache>
                <c:formatCode>0.000</c:formatCode>
                <c:ptCount val="3"/>
                <c:pt idx="0">
                  <c:v>2.0383749735724911E-4</c:v>
                </c:pt>
                <c:pt idx="1">
                  <c:v>1.3332144575891903E-2</c:v>
                </c:pt>
                <c:pt idx="2">
                  <c:v>1.05197610801983</c:v>
                </c:pt>
              </c:numCache>
            </c:numRef>
          </c:yVal>
        </c:ser>
        <c:ser>
          <c:idx val="13"/>
          <c:order val="14"/>
          <c:tx>
            <c:strRef>
              <c:f>Input!$AH$11</c:f>
              <c:strCache>
                <c:ptCount val="1"/>
                <c:pt idx="0">
                  <c:v>ng</c:v>
                </c:pt>
              </c:strCache>
            </c:strRef>
          </c:tx>
          <c:spPr>
            <a:ln>
              <a:noFill/>
            </a:ln>
          </c:spPr>
          <c:marker>
            <c:symbol val="triangle"/>
            <c:size val="7"/>
            <c:spPr>
              <a:noFill/>
            </c:spPr>
          </c:marker>
          <c:xVal>
            <c:numRef>
              <c:f>(Input!$DJ$11,Input!$DO$11,Input!$DS$11)</c:f>
              <c:numCache>
                <c:formatCode>0.000</c:formatCode>
                <c:ptCount val="3"/>
                <c:pt idx="0">
                  <c:v>1.1379806515011479</c:v>
                </c:pt>
                <c:pt idx="1">
                  <c:v>2.2822100353291317</c:v>
                </c:pt>
                <c:pt idx="2">
                  <c:v>1.7619130576484259</c:v>
                </c:pt>
              </c:numCache>
            </c:numRef>
          </c:xVal>
          <c:yVal>
            <c:numRef>
              <c:f>(Input!$DK$11,Input!$DP$11,Input!$DT$11)</c:f>
              <c:numCache>
                <c:formatCode>0.000</c:formatCode>
                <c:ptCount val="3"/>
                <c:pt idx="0">
                  <c:v>2.7494927605571985E-3</c:v>
                </c:pt>
                <c:pt idx="1">
                  <c:v>0.18176885257839243</c:v>
                </c:pt>
                <c:pt idx="2">
                  <c:v>1.0831784355602627</c:v>
                </c:pt>
              </c:numCache>
            </c:numRef>
          </c:yVal>
        </c:ser>
        <c:ser>
          <c:idx val="14"/>
          <c:order val="15"/>
          <c:tx>
            <c:strRef>
              <c:f>Input!$AH$12</c:f>
              <c:strCache>
                <c:ptCount val="1"/>
                <c:pt idx="0">
                  <c:v>ZU</c:v>
                </c:pt>
              </c:strCache>
            </c:strRef>
          </c:tx>
          <c:spPr>
            <a:ln>
              <a:noFill/>
            </a:ln>
          </c:spPr>
          <c:marker>
            <c:symbol val="triangle"/>
            <c:size val="7"/>
            <c:spPr>
              <a:noFill/>
            </c:spPr>
          </c:marker>
          <c:xVal>
            <c:numRef>
              <c:f>(Input!$DJ$12,Input!$DO$12,Input!$DS$12)</c:f>
              <c:numCache>
                <c:formatCode>0.000</c:formatCode>
                <c:ptCount val="3"/>
                <c:pt idx="0">
                  <c:v>1.1421953782720831</c:v>
                </c:pt>
                <c:pt idx="1">
                  <c:v>2.4402894929179388</c:v>
                </c:pt>
                <c:pt idx="2">
                  <c:v>1.798477560340501</c:v>
                </c:pt>
              </c:numCache>
            </c:numRef>
          </c:xVal>
          <c:yVal>
            <c:numRef>
              <c:f>(Input!$DK$12,Input!$DP$12,Input!$DT$12)</c:f>
              <c:numCache>
                <c:formatCode>0.000</c:formatCode>
                <c:ptCount val="3"/>
                <c:pt idx="0">
                  <c:v>1.6217040191601906E-5</c:v>
                </c:pt>
                <c:pt idx="1">
                  <c:v>2.4572065831977699E-2</c:v>
                </c:pt>
                <c:pt idx="2">
                  <c:v>1.1364709205591614</c:v>
                </c:pt>
              </c:numCache>
            </c:numRef>
          </c:yVal>
        </c:ser>
        <c:ser>
          <c:idx val="15"/>
          <c:order val="16"/>
          <c:tx>
            <c:strRef>
              <c:f>Input!$AH$13</c:f>
              <c:strCache>
                <c:ptCount val="1"/>
                <c:pt idx="0">
                  <c:v>zu</c:v>
                </c:pt>
              </c:strCache>
            </c:strRef>
          </c:tx>
          <c:spPr>
            <a:ln>
              <a:noFill/>
            </a:ln>
          </c:spPr>
          <c:marker>
            <c:symbol val="diamond"/>
            <c:size val="7"/>
            <c:spPr>
              <a:noFill/>
            </c:spPr>
          </c:marker>
          <c:xVal>
            <c:numRef>
              <c:f>(Input!$DJ$13,Input!$DO$13,Input!$DS$13)</c:f>
              <c:numCache>
                <c:formatCode>0.000</c:formatCode>
                <c:ptCount val="3"/>
                <c:pt idx="0">
                  <c:v>0.90275388469906581</c:v>
                </c:pt>
                <c:pt idx="1">
                  <c:v>1.8169582812335052</c:v>
                </c:pt>
                <c:pt idx="2">
                  <c:v>1.3717709067662376</c:v>
                </c:pt>
              </c:numCache>
            </c:numRef>
          </c:xVal>
          <c:yVal>
            <c:numRef>
              <c:f>(Input!$DK$13,Input!$DP$13,Input!$DT$13)</c:f>
              <c:numCache>
                <c:formatCode>0.000</c:formatCode>
                <c:ptCount val="3"/>
                <c:pt idx="0">
                  <c:v>0.19717854481054378</c:v>
                </c:pt>
                <c:pt idx="1">
                  <c:v>0.23810892285315477</c:v>
                </c:pt>
                <c:pt idx="2">
                  <c:v>1.009361400771779</c:v>
                </c:pt>
              </c:numCache>
            </c:numRef>
          </c:yVal>
        </c:ser>
        <c:ser>
          <c:idx val="17"/>
          <c:order val="17"/>
          <c:tx>
            <c:strRef>
              <c:f>Input!$AH$14</c:f>
              <c:strCache>
                <c:ptCount val="1"/>
                <c:pt idx="0">
                  <c:v>MV</c:v>
                </c:pt>
              </c:strCache>
            </c:strRef>
          </c:tx>
          <c:spPr>
            <a:ln>
              <a:noFill/>
            </a:ln>
          </c:spPr>
          <c:marker>
            <c:symbol val="diamond"/>
            <c:size val="7"/>
            <c:spPr>
              <a:noFill/>
            </c:spPr>
          </c:marker>
          <c:xVal>
            <c:numRef>
              <c:f>(Input!$DJ$14,Input!$DO$14,Input!$DS$14)</c:f>
              <c:numCache>
                <c:formatCode>0.000</c:formatCode>
                <c:ptCount val="3"/>
                <c:pt idx="0">
                  <c:v>1.110611184336409</c:v>
                </c:pt>
                <c:pt idx="1">
                  <c:v>2.4968101282014921</c:v>
                </c:pt>
                <c:pt idx="2">
                  <c:v>1.806142874845414</c:v>
                </c:pt>
              </c:numCache>
            </c:numRef>
          </c:xVal>
          <c:yVal>
            <c:numRef>
              <c:f>(Input!$DK$14,Input!$DP$14,Input!$DT$14)</c:f>
              <c:numCache>
                <c:formatCode>0.000</c:formatCode>
                <c:ptCount val="3"/>
                <c:pt idx="0">
                  <c:v>1.7240764059188126E-5</c:v>
                </c:pt>
                <c:pt idx="1">
                  <c:v>7.9315863638345398E-3</c:v>
                </c:pt>
                <c:pt idx="2">
                  <c:v>1.2044529691609012</c:v>
                </c:pt>
              </c:numCache>
            </c:numRef>
          </c:yVal>
        </c:ser>
        <c:ser>
          <c:idx val="23"/>
          <c:order val="18"/>
          <c:tx>
            <c:strRef>
              <c:f>Input!$AH$15</c:f>
              <c:strCache>
                <c:ptCount val="1"/>
                <c:pt idx="0">
                  <c:v>mv</c:v>
                </c:pt>
              </c:strCache>
            </c:strRef>
          </c:tx>
          <c:spPr>
            <a:ln>
              <a:noFill/>
            </a:ln>
          </c:spPr>
          <c:marker>
            <c:symbol val="diamond"/>
            <c:size val="7"/>
            <c:spPr>
              <a:noFill/>
            </c:spPr>
          </c:marker>
          <c:xVal>
            <c:numRef>
              <c:f>(Input!$DJ$15,Input!$DO$15,Input!$DS$15)</c:f>
              <c:numCache>
                <c:formatCode>0.000</c:formatCode>
                <c:ptCount val="3"/>
                <c:pt idx="0">
                  <c:v>1.1370575830979976</c:v>
                </c:pt>
                <c:pt idx="1">
                  <c:v>2.3037509772552234</c:v>
                </c:pt>
                <c:pt idx="2">
                  <c:v>1.7267633449955497</c:v>
                </c:pt>
              </c:numCache>
            </c:numRef>
          </c:xVal>
          <c:yVal>
            <c:numRef>
              <c:f>(Input!$DK$15,Input!$DP$15,Input!$DT$15)</c:f>
              <c:numCache>
                <c:formatCode>0.000</c:formatCode>
                <c:ptCount val="3"/>
                <c:pt idx="0">
                  <c:v>5.9843854647560445E-3</c:v>
                </c:pt>
                <c:pt idx="1">
                  <c:v>2.7527757486009698E-2</c:v>
                </c:pt>
                <c:pt idx="2">
                  <c:v>1.0271365659662677</c:v>
                </c:pt>
              </c:numCache>
            </c:numRef>
          </c:yVal>
        </c:ser>
        <c:ser>
          <c:idx val="22"/>
          <c:order val="19"/>
          <c:tx>
            <c:strRef>
              <c:f>Input!$AH$16</c:f>
              <c:strCache>
                <c:ptCount val="1"/>
                <c:pt idx="0">
                  <c:v>ra</c:v>
                </c:pt>
              </c:strCache>
            </c:strRef>
          </c:tx>
          <c:spPr>
            <a:ln>
              <a:noFill/>
            </a:ln>
          </c:spPr>
          <c:marker>
            <c:symbol val="diamond"/>
            <c:size val="7"/>
            <c:spPr>
              <a:noFill/>
            </c:spPr>
          </c:marker>
          <c:xVal>
            <c:numRef>
              <c:f>(Input!$DJ$16,Input!$DO$16,Input!$DS$16)</c:f>
              <c:numCache>
                <c:formatCode>0.000</c:formatCode>
                <c:ptCount val="3"/>
                <c:pt idx="0">
                  <c:v>0.67833433041630453</c:v>
                </c:pt>
                <c:pt idx="1">
                  <c:v>2.0165843390286162</c:v>
                </c:pt>
                <c:pt idx="2">
                  <c:v>1.504939088236134</c:v>
                </c:pt>
              </c:numCache>
            </c:numRef>
          </c:xVal>
          <c:yVal>
            <c:numRef>
              <c:f>(Input!$DK$16,Input!$DP$16,Input!$DT$16)</c:f>
              <c:numCache>
                <c:formatCode>0.000</c:formatCode>
                <c:ptCount val="3"/>
                <c:pt idx="0">
                  <c:v>0.30845077168938506</c:v>
                </c:pt>
                <c:pt idx="1">
                  <c:v>0.85365609037135581</c:v>
                </c:pt>
                <c:pt idx="2">
                  <c:v>1.7399837058605234</c:v>
                </c:pt>
              </c:numCache>
            </c:numRef>
          </c:yVal>
        </c:ser>
        <c:ser>
          <c:idx val="21"/>
          <c:order val="20"/>
          <c:tx>
            <c:strRef>
              <c:f>Input!$AH$17</c:f>
              <c:strCache>
                <c:ptCount val="1"/>
                <c:pt idx="0">
                  <c:v>rb</c:v>
                </c:pt>
              </c:strCache>
            </c:strRef>
          </c:tx>
          <c:spPr>
            <a:ln>
              <a:noFill/>
            </a:ln>
          </c:spPr>
          <c:marker>
            <c:symbol val="diamond"/>
            <c:size val="7"/>
            <c:spPr>
              <a:noFill/>
            </c:spPr>
          </c:marker>
          <c:xVal>
            <c:numRef>
              <c:f>(Input!$DJ$17,Input!$DO$17,Input!$DS$17)</c:f>
              <c:numCache>
                <c:formatCode>0.000</c:formatCode>
                <c:ptCount val="3"/>
                <c:pt idx="0">
                  <c:v>1.0587354788667986</c:v>
                </c:pt>
                <c:pt idx="1">
                  <c:v>2.3902474699101557</c:v>
                </c:pt>
                <c:pt idx="2">
                  <c:v>1.728484738121695</c:v>
                </c:pt>
              </c:numCache>
            </c:numRef>
          </c:xVal>
          <c:yVal>
            <c:numRef>
              <c:f>(Input!$DK$17,Input!$DP$17,Input!$DT$17)</c:f>
              <c:numCache>
                <c:formatCode>0.000</c:formatCode>
                <c:ptCount val="3"/>
                <c:pt idx="0">
                  <c:v>1.3384491784217972E-2</c:v>
                </c:pt>
                <c:pt idx="1">
                  <c:v>2.6732540248973834E-2</c:v>
                </c:pt>
                <c:pt idx="2">
                  <c:v>1.1731765238462779</c:v>
                </c:pt>
              </c:numCache>
            </c:numRef>
          </c:yVal>
        </c:ser>
        <c:ser>
          <c:idx val="20"/>
          <c:order val="21"/>
          <c:tx>
            <c:strRef>
              <c:f>Input!$AH$18</c:f>
              <c:strCache>
                <c:ptCount val="1"/>
                <c:pt idx="0">
                  <c:v>ar</c:v>
                </c:pt>
              </c:strCache>
            </c:strRef>
          </c:tx>
          <c:spPr>
            <a:ln>
              <a:noFill/>
            </a:ln>
          </c:spPr>
          <c:marker>
            <c:symbol val="square"/>
            <c:size val="7"/>
            <c:spPr>
              <a:noFill/>
            </c:spPr>
          </c:marker>
          <c:xVal>
            <c:numRef>
              <c:f>(Input!$DJ$18,Input!$DO$18,Input!$DS$18)</c:f>
              <c:numCache>
                <c:formatCode>0.000</c:formatCode>
                <c:ptCount val="3"/>
                <c:pt idx="0">
                  <c:v>1.1026249050561561</c:v>
                </c:pt>
                <c:pt idx="1">
                  <c:v>2.4223459261174378</c:v>
                </c:pt>
                <c:pt idx="2">
                  <c:v>1.7875091041145992</c:v>
                </c:pt>
              </c:numCache>
            </c:numRef>
          </c:xVal>
          <c:yVal>
            <c:numRef>
              <c:f>(Input!$DK$18,Input!$DP$18,Input!$DT$18)</c:f>
              <c:numCache>
                <c:formatCode>0.000</c:formatCode>
                <c:ptCount val="3"/>
                <c:pt idx="0">
                  <c:v>7.3736815562764767E-4</c:v>
                </c:pt>
                <c:pt idx="1">
                  <c:v>8.6923390701884665E-2</c:v>
                </c:pt>
                <c:pt idx="2">
                  <c:v>1.186733948979422</c:v>
                </c:pt>
              </c:numCache>
            </c:numRef>
          </c:yVal>
        </c:ser>
        <c:ser>
          <c:idx val="19"/>
          <c:order val="22"/>
          <c:tx>
            <c:strRef>
              <c:f>Input!$AH$19</c:f>
              <c:strCache>
                <c:ptCount val="1"/>
                <c:pt idx="0">
                  <c:v>ma</c:v>
                </c:pt>
              </c:strCache>
            </c:strRef>
          </c:tx>
          <c:spPr>
            <a:ln>
              <a:noFill/>
            </a:ln>
          </c:spPr>
          <c:marker>
            <c:symbol val="square"/>
            <c:size val="7"/>
            <c:spPr>
              <a:noFill/>
            </c:spPr>
          </c:marker>
          <c:xVal>
            <c:numRef>
              <c:f>(Input!$DJ$19,Input!$DO$19,Input!$DS$19)</c:f>
              <c:numCache>
                <c:formatCode>0.000</c:formatCode>
                <c:ptCount val="3"/>
                <c:pt idx="0">
                  <c:v>0.73634877823893186</c:v>
                </c:pt>
                <c:pt idx="1">
                  <c:v>1.9745829163393298</c:v>
                </c:pt>
                <c:pt idx="2">
                  <c:v>1.3729913913643776</c:v>
                </c:pt>
              </c:numCache>
            </c:numRef>
          </c:xVal>
          <c:yVal>
            <c:numRef>
              <c:f>(Input!$DK$19,Input!$DP$19,Input!$DT$19)</c:f>
              <c:numCache>
                <c:formatCode>0.000</c:formatCode>
                <c:ptCount val="3"/>
                <c:pt idx="0">
                  <c:v>3.6689324309201403E-2</c:v>
                </c:pt>
                <c:pt idx="1">
                  <c:v>9.7029333830441683E-2</c:v>
                </c:pt>
                <c:pt idx="2">
                  <c:v>1.1391942741637175</c:v>
                </c:pt>
              </c:numCache>
            </c:numRef>
          </c:yVal>
        </c:ser>
        <c:ser>
          <c:idx val="32"/>
          <c:order val="23"/>
          <c:tx>
            <c:strRef>
              <c:f>Input!$AH$20</c:f>
              <c:strCache>
                <c:ptCount val="1"/>
                <c:pt idx="0">
                  <c:v>fn</c:v>
                </c:pt>
              </c:strCache>
            </c:strRef>
          </c:tx>
          <c:spPr>
            <a:ln>
              <a:noFill/>
            </a:ln>
          </c:spPr>
          <c:marker>
            <c:symbol val="square"/>
            <c:size val="7"/>
            <c:spPr>
              <a:noFill/>
            </c:spPr>
          </c:marker>
          <c:xVal>
            <c:numRef>
              <c:f>(Input!$DJ$20,Input!$DO$20,Input!$DS$20)</c:f>
              <c:numCache>
                <c:formatCode>0.000</c:formatCode>
                <c:ptCount val="3"/>
                <c:pt idx="0">
                  <c:v>1.1435021694939358</c:v>
                </c:pt>
                <c:pt idx="1">
                  <c:v>1.6728006503979134</c:v>
                </c:pt>
                <c:pt idx="2">
                  <c:v>1.4446055538431373</c:v>
                </c:pt>
              </c:numCache>
            </c:numRef>
          </c:xVal>
          <c:yVal>
            <c:numRef>
              <c:f>(Input!$DK$20,Input!$DP$20,Input!$DT$20)</c:f>
              <c:numCache>
                <c:formatCode>0.000</c:formatCode>
                <c:ptCount val="3"/>
                <c:pt idx="0">
                  <c:v>1.4769234746806197E-3</c:v>
                </c:pt>
                <c:pt idx="1">
                  <c:v>0.12736565209412001</c:v>
                </c:pt>
                <c:pt idx="2">
                  <c:v>0.52279681949614099</c:v>
                </c:pt>
              </c:numCache>
            </c:numRef>
          </c:yVal>
        </c:ser>
        <c:ser>
          <c:idx val="31"/>
          <c:order val="24"/>
          <c:tx>
            <c:strRef>
              <c:f>Input!$AH$21</c:f>
              <c:strCache>
                <c:ptCount val="1"/>
                <c:pt idx="0">
                  <c:v>pr</c:v>
                </c:pt>
              </c:strCache>
            </c:strRef>
          </c:tx>
          <c:spPr>
            <a:ln>
              <a:noFill/>
            </a:ln>
          </c:spPr>
          <c:marker>
            <c:symbol val="square"/>
            <c:size val="7"/>
            <c:spPr>
              <a:noFill/>
            </c:spPr>
          </c:marker>
          <c:xVal>
            <c:numRef>
              <c:f>(Input!$DJ$21,Input!$DO$21,Input!$DS$21)</c:f>
              <c:numCache>
                <c:formatCode>0.000</c:formatCode>
                <c:ptCount val="3"/>
                <c:pt idx="0">
                  <c:v>0.91193179855686957</c:v>
                </c:pt>
                <c:pt idx="1">
                  <c:v>2.4727758676310616</c:v>
                </c:pt>
                <c:pt idx="2">
                  <c:v>1.7014375908684622</c:v>
                </c:pt>
              </c:numCache>
            </c:numRef>
          </c:xVal>
          <c:yVal>
            <c:numRef>
              <c:f>(Input!$DK$21,Input!$DP$21,Input!$DT$21)</c:f>
              <c:numCache>
                <c:formatCode>0.000</c:formatCode>
                <c:ptCount val="3"/>
                <c:pt idx="0">
                  <c:v>2.9651005568402142E-2</c:v>
                </c:pt>
                <c:pt idx="1">
                  <c:v>6.0645510007127257E-2</c:v>
                </c:pt>
                <c:pt idx="2">
                  <c:v>1.3968729995812779</c:v>
                </c:pt>
              </c:numCache>
            </c:numRef>
          </c:yVal>
        </c:ser>
        <c:ser>
          <c:idx val="30"/>
          <c:order val="25"/>
          <c:tx>
            <c:strRef>
              <c:f>Input!$AH$22</c:f>
              <c:strCache>
                <c:ptCount val="1"/>
                <c:pt idx="0">
                  <c:v>ya</c:v>
                </c:pt>
              </c:strCache>
            </c:strRef>
          </c:tx>
          <c:spPr>
            <a:ln>
              <a:noFill/>
            </a:ln>
          </c:spPr>
          <c:marker>
            <c:symbol val="square"/>
            <c:size val="7"/>
            <c:spPr>
              <a:noFill/>
            </c:spPr>
          </c:marker>
          <c:xVal>
            <c:numRef>
              <c:f>(Input!$DJ$22,Input!$DO$22,Input!$DS$22)</c:f>
              <c:numCache>
                <c:formatCode>0.000</c:formatCode>
                <c:ptCount val="3"/>
                <c:pt idx="0">
                  <c:v>1.1375613317145583</c:v>
                </c:pt>
                <c:pt idx="1">
                  <c:v>2.4219796596250029</c:v>
                </c:pt>
                <c:pt idx="2">
                  <c:v>1.8105393782794137</c:v>
                </c:pt>
              </c:numCache>
            </c:numRef>
          </c:xVal>
          <c:yVal>
            <c:numRef>
              <c:f>(Input!$DK$22,Input!$DP$22,Input!$DT$22)</c:f>
              <c:numCache>
                <c:formatCode>0.000</c:formatCode>
                <c:ptCount val="3"/>
                <c:pt idx="0">
                  <c:v>4.2559584971096106E-4</c:v>
                </c:pt>
                <c:pt idx="1">
                  <c:v>0.10650832438851714</c:v>
                </c:pt>
                <c:pt idx="2">
                  <c:v>1.16579662477142</c:v>
                </c:pt>
              </c:numCache>
            </c:numRef>
          </c:yVal>
        </c:ser>
        <c:ser>
          <c:idx val="29"/>
          <c:order val="26"/>
          <c:tx>
            <c:strRef>
              <c:f>Input!$AH$23</c:f>
              <c:strCache>
                <c:ptCount val="1"/>
                <c:pt idx="0">
                  <c:v>ln</c:v>
                </c:pt>
              </c:strCache>
            </c:strRef>
          </c:tx>
          <c:spPr>
            <a:ln>
              <a:noFill/>
            </a:ln>
          </c:spPr>
          <c:marker>
            <c:symbol val="circle"/>
            <c:size val="7"/>
            <c:spPr>
              <a:noFill/>
            </c:spPr>
          </c:marker>
          <c:xVal>
            <c:numRef>
              <c:f>(Input!$DJ$23,Input!$DO$23,Input!$DS$23)</c:f>
              <c:numCache>
                <c:formatCode>0.000</c:formatCode>
                <c:ptCount val="3"/>
                <c:pt idx="0">
                  <c:v>0.49713707783455685</c:v>
                </c:pt>
                <c:pt idx="1">
                  <c:v>1.3614517566157913</c:v>
                </c:pt>
                <c:pt idx="2">
                  <c:v>0.76906679220991037</c:v>
                </c:pt>
              </c:numCache>
            </c:numRef>
          </c:xVal>
          <c:yVal>
            <c:numRef>
              <c:f>(Input!$DK$23,Input!$DP$23,Input!$DT$23)</c:f>
              <c:numCache>
                <c:formatCode>0.000</c:formatCode>
                <c:ptCount val="3"/>
                <c:pt idx="0">
                  <c:v>0.55834925190780493</c:v>
                </c:pt>
                <c:pt idx="1">
                  <c:v>3.1521431393952801E-3</c:v>
                </c:pt>
                <c:pt idx="2">
                  <c:v>1.0292883944463269</c:v>
                </c:pt>
              </c:numCache>
            </c:numRef>
          </c:yVal>
        </c:ser>
        <c:ser>
          <c:idx val="28"/>
          <c:order val="27"/>
          <c:tx>
            <c:strRef>
              <c:f>Input!$AH$24</c:f>
              <c:strCache>
                <c:ptCount val="1"/>
                <c:pt idx="0">
                  <c:v>ws</c:v>
                </c:pt>
              </c:strCache>
            </c:strRef>
          </c:tx>
          <c:spPr>
            <a:ln>
              <a:noFill/>
            </a:ln>
          </c:spPr>
          <c:marker>
            <c:symbol val="circle"/>
            <c:size val="7"/>
            <c:spPr>
              <a:noFill/>
            </c:spPr>
          </c:marker>
          <c:xVal>
            <c:numRef>
              <c:f>(Input!$DJ$24,Input!$DO$24,Input!$DS$24)</c:f>
              <c:numCache>
                <c:formatCode>0.000</c:formatCode>
                <c:ptCount val="3"/>
                <c:pt idx="0">
                  <c:v>1.0586048494496216</c:v>
                </c:pt>
                <c:pt idx="1">
                  <c:v>2.1518280294717944</c:v>
                </c:pt>
                <c:pt idx="2">
                  <c:v>1.6093068213232318</c:v>
                </c:pt>
              </c:numCache>
            </c:numRef>
          </c:xVal>
          <c:yVal>
            <c:numRef>
              <c:f>(Input!$DK$24,Input!$DP$24,Input!$DT$24)</c:f>
              <c:numCache>
                <c:formatCode>0.000</c:formatCode>
                <c:ptCount val="3"/>
                <c:pt idx="0">
                  <c:v>5.0173682189896464E-2</c:v>
                </c:pt>
                <c:pt idx="1">
                  <c:v>6.3900313056288752E-2</c:v>
                </c:pt>
                <c:pt idx="2">
                  <c:v>1.0037907290603743</c:v>
                </c:pt>
              </c:numCache>
            </c:numRef>
          </c:yVal>
        </c:ser>
        <c:ser>
          <c:idx val="27"/>
          <c:order val="28"/>
          <c:tx>
            <c:strRef>
              <c:f>Input!$AH$25</c:f>
              <c:strCache>
                <c:ptCount val="1"/>
                <c:pt idx="0">
                  <c:v>mo</c:v>
                </c:pt>
              </c:strCache>
            </c:strRef>
          </c:tx>
          <c:spPr>
            <a:ln>
              <a:noFill/>
            </a:ln>
          </c:spPr>
          <c:marker>
            <c:symbol val="circle"/>
            <c:size val="7"/>
            <c:spPr>
              <a:noFill/>
            </c:spPr>
          </c:marker>
          <c:xVal>
            <c:numRef>
              <c:f>(Input!$DJ$25,Input!$DO$25,Input!$DS$25)</c:f>
              <c:numCache>
                <c:formatCode>0.000</c:formatCode>
                <c:ptCount val="3"/>
                <c:pt idx="0">
                  <c:v>0.8202493843318418</c:v>
                </c:pt>
                <c:pt idx="1">
                  <c:v>2.5080469598551698</c:v>
                </c:pt>
                <c:pt idx="2">
                  <c:v>1.6597778569243233</c:v>
                </c:pt>
              </c:numCache>
            </c:numRef>
          </c:xVal>
          <c:yVal>
            <c:numRef>
              <c:f>(Input!$DK$25,Input!$DP$25,Input!$DT$25)</c:f>
              <c:numCache>
                <c:formatCode>0.000</c:formatCode>
                <c:ptCount val="3"/>
                <c:pt idx="0">
                  <c:v>1.5745699864871423E-2</c:v>
                </c:pt>
                <c:pt idx="1">
                  <c:v>1.3995943641207647E-4</c:v>
                </c:pt>
                <c:pt idx="2">
                  <c:v>1.469614602241228</c:v>
                </c:pt>
              </c:numCache>
            </c:numRef>
          </c:yVal>
        </c:ser>
        <c:ser>
          <c:idx val="26"/>
          <c:order val="29"/>
          <c:tx>
            <c:strRef>
              <c:f>Input!$AH$26</c:f>
              <c:strCache>
                <c:ptCount val="1"/>
                <c:pt idx="0">
                  <c:v>MU</c:v>
                </c:pt>
              </c:strCache>
            </c:strRef>
          </c:tx>
          <c:spPr>
            <a:ln>
              <a:noFill/>
            </a:ln>
          </c:spPr>
          <c:marker>
            <c:symbol val="circle"/>
            <c:size val="7"/>
            <c:spPr>
              <a:noFill/>
            </c:spPr>
          </c:marker>
          <c:xVal>
            <c:numRef>
              <c:f>(Input!$DJ$26,Input!$DO$26,Input!$DS$26)</c:f>
              <c:numCache>
                <c:formatCode>0.000</c:formatCode>
                <c:ptCount val="3"/>
                <c:pt idx="0">
                  <c:v>1.1187463769907569</c:v>
                </c:pt>
                <c:pt idx="1">
                  <c:v>2.4762454127946509</c:v>
                </c:pt>
                <c:pt idx="2">
                  <c:v>1.7948395929070924</c:v>
                </c:pt>
              </c:numCache>
            </c:numRef>
          </c:xVal>
          <c:yVal>
            <c:numRef>
              <c:f>(Input!$DK$26,Input!$DP$26,Input!$DT$26)</c:f>
              <c:numCache>
                <c:formatCode>0.000</c:formatCode>
                <c:ptCount val="3"/>
                <c:pt idx="0">
                  <c:v>1.0732619347549117E-2</c:v>
                </c:pt>
                <c:pt idx="1">
                  <c:v>1.0235248484991501E-3</c:v>
                </c:pt>
                <c:pt idx="2">
                  <c:v>1.1815025297568262</c:v>
                </c:pt>
              </c:numCache>
            </c:numRef>
          </c:yVal>
        </c:ser>
        <c:ser>
          <c:idx val="25"/>
          <c:order val="30"/>
          <c:tx>
            <c:strRef>
              <c:f>Input!$AH$27</c:f>
              <c:strCache>
                <c:ptCount val="1"/>
                <c:pt idx="0">
                  <c:v>wi</c:v>
                </c:pt>
              </c:strCache>
            </c:strRef>
          </c:tx>
          <c:spPr>
            <a:ln>
              <a:noFill/>
            </a:ln>
          </c:spPr>
          <c:marker>
            <c:symbol val="circle"/>
            <c:size val="7"/>
            <c:spPr>
              <a:noFill/>
            </c:spPr>
          </c:marker>
          <c:xVal>
            <c:numRef>
              <c:f>(Input!$DJ$27,Input!$DO$27,Input!$DS$27)</c:f>
              <c:numCache>
                <c:formatCode>0.000</c:formatCode>
                <c:ptCount val="3"/>
                <c:pt idx="0">
                  <c:v>0.66760400789293484</c:v>
                </c:pt>
                <c:pt idx="1">
                  <c:v>2.4603248764737193</c:v>
                </c:pt>
                <c:pt idx="2">
                  <c:v>1.4671688230345543</c:v>
                </c:pt>
              </c:numCache>
            </c:numRef>
          </c:xVal>
          <c:yVal>
            <c:numRef>
              <c:f>(Input!$DK$27,Input!$DP$27,Input!$DT$27)</c:f>
              <c:numCache>
                <c:formatCode>0.000</c:formatCode>
                <c:ptCount val="3"/>
                <c:pt idx="0">
                  <c:v>0.42065687567921173</c:v>
                </c:pt>
                <c:pt idx="1">
                  <c:v>8.4980532701535452E-2</c:v>
                </c:pt>
                <c:pt idx="2">
                  <c:v>1.8053706158539515</c:v>
                </c:pt>
              </c:numCache>
            </c:numRef>
          </c:yVal>
        </c:ser>
        <c:ser>
          <c:idx val="24"/>
          <c:order val="31"/>
          <c:tx>
            <c:strRef>
              <c:f>Input!$AH$28</c:f>
              <c:strCache>
                <c:ptCount val="1"/>
              </c:strCache>
            </c:strRef>
          </c:tx>
          <c:spPr>
            <a:ln>
              <a:noFill/>
            </a:ln>
          </c:spPr>
          <c:marker>
            <c:symbol val="plus"/>
            <c:size val="7"/>
            <c:spPr>
              <a:noFill/>
            </c:spPr>
          </c:marker>
          <c:xVal>
            <c:numRef>
              <c:f>(Input!$DJ$28,Input!$DO$28,Input!$DS$28)</c:f>
              <c:numCache>
                <c:formatCode>0.000</c:formatCode>
                <c:ptCount val="3"/>
                <c:pt idx="0">
                  <c:v>-1</c:v>
                </c:pt>
                <c:pt idx="1">
                  <c:v>-1</c:v>
                </c:pt>
                <c:pt idx="2">
                  <c:v>-1</c:v>
                </c:pt>
              </c:numCache>
            </c:numRef>
          </c:xVal>
          <c:yVal>
            <c:numRef>
              <c:f>(Input!$DK$28,Input!$DP$28,Input!$DT$28)</c:f>
              <c:numCache>
                <c:formatCode>0.000</c:formatCode>
                <c:ptCount val="3"/>
                <c:pt idx="0">
                  <c:v>-1</c:v>
                </c:pt>
                <c:pt idx="1">
                  <c:v>-1</c:v>
                </c:pt>
                <c:pt idx="2">
                  <c:v>-1</c:v>
                </c:pt>
              </c:numCache>
            </c:numRef>
          </c:yVal>
        </c:ser>
        <c:ser>
          <c:idx val="18"/>
          <c:order val="32"/>
          <c:tx>
            <c:strRef>
              <c:f>Input!$AH$29</c:f>
              <c:strCache>
                <c:ptCount val="1"/>
              </c:strCache>
            </c:strRef>
          </c:tx>
          <c:spPr>
            <a:ln>
              <a:noFill/>
            </a:ln>
          </c:spPr>
          <c:marker>
            <c:symbol val="plus"/>
            <c:size val="7"/>
            <c:spPr>
              <a:noFill/>
            </c:spPr>
          </c:marker>
          <c:xVal>
            <c:numRef>
              <c:f>(Input!$DJ$29,Input!$DO$29,Input!$DS$29)</c:f>
              <c:numCache>
                <c:formatCode>0.000</c:formatCode>
                <c:ptCount val="3"/>
                <c:pt idx="0">
                  <c:v>-1</c:v>
                </c:pt>
                <c:pt idx="1">
                  <c:v>-1</c:v>
                </c:pt>
                <c:pt idx="2">
                  <c:v>-1</c:v>
                </c:pt>
              </c:numCache>
            </c:numRef>
          </c:xVal>
          <c:yVal>
            <c:numRef>
              <c:f>(Input!$DK$29,Input!$DP$29,Input!$DT$29)</c:f>
              <c:numCache>
                <c:formatCode>0.000</c:formatCode>
                <c:ptCount val="3"/>
                <c:pt idx="0">
                  <c:v>-1</c:v>
                </c:pt>
                <c:pt idx="1">
                  <c:v>-1</c:v>
                </c:pt>
                <c:pt idx="2">
                  <c:v>-1</c:v>
                </c:pt>
              </c:numCache>
            </c:numRef>
          </c:yVal>
        </c:ser>
        <c:ser>
          <c:idx val="39"/>
          <c:order val="33"/>
          <c:tx>
            <c:strRef>
              <c:f>Input!$AH$30</c:f>
              <c:strCache>
                <c:ptCount val="1"/>
              </c:strCache>
            </c:strRef>
          </c:tx>
          <c:spPr>
            <a:ln>
              <a:noFill/>
            </a:ln>
          </c:spPr>
          <c:marker>
            <c:symbol val="plus"/>
            <c:size val="7"/>
            <c:spPr>
              <a:noFill/>
            </c:spPr>
          </c:marker>
          <c:xVal>
            <c:numRef>
              <c:f>(Input!$DJ$30,Input!$DO$30,Input!$DS$30)</c:f>
              <c:numCache>
                <c:formatCode>0.000</c:formatCode>
                <c:ptCount val="3"/>
                <c:pt idx="0">
                  <c:v>-1</c:v>
                </c:pt>
                <c:pt idx="1">
                  <c:v>-1</c:v>
                </c:pt>
                <c:pt idx="2">
                  <c:v>-1</c:v>
                </c:pt>
              </c:numCache>
            </c:numRef>
          </c:xVal>
          <c:yVal>
            <c:numRef>
              <c:f>(Input!$DK$30,Input!$DP$30,Input!$DT$30)</c:f>
              <c:numCache>
                <c:formatCode>0.000</c:formatCode>
                <c:ptCount val="3"/>
                <c:pt idx="0">
                  <c:v>-1</c:v>
                </c:pt>
                <c:pt idx="1">
                  <c:v>-1</c:v>
                </c:pt>
                <c:pt idx="2">
                  <c:v>-1</c:v>
                </c:pt>
              </c:numCache>
            </c:numRef>
          </c:yVal>
        </c:ser>
        <c:ser>
          <c:idx val="38"/>
          <c:order val="34"/>
          <c:tx>
            <c:strRef>
              <c:f>Input!$AH$31</c:f>
              <c:strCache>
                <c:ptCount val="1"/>
              </c:strCache>
            </c:strRef>
          </c:tx>
          <c:spPr>
            <a:ln>
              <a:noFill/>
            </a:ln>
          </c:spPr>
          <c:marker>
            <c:symbol val="plus"/>
            <c:size val="7"/>
            <c:spPr>
              <a:noFill/>
            </c:spPr>
          </c:marker>
          <c:xVal>
            <c:numRef>
              <c:f>(Input!$DJ$31,Input!$DO$31,Input!$DS$31)</c:f>
              <c:numCache>
                <c:formatCode>0.000</c:formatCode>
                <c:ptCount val="3"/>
                <c:pt idx="0">
                  <c:v>-1</c:v>
                </c:pt>
                <c:pt idx="1">
                  <c:v>-1</c:v>
                </c:pt>
                <c:pt idx="2">
                  <c:v>-1</c:v>
                </c:pt>
              </c:numCache>
            </c:numRef>
          </c:xVal>
          <c:yVal>
            <c:numRef>
              <c:f>(Input!$DK$31,Input!$DP$31,Input!$DT$31)</c:f>
              <c:numCache>
                <c:formatCode>0.000</c:formatCode>
                <c:ptCount val="3"/>
                <c:pt idx="0">
                  <c:v>-1</c:v>
                </c:pt>
                <c:pt idx="1">
                  <c:v>-1</c:v>
                </c:pt>
                <c:pt idx="2">
                  <c:v>-1</c:v>
                </c:pt>
              </c:numCache>
            </c:numRef>
          </c:yVal>
        </c:ser>
        <c:ser>
          <c:idx val="37"/>
          <c:order val="35"/>
          <c:tx>
            <c:strRef>
              <c:f>Input!$AH$32</c:f>
              <c:strCache>
                <c:ptCount val="1"/>
              </c:strCache>
            </c:strRef>
          </c:tx>
          <c:spPr>
            <a:ln>
              <a:noFill/>
            </a:ln>
          </c:spPr>
          <c:marker>
            <c:symbol val="plus"/>
            <c:size val="7"/>
            <c:spPr>
              <a:noFill/>
            </c:spPr>
          </c:marker>
          <c:xVal>
            <c:numRef>
              <c:f>(Input!$DJ$32,Input!$DO$32,Input!$DS$32)</c:f>
              <c:numCache>
                <c:formatCode>0.000</c:formatCode>
                <c:ptCount val="3"/>
                <c:pt idx="0">
                  <c:v>-1</c:v>
                </c:pt>
                <c:pt idx="1">
                  <c:v>-1</c:v>
                </c:pt>
                <c:pt idx="2">
                  <c:v>-1</c:v>
                </c:pt>
              </c:numCache>
            </c:numRef>
          </c:xVal>
          <c:yVal>
            <c:numRef>
              <c:f>(Input!$DK$32,Input!$DP$32,Input!$DT$32)</c:f>
              <c:numCache>
                <c:formatCode>0.000</c:formatCode>
                <c:ptCount val="3"/>
                <c:pt idx="0">
                  <c:v>-1</c:v>
                </c:pt>
                <c:pt idx="1">
                  <c:v>-1</c:v>
                </c:pt>
                <c:pt idx="2">
                  <c:v>-1</c:v>
                </c:pt>
              </c:numCache>
            </c:numRef>
          </c:yVal>
        </c:ser>
        <c:ser>
          <c:idx val="36"/>
          <c:order val="36"/>
          <c:tx>
            <c:strRef>
              <c:f>Input!$AH$33</c:f>
              <c:strCache>
                <c:ptCount val="1"/>
              </c:strCache>
            </c:strRef>
          </c:tx>
          <c:spPr>
            <a:ln>
              <a:noFill/>
            </a:ln>
          </c:spPr>
          <c:marker>
            <c:symbol val="x"/>
            <c:size val="7"/>
            <c:spPr>
              <a:noFill/>
            </c:spPr>
          </c:marker>
          <c:xVal>
            <c:numRef>
              <c:f>(Input!$DJ$33,Input!$DO$33,Input!$DS$33)</c:f>
              <c:numCache>
                <c:formatCode>0.000</c:formatCode>
                <c:ptCount val="3"/>
                <c:pt idx="0">
                  <c:v>-1</c:v>
                </c:pt>
                <c:pt idx="1">
                  <c:v>-1</c:v>
                </c:pt>
                <c:pt idx="2">
                  <c:v>-1</c:v>
                </c:pt>
              </c:numCache>
            </c:numRef>
          </c:xVal>
          <c:yVal>
            <c:numRef>
              <c:f>(Input!$DK$33,Input!$DP$33,Input!$DT$33)</c:f>
              <c:numCache>
                <c:formatCode>0.000</c:formatCode>
                <c:ptCount val="3"/>
                <c:pt idx="0">
                  <c:v>-1</c:v>
                </c:pt>
                <c:pt idx="1">
                  <c:v>-1</c:v>
                </c:pt>
                <c:pt idx="2">
                  <c:v>-1</c:v>
                </c:pt>
              </c:numCache>
            </c:numRef>
          </c:yVal>
        </c:ser>
        <c:ser>
          <c:idx val="35"/>
          <c:order val="37"/>
          <c:tx>
            <c:strRef>
              <c:f>Input!$AH$34</c:f>
              <c:strCache>
                <c:ptCount val="1"/>
              </c:strCache>
            </c:strRef>
          </c:tx>
          <c:spPr>
            <a:ln>
              <a:noFill/>
            </a:ln>
          </c:spPr>
          <c:marker>
            <c:symbol val="x"/>
            <c:size val="7"/>
            <c:spPr>
              <a:noFill/>
            </c:spPr>
          </c:marker>
          <c:xVal>
            <c:numRef>
              <c:f>(Input!$DJ$34,Input!$DO$34,Input!$DS$34)</c:f>
              <c:numCache>
                <c:formatCode>0.000</c:formatCode>
                <c:ptCount val="3"/>
                <c:pt idx="0">
                  <c:v>-1</c:v>
                </c:pt>
                <c:pt idx="1">
                  <c:v>-1</c:v>
                </c:pt>
                <c:pt idx="2">
                  <c:v>-1</c:v>
                </c:pt>
              </c:numCache>
            </c:numRef>
          </c:xVal>
          <c:yVal>
            <c:numRef>
              <c:f>(Input!$DK$34,Input!$DP$34,Input!$DT$34)</c:f>
              <c:numCache>
                <c:formatCode>0.000</c:formatCode>
                <c:ptCount val="3"/>
                <c:pt idx="0">
                  <c:v>-1</c:v>
                </c:pt>
                <c:pt idx="1">
                  <c:v>-1</c:v>
                </c:pt>
                <c:pt idx="2">
                  <c:v>-1</c:v>
                </c:pt>
              </c:numCache>
            </c:numRef>
          </c:yVal>
        </c:ser>
        <c:ser>
          <c:idx val="34"/>
          <c:order val="38"/>
          <c:tx>
            <c:strRef>
              <c:f>Input!$AH$35</c:f>
              <c:strCache>
                <c:ptCount val="1"/>
              </c:strCache>
            </c:strRef>
          </c:tx>
          <c:spPr>
            <a:ln>
              <a:noFill/>
            </a:ln>
          </c:spPr>
          <c:marker>
            <c:symbol val="x"/>
            <c:size val="7"/>
            <c:spPr>
              <a:noFill/>
            </c:spPr>
          </c:marker>
          <c:xVal>
            <c:numRef>
              <c:f>(Input!$DJ$35,Input!$DO$35,Input!$DS$35)</c:f>
              <c:numCache>
                <c:formatCode>0.000</c:formatCode>
                <c:ptCount val="3"/>
                <c:pt idx="0">
                  <c:v>-1</c:v>
                </c:pt>
                <c:pt idx="1">
                  <c:v>-1</c:v>
                </c:pt>
                <c:pt idx="2">
                  <c:v>-1</c:v>
                </c:pt>
              </c:numCache>
            </c:numRef>
          </c:xVal>
          <c:yVal>
            <c:numRef>
              <c:f>(Input!$DK$35,Input!$DP$35,Input!$DT$35)</c:f>
              <c:numCache>
                <c:formatCode>0.000</c:formatCode>
                <c:ptCount val="3"/>
                <c:pt idx="0">
                  <c:v>-1</c:v>
                </c:pt>
                <c:pt idx="1">
                  <c:v>-1</c:v>
                </c:pt>
                <c:pt idx="2">
                  <c:v>-1</c:v>
                </c:pt>
              </c:numCache>
            </c:numRef>
          </c:yVal>
        </c:ser>
        <c:ser>
          <c:idx val="40"/>
          <c:order val="39"/>
          <c:tx>
            <c:strRef>
              <c:f>Input!$AH$37</c:f>
              <c:strCache>
                <c:ptCount val="1"/>
              </c:strCache>
            </c:strRef>
          </c:tx>
          <c:spPr>
            <a:ln>
              <a:noFill/>
            </a:ln>
          </c:spPr>
          <c:marker>
            <c:symbol val="x"/>
            <c:size val="7"/>
            <c:spPr>
              <a:noFill/>
            </c:spPr>
          </c:marker>
          <c:xVal>
            <c:numRef>
              <c:f>(Input!$DJ$37,Input!$DO$37,Input!$DS$37)</c:f>
              <c:numCache>
                <c:formatCode>0.000</c:formatCode>
                <c:ptCount val="3"/>
                <c:pt idx="0">
                  <c:v>-1</c:v>
                </c:pt>
                <c:pt idx="1">
                  <c:v>-1</c:v>
                </c:pt>
                <c:pt idx="2">
                  <c:v>-1</c:v>
                </c:pt>
              </c:numCache>
            </c:numRef>
          </c:xVal>
          <c:yVal>
            <c:numRef>
              <c:f>(Input!$DK$37,Input!$DP$37,Input!$DT$37)</c:f>
              <c:numCache>
                <c:formatCode>0.000</c:formatCode>
                <c:ptCount val="3"/>
                <c:pt idx="0">
                  <c:v>-1</c:v>
                </c:pt>
                <c:pt idx="1">
                  <c:v>-1</c:v>
                </c:pt>
                <c:pt idx="2">
                  <c:v>-1</c:v>
                </c:pt>
              </c:numCache>
            </c:numRef>
          </c:yVal>
        </c:ser>
        <c:ser>
          <c:idx val="33"/>
          <c:order val="40"/>
          <c:tx>
            <c:strRef>
              <c:f>Input!$AH$36</c:f>
              <c:strCache>
                <c:ptCount val="1"/>
              </c:strCache>
            </c:strRef>
          </c:tx>
          <c:spPr>
            <a:ln>
              <a:noFill/>
            </a:ln>
          </c:spPr>
          <c:marker>
            <c:symbol val="x"/>
            <c:size val="7"/>
            <c:spPr>
              <a:noFill/>
            </c:spPr>
          </c:marker>
          <c:xVal>
            <c:numRef>
              <c:f>(Input!$DJ$36,Input!$DO$36,Input!$DS$36)</c:f>
              <c:numCache>
                <c:formatCode>0.000</c:formatCode>
                <c:ptCount val="3"/>
                <c:pt idx="0">
                  <c:v>-1</c:v>
                </c:pt>
                <c:pt idx="1">
                  <c:v>-1</c:v>
                </c:pt>
                <c:pt idx="2">
                  <c:v>-1</c:v>
                </c:pt>
              </c:numCache>
            </c:numRef>
          </c:xVal>
          <c:yVal>
            <c:numRef>
              <c:f>(Input!$DK$36,Input!$DP$36,Input!$DT$36)</c:f>
              <c:numCache>
                <c:formatCode>0.000</c:formatCode>
                <c:ptCount val="3"/>
                <c:pt idx="0">
                  <c:v>-1</c:v>
                </c:pt>
                <c:pt idx="1">
                  <c:v>-1</c:v>
                </c:pt>
                <c:pt idx="2">
                  <c:v>-1</c:v>
                </c:pt>
              </c:numCache>
            </c:numRef>
          </c:yVal>
        </c:ser>
        <c:axId val="115386240"/>
        <c:axId val="116461568"/>
      </c:scatterChart>
      <c:valAx>
        <c:axId val="115386240"/>
        <c:scaling>
          <c:orientation val="minMax"/>
          <c:max val="2.6"/>
          <c:min val="-0.1"/>
        </c:scaling>
        <c:axPos val="b"/>
        <c:numFmt formatCode="General" sourceLinked="1"/>
        <c:majorTickMark val="none"/>
        <c:tickLblPos val="none"/>
        <c:spPr>
          <a:ln w="9525">
            <a:noFill/>
          </a:ln>
        </c:spPr>
        <c:crossAx val="116461568"/>
        <c:crosses val="autoZero"/>
        <c:crossBetween val="midCat"/>
      </c:valAx>
      <c:valAx>
        <c:axId val="116461568"/>
        <c:scaling>
          <c:orientation val="minMax"/>
          <c:max val="2.2000000000000002"/>
          <c:min val="-0.2"/>
        </c:scaling>
        <c:axPos val="l"/>
        <c:numFmt formatCode="General" sourceLinked="1"/>
        <c:majorTickMark val="none"/>
        <c:tickLblPos val="none"/>
        <c:spPr>
          <a:ln w="9525">
            <a:noFill/>
          </a:ln>
        </c:spPr>
        <c:crossAx val="115386240"/>
        <c:crosses val="autoZero"/>
        <c:crossBetween val="midCat"/>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2796892341842465"/>
          <c:y val="6.8515497553018029E-2"/>
          <c:w val="7.5578199783850469E-2"/>
          <c:h val="0.6032720624440712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NZ"/>
              <a:t>Prospect Map</a:t>
            </a:r>
          </a:p>
        </c:rich>
      </c:tx>
      <c:layout>
        <c:manualLayout>
          <c:xMode val="edge"/>
          <c:yMode val="edge"/>
          <c:x val="0.39788199697428278"/>
          <c:y val="1.992966002344666E-2"/>
        </c:manualLayout>
      </c:layout>
      <c:spPr>
        <a:noFill/>
        <a:ln w="25400">
          <a:noFill/>
        </a:ln>
      </c:spPr>
    </c:title>
    <c:plotArea>
      <c:layout>
        <c:manualLayout>
          <c:layoutTarget val="inner"/>
          <c:xMode val="edge"/>
          <c:yMode val="edge"/>
          <c:x val="0.13074138047418843"/>
          <c:y val="9.8866744822196206E-2"/>
          <c:w val="0.81946545637922363"/>
          <c:h val="0.82024228214146155"/>
        </c:manualLayout>
      </c:layout>
      <c:scatterChart>
        <c:scatterStyle val="lineMarker"/>
        <c:ser>
          <c:idx val="0"/>
          <c:order val="0"/>
          <c:tx>
            <c:v>LOCATIONS</c:v>
          </c:tx>
          <c:spPr>
            <a:ln w="28575">
              <a:noFill/>
            </a:ln>
          </c:spPr>
          <c:marker>
            <c:symbol val="diamond"/>
            <c:size val="5"/>
            <c:spPr>
              <a:solidFill>
                <a:srgbClr val="800080"/>
              </a:solidFill>
              <a:ln>
                <a:solidFill>
                  <a:srgbClr val="800080"/>
                </a:solidFill>
                <a:prstDash val="solid"/>
              </a:ln>
            </c:spPr>
          </c:marker>
          <c:dLbls>
            <c:dLbl>
              <c:idx val="0"/>
              <c:tx>
                <c:strRef>
                  <c:f>Input!$AH$8</c:f>
                  <c:strCache>
                    <c:ptCount val="1"/>
                    <c:pt idx="0">
                      <c:v>WK</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
              <c:tx>
                <c:strRef>
                  <c:f>Input!$AH$9</c:f>
                  <c:strCache>
                    <c:ptCount val="1"/>
                    <c:pt idx="0">
                      <c:v>wk</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2"/>
              <c:tx>
                <c:strRef>
                  <c:f>Input!$AH$10</c:f>
                  <c:strCache>
                    <c:ptCount val="1"/>
                    <c:pt idx="0">
                      <c:v>NG</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3"/>
              <c:tx>
                <c:strRef>
                  <c:f>Input!$AH$11</c:f>
                  <c:strCache>
                    <c:ptCount val="1"/>
                    <c:pt idx="0">
                      <c:v>ng</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4"/>
              <c:tx>
                <c:strRef>
                  <c:f>Input!$AH$12</c:f>
                  <c:strCache>
                    <c:ptCount val="1"/>
                    <c:pt idx="0">
                      <c:v>ZU</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5"/>
              <c:tx>
                <c:strRef>
                  <c:f>Input!$AH$13</c:f>
                  <c:strCache>
                    <c:ptCount val="1"/>
                    <c:pt idx="0">
                      <c:v>zu</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6"/>
              <c:tx>
                <c:strRef>
                  <c:f>Input!$AH$14</c:f>
                  <c:strCache>
                    <c:ptCount val="1"/>
                    <c:pt idx="0">
                      <c:v>MV</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7"/>
              <c:tx>
                <c:strRef>
                  <c:f>Input!$AH$15</c:f>
                  <c:strCache>
                    <c:ptCount val="1"/>
                    <c:pt idx="0">
                      <c:v>mv</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8"/>
              <c:tx>
                <c:strRef>
                  <c:f>Input!$AH$16</c:f>
                  <c:strCache>
                    <c:ptCount val="1"/>
                    <c:pt idx="0">
                      <c:v>ra</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9"/>
              <c:tx>
                <c:strRef>
                  <c:f>Input!$AH$17</c:f>
                  <c:strCache>
                    <c:ptCount val="1"/>
                    <c:pt idx="0">
                      <c:v>rb</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0"/>
              <c:tx>
                <c:strRef>
                  <c:f>Input!$AH$18</c:f>
                  <c:strCache>
                    <c:ptCount val="1"/>
                    <c:pt idx="0">
                      <c:v>ar</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1"/>
              <c:tx>
                <c:strRef>
                  <c:f>Input!$AH$19</c:f>
                  <c:strCache>
                    <c:ptCount val="1"/>
                    <c:pt idx="0">
                      <c:v>ma</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2"/>
              <c:tx>
                <c:strRef>
                  <c:f>Input!$AH$20</c:f>
                  <c:strCache>
                    <c:ptCount val="1"/>
                    <c:pt idx="0">
                      <c:v>fn</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3"/>
              <c:tx>
                <c:strRef>
                  <c:f>Input!$AH$21</c:f>
                  <c:strCache>
                    <c:ptCount val="1"/>
                    <c:pt idx="0">
                      <c:v>pr</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4"/>
              <c:tx>
                <c:strRef>
                  <c:f>Input!$AH$22</c:f>
                  <c:strCache>
                    <c:ptCount val="1"/>
                    <c:pt idx="0">
                      <c:v>ya</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5"/>
              <c:tx>
                <c:strRef>
                  <c:f>Input!$AH$23</c:f>
                  <c:strCache>
                    <c:ptCount val="1"/>
                    <c:pt idx="0">
                      <c:v>ln</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6"/>
              <c:tx>
                <c:strRef>
                  <c:f>Input!$AH$24</c:f>
                  <c:strCache>
                    <c:ptCount val="1"/>
                    <c:pt idx="0">
                      <c:v>ws</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7"/>
              <c:tx>
                <c:strRef>
                  <c:f>Input!$AH$25</c:f>
                  <c:strCache>
                    <c:ptCount val="1"/>
                    <c:pt idx="0">
                      <c:v>mo</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8"/>
              <c:tx>
                <c:strRef>
                  <c:f>Input!$AH$26</c:f>
                  <c:strCache>
                    <c:ptCount val="1"/>
                    <c:pt idx="0">
                      <c:v>MU</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19"/>
              <c:tx>
                <c:strRef>
                  <c:f>Input!$AH$27</c:f>
                  <c:strCache>
                    <c:ptCount val="1"/>
                    <c:pt idx="0">
                      <c:v>wi</c:v>
                    </c:pt>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20"/>
              <c:tx>
                <c:strRef>
                  <c:f>Input!$AH$28</c:f>
                  <c:strCache>
                    <c:ptCount val="1"/>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21"/>
              <c:tx>
                <c:strRef>
                  <c:f>Input!$AH$29</c:f>
                  <c:strCache>
                    <c:ptCount val="1"/>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22"/>
              <c:tx>
                <c:strRef>
                  <c:f>Input!$AH$30</c:f>
                  <c:strCache>
                    <c:ptCount val="1"/>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23"/>
              <c:tx>
                <c:strRef>
                  <c:f>Input!$AH$31</c:f>
                  <c:strCache>
                    <c:ptCount val="1"/>
                  </c:strCache>
                </c:strRef>
              </c:tx>
              <c:spPr>
                <a:noFill/>
                <a:ln w="25400">
                  <a:noFill/>
                </a:ln>
              </c:spPr>
              <c:txPr>
                <a:bodyPr/>
                <a:lstStyle/>
                <a:p>
                  <a:pPr algn="r">
                    <a:defRPr sz="1000" b="0" i="0" u="none" strike="noStrike" baseline="0">
                      <a:solidFill>
                        <a:srgbClr val="000000"/>
                      </a:solidFill>
                      <a:latin typeface="Helv"/>
                      <a:ea typeface="Helv"/>
                      <a:cs typeface="Helv"/>
                    </a:defRPr>
                  </a:pPr>
                  <a:endParaRPr lang="en-US"/>
                </a:p>
              </c:txPr>
              <c:dLblPos val="r"/>
            </c:dLbl>
            <c:dLbl>
              <c:idx val="24"/>
              <c:tx>
                <c:strRef>
                  <c:f>Input!$AH$32</c:f>
                  <c:strCache>
                    <c:ptCount val="1"/>
                  </c:strCache>
                </c:strRef>
              </c:tx>
              <c:spPr>
                <a:noFill/>
                <a:ln w="25400">
                  <a:noFill/>
                </a:ln>
              </c:spPr>
              <c:txPr>
                <a:bodyPr/>
                <a:lstStyle/>
                <a:p>
                  <a:pPr algn="r">
                    <a:defRPr sz="1000" b="0" i="0" u="none" strike="noStrike" baseline="0">
                      <a:solidFill>
                        <a:srgbClr val="000000"/>
                      </a:solidFill>
                      <a:latin typeface="Helv"/>
                      <a:ea typeface="Helv"/>
                      <a:cs typeface="Helv"/>
                    </a:defRPr>
                  </a:pPr>
                  <a:endParaRPr lang="en-US"/>
                </a:p>
              </c:txPr>
              <c:dLblPos val="r"/>
            </c:dLbl>
            <c:dLbl>
              <c:idx val="25"/>
              <c:tx>
                <c:strRef>
                  <c:f>Input!$AH$33</c:f>
                  <c:strCache>
                    <c:ptCount val="1"/>
                  </c:strCache>
                </c:strRef>
              </c:tx>
              <c:spPr>
                <a:noFill/>
                <a:ln w="25400">
                  <a:noFill/>
                </a:ln>
              </c:spPr>
              <c:txPr>
                <a:bodyPr/>
                <a:lstStyle/>
                <a:p>
                  <a:pPr algn="r">
                    <a:defRPr sz="1000" b="0" i="0" u="none" strike="noStrike" baseline="0">
                      <a:solidFill>
                        <a:srgbClr val="000000"/>
                      </a:solidFill>
                      <a:latin typeface="Helv"/>
                      <a:ea typeface="Helv"/>
                      <a:cs typeface="Helv"/>
                    </a:defRPr>
                  </a:pPr>
                  <a:endParaRPr lang="en-US"/>
                </a:p>
              </c:txPr>
              <c:dLblPos val="r"/>
            </c:dLbl>
            <c:dLbl>
              <c:idx val="26"/>
              <c:tx>
                <c:strRef>
                  <c:f>Input!$AH$34</c:f>
                  <c:strCache>
                    <c:ptCount val="1"/>
                  </c:strCache>
                </c:strRef>
              </c:tx>
              <c:spPr>
                <a:noFill/>
                <a:ln w="25400">
                  <a:noFill/>
                </a:ln>
              </c:spPr>
              <c:txPr>
                <a:bodyPr/>
                <a:lstStyle/>
                <a:p>
                  <a:pPr algn="r">
                    <a:defRPr sz="1000" b="0" i="0" u="none" strike="noStrike" baseline="0">
                      <a:solidFill>
                        <a:srgbClr val="000000"/>
                      </a:solidFill>
                      <a:latin typeface="Helv"/>
                      <a:ea typeface="Helv"/>
                      <a:cs typeface="Helv"/>
                    </a:defRPr>
                  </a:pPr>
                  <a:endParaRPr lang="en-US"/>
                </a:p>
              </c:txPr>
              <c:dLblPos val="r"/>
            </c:dLbl>
            <c:dLbl>
              <c:idx val="27"/>
              <c:tx>
                <c:strRef>
                  <c:f>Input!$AH$35</c:f>
                  <c:strCache>
                    <c:ptCount val="1"/>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28"/>
              <c:tx>
                <c:strRef>
                  <c:f>Input!$AH$36</c:f>
                  <c:strCache>
                    <c:ptCount val="1"/>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Lbl>
              <c:idx val="29"/>
              <c:tx>
                <c:strRef>
                  <c:f>Input!$AH$37</c:f>
                  <c:strCache>
                    <c:ptCount val="1"/>
                  </c:strCache>
                </c:strRef>
              </c:tx>
              <c:spPr>
                <a:noFill/>
                <a:ln w="25400">
                  <a:noFill/>
                </a:ln>
              </c:spPr>
              <c:txPr>
                <a:bodyPr/>
                <a:lstStyle/>
                <a:p>
                  <a:pPr algn="r">
                    <a:defRPr sz="1000" b="0" i="0" u="none" strike="noStrike" baseline="0">
                      <a:solidFill>
                        <a:srgbClr val="000000"/>
                      </a:solidFill>
                      <a:latin typeface="Arial"/>
                      <a:ea typeface="Arial"/>
                      <a:cs typeface="Arial"/>
                    </a:defRPr>
                  </a:pPr>
                  <a:endParaRPr lang="en-US"/>
                </a:p>
              </c:txPr>
              <c:dLblPos val="r"/>
            </c:dLbl>
            <c:delete val="1"/>
          </c:dLbls>
          <c:xVal>
            <c:numRef>
              <c:f>Input!$AI$8:$AI$37</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xVal>
          <c:yVal>
            <c:numRef>
              <c:f>Input!$AJ$8:$AJ$37</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er>
        <c:dLbls>
          <c:showVal val="1"/>
        </c:dLbls>
        <c:axId val="116531584"/>
        <c:axId val="116533504"/>
      </c:scatterChart>
      <c:valAx>
        <c:axId val="116531584"/>
        <c:scaling>
          <c:orientation val="minMax"/>
          <c:max val="370000"/>
          <c:min val="350000"/>
        </c:scaling>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NZ"/>
                  <a:t>UTM East</a:t>
                </a:r>
              </a:p>
            </c:rich>
          </c:tx>
          <c:layout>
            <c:manualLayout>
              <c:xMode val="edge"/>
              <c:yMode val="edge"/>
              <c:x val="0.4931921331316188"/>
              <c:y val="0.95545134818288391"/>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6533504"/>
        <c:crosses val="autoZero"/>
        <c:crossBetween val="midCat"/>
        <c:majorUnit val="5000"/>
      </c:valAx>
      <c:valAx>
        <c:axId val="116533504"/>
        <c:scaling>
          <c:orientation val="minMax"/>
          <c:max val="659000"/>
          <c:min val="634000"/>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NZ"/>
                  <a:t>UTM North</a:t>
                </a:r>
              </a:p>
            </c:rich>
          </c:tx>
          <c:layout>
            <c:manualLayout>
              <c:xMode val="edge"/>
              <c:yMode val="edge"/>
              <c:x val="7.5642965204236121E-3"/>
              <c:y val="0.46658851113716376"/>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6531584"/>
        <c:crosses val="autoZero"/>
        <c:crossBetween val="midCat"/>
        <c:majorUnit val="5000"/>
      </c:valAx>
      <c:spPr>
        <a:noFill/>
        <a:ln w="12700">
          <a:solidFill>
            <a:srgbClr val="808080"/>
          </a:solidFill>
          <a:prstDash val="solid"/>
        </a:ln>
      </c:spPr>
    </c:plotArea>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764705882352942"/>
          <c:y val="7.667210440456769E-2"/>
          <c:w val="0.82796892341842465"/>
          <c:h val="0.80424143556280714"/>
        </c:manualLayout>
      </c:layout>
      <c:scatterChart>
        <c:scatterStyle val="lineMarker"/>
        <c:ser>
          <c:idx val="12"/>
          <c:order val="0"/>
          <c:tx>
            <c:v>data</c:v>
          </c:tx>
          <c:spPr>
            <a:ln w="28575">
              <a:noFill/>
            </a:ln>
          </c:spPr>
          <c:marker>
            <c:symbol val="diamond"/>
            <c:size val="7"/>
            <c:spPr>
              <a:solidFill>
                <a:srgbClr val="800080"/>
              </a:solidFill>
              <a:ln>
                <a:solidFill>
                  <a:srgbClr val="800080"/>
                </a:solidFill>
                <a:prstDash val="solid"/>
              </a:ln>
            </c:spPr>
          </c:marker>
          <c:dLbls>
            <c:dLbl>
              <c:idx val="0"/>
              <c:layout/>
              <c:tx>
                <c:strRef>
                  <c:f>Input!$AH$8</c:f>
                  <c:strCache>
                    <c:ptCount val="1"/>
                    <c:pt idx="0">
                      <c:v>WK</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
              <c:layout/>
              <c:tx>
                <c:strRef>
                  <c:f>Input!$AH$9</c:f>
                  <c:strCache>
                    <c:ptCount val="1"/>
                    <c:pt idx="0">
                      <c:v>wk</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
              <c:layout/>
              <c:tx>
                <c:strRef>
                  <c:f>Input!$AH$10</c:f>
                  <c:strCache>
                    <c:ptCount val="1"/>
                    <c:pt idx="0">
                      <c:v>NG</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3"/>
              <c:layout/>
              <c:tx>
                <c:strRef>
                  <c:f>Input!$AH$11</c:f>
                  <c:strCache>
                    <c:ptCount val="1"/>
                    <c:pt idx="0">
                      <c:v>ng</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4"/>
              <c:layout/>
              <c:tx>
                <c:strRef>
                  <c:f>Input!$AH$12</c:f>
                  <c:strCache>
                    <c:ptCount val="1"/>
                    <c:pt idx="0">
                      <c:v>ZU</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5"/>
              <c:layout/>
              <c:tx>
                <c:strRef>
                  <c:f>Input!$AH$13</c:f>
                  <c:strCache>
                    <c:ptCount val="1"/>
                    <c:pt idx="0">
                      <c:v>zu</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6"/>
              <c:layout/>
              <c:tx>
                <c:strRef>
                  <c:f>Input!$AH$14</c:f>
                  <c:strCache>
                    <c:ptCount val="1"/>
                    <c:pt idx="0">
                      <c:v>MV</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7"/>
              <c:layout/>
              <c:tx>
                <c:strRef>
                  <c:f>Input!$AH$15</c:f>
                  <c:strCache>
                    <c:ptCount val="1"/>
                    <c:pt idx="0">
                      <c:v>mv</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8"/>
              <c:layout/>
              <c:tx>
                <c:strRef>
                  <c:f>Input!$AH$16</c:f>
                  <c:strCache>
                    <c:ptCount val="1"/>
                    <c:pt idx="0">
                      <c:v>ra</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9"/>
              <c:layout/>
              <c:tx>
                <c:strRef>
                  <c:f>Input!$AH$17</c:f>
                  <c:strCache>
                    <c:ptCount val="1"/>
                    <c:pt idx="0">
                      <c:v>rb</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0"/>
              <c:layout/>
              <c:tx>
                <c:strRef>
                  <c:f>Input!$AH$18</c:f>
                  <c:strCache>
                    <c:ptCount val="1"/>
                    <c:pt idx="0">
                      <c:v>ar</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1"/>
              <c:layout/>
              <c:tx>
                <c:strRef>
                  <c:f>Input!$AH$19</c:f>
                  <c:strCache>
                    <c:ptCount val="1"/>
                    <c:pt idx="0">
                      <c:v>ma</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2"/>
              <c:layout/>
              <c:tx>
                <c:strRef>
                  <c:f>Input!$AH$20</c:f>
                  <c:strCache>
                    <c:ptCount val="1"/>
                    <c:pt idx="0">
                      <c:v>fn</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3"/>
              <c:layout/>
              <c:tx>
                <c:strRef>
                  <c:f>Input!$AH$21</c:f>
                  <c:strCache>
                    <c:ptCount val="1"/>
                    <c:pt idx="0">
                      <c:v>pr</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4"/>
              <c:layout/>
              <c:tx>
                <c:strRef>
                  <c:f>Input!$AH$22</c:f>
                  <c:strCache>
                    <c:ptCount val="1"/>
                    <c:pt idx="0">
                      <c:v>ya</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5"/>
              <c:layout/>
              <c:tx>
                <c:strRef>
                  <c:f>Input!$AH$23</c:f>
                  <c:strCache>
                    <c:ptCount val="1"/>
                    <c:pt idx="0">
                      <c:v>ln</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6"/>
              <c:layout/>
              <c:tx>
                <c:strRef>
                  <c:f>Input!$AH$24</c:f>
                  <c:strCache>
                    <c:ptCount val="1"/>
                    <c:pt idx="0">
                      <c:v>ws</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7"/>
              <c:tx>
                <c:strRef>
                  <c:f>Input!$AH$25</c:f>
                  <c:strCache>
                    <c:ptCount val="1"/>
                    <c:pt idx="0">
                      <c:v>mo</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8"/>
              <c:tx>
                <c:strRef>
                  <c:f>Input!$AH$26</c:f>
                  <c:strCache>
                    <c:ptCount val="1"/>
                    <c:pt idx="0">
                      <c:v>MU</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9"/>
              <c:tx>
                <c:strRef>
                  <c:f>Input!$AH$27</c:f>
                  <c:strCache>
                    <c:ptCount val="1"/>
                    <c:pt idx="0">
                      <c:v>wi</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0"/>
              <c:tx>
                <c:strRef>
                  <c:f>Input!$AH$28</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1"/>
              <c:tx>
                <c:strRef>
                  <c:f>Input!$AH$29</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2"/>
              <c:tx>
                <c:strRef>
                  <c:f>Input!$AH$30</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3"/>
              <c:tx>
                <c:strRef>
                  <c:f>Input!$AH$31</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4"/>
              <c:tx>
                <c:strRef>
                  <c:f>Input!$AH$32</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5"/>
              <c:tx>
                <c:strRef>
                  <c:f>Input!$AH$33</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6"/>
              <c:tx>
                <c:strRef>
                  <c:f>Input!$AH$34</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7"/>
              <c:tx>
                <c:strRef>
                  <c:f>Input!$AH$35</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8"/>
              <c:tx>
                <c:strRef>
                  <c:f>Input!$AH$36</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9"/>
              <c:tx>
                <c:strRef>
                  <c:f>Input!$AH$37</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elete val="1"/>
          </c:dLbls>
          <c:xVal>
            <c:numRef>
              <c:f>Input!$DD$8:$DD$37</c:f>
              <c:numCache>
                <c:formatCode>0</c:formatCode>
                <c:ptCount val="30"/>
                <c:pt idx="0">
                  <c:v>1970</c:v>
                </c:pt>
                <c:pt idx="1">
                  <c:v>2100</c:v>
                </c:pt>
                <c:pt idx="2">
                  <c:v>1240</c:v>
                </c:pt>
                <c:pt idx="3">
                  <c:v>1290</c:v>
                </c:pt>
                <c:pt idx="4">
                  <c:v>1700</c:v>
                </c:pt>
                <c:pt idx="5">
                  <c:v>170</c:v>
                </c:pt>
                <c:pt idx="6">
                  <c:v>3300</c:v>
                </c:pt>
                <c:pt idx="7">
                  <c:v>2600</c:v>
                </c:pt>
                <c:pt idx="8">
                  <c:v>1350</c:v>
                </c:pt>
                <c:pt idx="9">
                  <c:v>1000</c:v>
                </c:pt>
                <c:pt idx="10">
                  <c:v>1010</c:v>
                </c:pt>
                <c:pt idx="11">
                  <c:v>130</c:v>
                </c:pt>
                <c:pt idx="12">
                  <c:v>27</c:v>
                </c:pt>
                <c:pt idx="13">
                  <c:v>2340</c:v>
                </c:pt>
                <c:pt idx="14">
                  <c:v>1690</c:v>
                </c:pt>
                <c:pt idx="15">
                  <c:v>1</c:v>
                </c:pt>
                <c:pt idx="16">
                  <c:v>365</c:v>
                </c:pt>
                <c:pt idx="17">
                  <c:v>15800</c:v>
                </c:pt>
                <c:pt idx="18">
                  <c:v>12600</c:v>
                </c:pt>
                <c:pt idx="19">
                  <c:v>38700</c:v>
                </c:pt>
                <c:pt idx="20">
                  <c:v>-999</c:v>
                </c:pt>
                <c:pt idx="21">
                  <c:v>-999</c:v>
                </c:pt>
                <c:pt idx="22">
                  <c:v>-999</c:v>
                </c:pt>
                <c:pt idx="23">
                  <c:v>-999</c:v>
                </c:pt>
                <c:pt idx="24">
                  <c:v>-999</c:v>
                </c:pt>
                <c:pt idx="25">
                  <c:v>-999</c:v>
                </c:pt>
                <c:pt idx="26">
                  <c:v>-999</c:v>
                </c:pt>
                <c:pt idx="27">
                  <c:v>-999</c:v>
                </c:pt>
                <c:pt idx="28">
                  <c:v>-999</c:v>
                </c:pt>
                <c:pt idx="29">
                  <c:v>-999</c:v>
                </c:pt>
              </c:numCache>
            </c:numRef>
          </c:xVal>
          <c:yVal>
            <c:numRef>
              <c:f>Input!$DF$8:$DF$37</c:f>
              <c:numCache>
                <c:formatCode>0</c:formatCode>
                <c:ptCount val="30"/>
                <c:pt idx="0">
                  <c:v>1038.8138143424917</c:v>
                </c:pt>
                <c:pt idx="1">
                  <c:v>415.68712591857957</c:v>
                </c:pt>
                <c:pt idx="2">
                  <c:v>991.7736872224807</c:v>
                </c:pt>
                <c:pt idx="3">
                  <c:v>336.2332095272302</c:v>
                </c:pt>
                <c:pt idx="4">
                  <c:v>1343.3418514859291</c:v>
                </c:pt>
                <c:pt idx="5">
                  <c:v>365.53858280167333</c:v>
                </c:pt>
                <c:pt idx="6">
                  <c:v>1062.5750439470712</c:v>
                </c:pt>
                <c:pt idx="7">
                  <c:v>306.83732835095475</c:v>
                </c:pt>
                <c:pt idx="8">
                  <c:v>260.39364483344252</c:v>
                </c:pt>
                <c:pt idx="9">
                  <c:v>394.79484281200678</c:v>
                </c:pt>
                <c:pt idx="10">
                  <c:v>386.43830668515113</c:v>
                </c:pt>
                <c:pt idx="11">
                  <c:v>394.79484281200678</c:v>
                </c:pt>
                <c:pt idx="12">
                  <c:v>415.68712591857957</c:v>
                </c:pt>
                <c:pt idx="13">
                  <c:v>234.93000681276419</c:v>
                </c:pt>
                <c:pt idx="14">
                  <c:v>415.68712591857957</c:v>
                </c:pt>
                <c:pt idx="15">
                  <c:v>96.296399999999991</c:v>
                </c:pt>
                <c:pt idx="16">
                  <c:v>205.1532</c:v>
                </c:pt>
                <c:pt idx="17">
                  <c:v>196.77959999999999</c:v>
                </c:pt>
                <c:pt idx="18">
                  <c:v>546.0962208472348</c:v>
                </c:pt>
                <c:pt idx="19">
                  <c:v>411.50803244292877</c:v>
                </c:pt>
                <c:pt idx="20">
                  <c:v>1235.6743169683357</c:v>
                </c:pt>
                <c:pt idx="21">
                  <c:v>-999</c:v>
                </c:pt>
                <c:pt idx="22">
                  <c:v>1135.0698788816308</c:v>
                </c:pt>
                <c:pt idx="23">
                  <c:v>-999</c:v>
                </c:pt>
                <c:pt idx="24">
                  <c:v>1199.8244232262007</c:v>
                </c:pt>
                <c:pt idx="25">
                  <c:v>-999</c:v>
                </c:pt>
                <c:pt idx="26">
                  <c:v>1062.5750439470712</c:v>
                </c:pt>
                <c:pt idx="27">
                  <c:v>-999</c:v>
                </c:pt>
                <c:pt idx="28">
                  <c:v>1235.6743169683357</c:v>
                </c:pt>
                <c:pt idx="29">
                  <c:v>-999</c:v>
                </c:pt>
              </c:numCache>
            </c:numRef>
          </c:yVal>
        </c:ser>
        <c:ser>
          <c:idx val="0"/>
          <c:order val="1"/>
          <c:tx>
            <c:v>steam</c:v>
          </c:tx>
          <c:spPr>
            <a:ln w="28575">
              <a:noFill/>
            </a:ln>
          </c:spPr>
          <c:marker>
            <c:symbol val="square"/>
            <c:size val="9"/>
            <c:spPr>
              <a:noFill/>
              <a:ln>
                <a:solidFill>
                  <a:srgbClr val="000080"/>
                </a:solidFill>
                <a:prstDash val="solid"/>
              </a:ln>
            </c:spPr>
          </c:marker>
          <c:dLbls>
            <c:dLbl>
              <c:idx val="0"/>
              <c:layout/>
              <c:tx>
                <c:rich>
                  <a:bodyPr/>
                  <a:lstStyle/>
                  <a:p>
                    <a:pPr>
                      <a:defRPr sz="1200" b="1" i="0" u="none" strike="noStrike" baseline="0">
                        <a:solidFill>
                          <a:srgbClr val="333399"/>
                        </a:solidFill>
                        <a:latin typeface="Arial"/>
                        <a:ea typeface="Arial"/>
                        <a:cs typeface="Arial"/>
                      </a:defRPr>
                    </a:pPr>
                    <a:r>
                      <a:rPr lang="en-NZ"/>
                      <a:t>Steam</a:t>
                    </a:r>
                  </a:p>
                </c:rich>
              </c:tx>
              <c:spPr>
                <a:noFill/>
                <a:ln w="25400">
                  <a:noFill/>
                </a:ln>
              </c:spPr>
            </c:dLbl>
            <c:spPr>
              <a:noFill/>
              <a:ln w="25400">
                <a:noFill/>
              </a:ln>
            </c:spPr>
            <c:txPr>
              <a:bodyPr/>
              <a:lstStyle/>
              <a:p>
                <a:pPr>
                  <a:defRPr sz="1200" b="0" i="0" u="none" strike="noStrike" baseline="0">
                    <a:solidFill>
                      <a:srgbClr val="333399"/>
                    </a:solidFill>
                    <a:latin typeface="Arial"/>
                    <a:ea typeface="Arial"/>
                    <a:cs typeface="Arial"/>
                  </a:defRPr>
                </a:pPr>
                <a:endParaRPr lang="en-US"/>
              </a:p>
            </c:txPr>
            <c:showVal val="1"/>
          </c:dLbls>
          <c:xVal>
            <c:numRef>
              <c:f>Ref!$A$26</c:f>
              <c:numCache>
                <c:formatCode>General</c:formatCode>
                <c:ptCount val="1"/>
                <c:pt idx="0">
                  <c:v>0</c:v>
                </c:pt>
              </c:numCache>
            </c:numRef>
          </c:xVal>
          <c:yVal>
            <c:numRef>
              <c:f>Ref!$B$26</c:f>
              <c:numCache>
                <c:formatCode>General</c:formatCode>
                <c:ptCount val="1"/>
                <c:pt idx="0">
                  <c:v>2800</c:v>
                </c:pt>
              </c:numCache>
            </c:numRef>
          </c:yVal>
        </c:ser>
        <c:axId val="84779776"/>
        <c:axId val="84781696"/>
      </c:scatterChart>
      <c:valAx>
        <c:axId val="84779776"/>
        <c:scaling>
          <c:orientation val="minMax"/>
          <c:max val="4000"/>
          <c:min val="0"/>
        </c:scaling>
        <c:axPos val="b"/>
        <c:title>
          <c:tx>
            <c:rich>
              <a:bodyPr/>
              <a:lstStyle/>
              <a:p>
                <a:pPr>
                  <a:defRPr sz="1400" b="1" i="0" u="none" strike="noStrike" baseline="0">
                    <a:solidFill>
                      <a:srgbClr val="000000"/>
                    </a:solidFill>
                    <a:latin typeface="Arial"/>
                    <a:ea typeface="Arial"/>
                    <a:cs typeface="Arial"/>
                  </a:defRPr>
                </a:pPr>
                <a:r>
                  <a:rPr lang="en-NZ"/>
                  <a:t>Chloride - ppm</a:t>
                </a:r>
              </a:p>
            </c:rich>
          </c:tx>
          <c:layout>
            <c:manualLayout>
              <c:xMode val="edge"/>
              <c:yMode val="edge"/>
              <c:x val="0.45283018867924596"/>
              <c:y val="0.9477977161500839"/>
            </c:manualLayout>
          </c:layout>
          <c:spPr>
            <a:noFill/>
            <a:ln w="25400">
              <a:noFill/>
            </a:ln>
          </c:spPr>
        </c:title>
        <c:numFmt formatCode="0" sourceLinked="1"/>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84781696"/>
        <c:crosses val="autoZero"/>
        <c:crossBetween val="midCat"/>
      </c:valAx>
      <c:valAx>
        <c:axId val="84781696"/>
        <c:scaling>
          <c:orientation val="minMax"/>
          <c:max val="3000"/>
          <c:min val="0"/>
        </c:scaling>
        <c:axPos val="l"/>
        <c:title>
          <c:tx>
            <c:rich>
              <a:bodyPr/>
              <a:lstStyle/>
              <a:p>
                <a:pPr>
                  <a:defRPr sz="1400" b="1" i="0" u="none" strike="noStrike" baseline="0">
                    <a:solidFill>
                      <a:srgbClr val="000000"/>
                    </a:solidFill>
                    <a:latin typeface="Arial"/>
                    <a:ea typeface="Arial"/>
                    <a:cs typeface="Arial"/>
                  </a:defRPr>
                </a:pPr>
                <a:r>
                  <a:rPr lang="en-NZ"/>
                  <a:t>Discharge</a:t>
                </a:r>
                <a:r>
                  <a:rPr lang="en-NZ" baseline="0"/>
                  <a:t> </a:t>
                </a:r>
                <a:r>
                  <a:rPr lang="en-NZ"/>
                  <a:t>Enthalpy - kj/kg</a:t>
                </a:r>
              </a:p>
            </c:rich>
          </c:tx>
          <c:layout>
            <c:manualLayout>
              <c:xMode val="edge"/>
              <c:yMode val="edge"/>
              <c:x val="1.3318534961154272E-2"/>
              <c:y val="0.31702011963023413"/>
            </c:manualLayout>
          </c:layout>
          <c:spPr>
            <a:noFill/>
            <a:ln w="25400">
              <a:noFill/>
            </a:ln>
          </c:spPr>
        </c:title>
        <c:numFmt formatCode="0" sourceLinked="0"/>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84779776"/>
        <c:crosses val="autoZero"/>
        <c:crossBetween val="midCat"/>
        <c:majorUnit val="500"/>
      </c:valAx>
      <c:spPr>
        <a:noFill/>
        <a:ln w="3175">
          <a:solidFill>
            <a:srgbClr val="000000"/>
          </a:solidFill>
          <a:prstDash val="solid"/>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764705882352942"/>
          <c:y val="7.667210440456769E-2"/>
          <c:w val="0.82796892341842465"/>
          <c:h val="0.80424143556280703"/>
        </c:manualLayout>
      </c:layout>
      <c:scatterChart>
        <c:scatterStyle val="lineMarker"/>
        <c:ser>
          <c:idx val="12"/>
          <c:order val="0"/>
          <c:tx>
            <c:v>data</c:v>
          </c:tx>
          <c:spPr>
            <a:ln w="28575">
              <a:noFill/>
            </a:ln>
          </c:spPr>
          <c:marker>
            <c:symbol val="diamond"/>
            <c:size val="7"/>
            <c:spPr>
              <a:solidFill>
                <a:srgbClr val="800080"/>
              </a:solidFill>
              <a:ln>
                <a:solidFill>
                  <a:srgbClr val="800080"/>
                </a:solidFill>
                <a:prstDash val="solid"/>
              </a:ln>
            </c:spPr>
          </c:marker>
          <c:dLbls>
            <c:dLbl>
              <c:idx val="0"/>
              <c:layout/>
              <c:tx>
                <c:strRef>
                  <c:f>Input!$AH$8</c:f>
                  <c:strCache>
                    <c:ptCount val="1"/>
                    <c:pt idx="0">
                      <c:v>WK</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
              <c:layout/>
              <c:tx>
                <c:strRef>
                  <c:f>Input!$AH$9</c:f>
                  <c:strCache>
                    <c:ptCount val="1"/>
                    <c:pt idx="0">
                      <c:v>wk</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
              <c:layout/>
              <c:tx>
                <c:strRef>
                  <c:f>Input!$AH$10</c:f>
                  <c:strCache>
                    <c:ptCount val="1"/>
                    <c:pt idx="0">
                      <c:v>NG</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3"/>
              <c:layout/>
              <c:tx>
                <c:strRef>
                  <c:f>Input!$AH$11</c:f>
                  <c:strCache>
                    <c:ptCount val="1"/>
                    <c:pt idx="0">
                      <c:v>ng</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4"/>
              <c:layout/>
              <c:tx>
                <c:strRef>
                  <c:f>Input!$AH$12</c:f>
                  <c:strCache>
                    <c:ptCount val="1"/>
                    <c:pt idx="0">
                      <c:v>ZU</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5"/>
              <c:layout/>
              <c:tx>
                <c:strRef>
                  <c:f>Input!$AH$13</c:f>
                  <c:strCache>
                    <c:ptCount val="1"/>
                    <c:pt idx="0">
                      <c:v>zu</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6"/>
              <c:layout/>
              <c:tx>
                <c:strRef>
                  <c:f>Input!$AH$14</c:f>
                  <c:strCache>
                    <c:ptCount val="1"/>
                    <c:pt idx="0">
                      <c:v>MV</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7"/>
              <c:layout/>
              <c:tx>
                <c:strRef>
                  <c:f>Input!$AH$15</c:f>
                  <c:strCache>
                    <c:ptCount val="1"/>
                    <c:pt idx="0">
                      <c:v>mv</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8"/>
              <c:layout/>
              <c:tx>
                <c:strRef>
                  <c:f>Input!$AH$16</c:f>
                  <c:strCache>
                    <c:ptCount val="1"/>
                    <c:pt idx="0">
                      <c:v>ra</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9"/>
              <c:layout/>
              <c:tx>
                <c:strRef>
                  <c:f>Input!$AH$17</c:f>
                  <c:strCache>
                    <c:ptCount val="1"/>
                    <c:pt idx="0">
                      <c:v>rb</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0"/>
              <c:layout/>
              <c:tx>
                <c:strRef>
                  <c:f>Input!$AH$18</c:f>
                  <c:strCache>
                    <c:ptCount val="1"/>
                    <c:pt idx="0">
                      <c:v>ar</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1"/>
              <c:layout/>
              <c:tx>
                <c:strRef>
                  <c:f>Input!$AH$19</c:f>
                  <c:strCache>
                    <c:ptCount val="1"/>
                    <c:pt idx="0">
                      <c:v>ma</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2"/>
              <c:layout/>
              <c:tx>
                <c:strRef>
                  <c:f>Input!$AH$20</c:f>
                  <c:strCache>
                    <c:ptCount val="1"/>
                    <c:pt idx="0">
                      <c:v>fn</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3"/>
              <c:layout/>
              <c:tx>
                <c:strRef>
                  <c:f>Input!$AH$21</c:f>
                  <c:strCache>
                    <c:ptCount val="1"/>
                    <c:pt idx="0">
                      <c:v>pr</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4"/>
              <c:layout/>
              <c:tx>
                <c:strRef>
                  <c:f>Input!$AH$22</c:f>
                  <c:strCache>
                    <c:ptCount val="1"/>
                    <c:pt idx="0">
                      <c:v>ya</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5"/>
              <c:layout/>
              <c:tx>
                <c:strRef>
                  <c:f>Input!$AH$23</c:f>
                  <c:strCache>
                    <c:ptCount val="1"/>
                    <c:pt idx="0">
                      <c:v>ln</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6"/>
              <c:layout/>
              <c:tx>
                <c:strRef>
                  <c:f>Input!$AH$24</c:f>
                  <c:strCache>
                    <c:ptCount val="1"/>
                    <c:pt idx="0">
                      <c:v>ws</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7"/>
              <c:tx>
                <c:strRef>
                  <c:f>Input!$AH$25</c:f>
                  <c:strCache>
                    <c:ptCount val="1"/>
                    <c:pt idx="0">
                      <c:v>mo</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8"/>
              <c:tx>
                <c:strRef>
                  <c:f>Input!$AH$26</c:f>
                  <c:strCache>
                    <c:ptCount val="1"/>
                    <c:pt idx="0">
                      <c:v>MU</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9"/>
              <c:tx>
                <c:strRef>
                  <c:f>Input!$AH$27</c:f>
                  <c:strCache>
                    <c:ptCount val="1"/>
                    <c:pt idx="0">
                      <c:v>wi</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0"/>
              <c:tx>
                <c:strRef>
                  <c:f>Input!$AH$28</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1"/>
              <c:tx>
                <c:strRef>
                  <c:f>Input!$AH$29</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2"/>
              <c:tx>
                <c:strRef>
                  <c:f>Input!$AH$30</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3"/>
              <c:tx>
                <c:strRef>
                  <c:f>Input!$AH$31</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4"/>
              <c:tx>
                <c:strRef>
                  <c:f>Input!$AH$32</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5"/>
              <c:tx>
                <c:strRef>
                  <c:f>Input!$AH$33</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6"/>
              <c:tx>
                <c:strRef>
                  <c:f>Input!$AH$34</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7"/>
              <c:tx>
                <c:strRef>
                  <c:f>Input!$AH$35</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8"/>
              <c:tx>
                <c:strRef>
                  <c:f>Input!$AH$36</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9"/>
              <c:tx>
                <c:strRef>
                  <c:f>Input!$AH$37</c:f>
                  <c:strCache>
                    <c:ptCount val="1"/>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elete val="1"/>
          </c:dLbls>
          <c:xVal>
            <c:numRef>
              <c:f>Input!$DD$8:$DD$37</c:f>
              <c:numCache>
                <c:formatCode>0</c:formatCode>
                <c:ptCount val="30"/>
                <c:pt idx="0">
                  <c:v>1970</c:v>
                </c:pt>
                <c:pt idx="1">
                  <c:v>2100</c:v>
                </c:pt>
                <c:pt idx="2">
                  <c:v>1240</c:v>
                </c:pt>
                <c:pt idx="3">
                  <c:v>1290</c:v>
                </c:pt>
                <c:pt idx="4">
                  <c:v>1700</c:v>
                </c:pt>
                <c:pt idx="5">
                  <c:v>170</c:v>
                </c:pt>
                <c:pt idx="6">
                  <c:v>3300</c:v>
                </c:pt>
                <c:pt idx="7">
                  <c:v>2600</c:v>
                </c:pt>
                <c:pt idx="8">
                  <c:v>1350</c:v>
                </c:pt>
                <c:pt idx="9">
                  <c:v>1000</c:v>
                </c:pt>
                <c:pt idx="10">
                  <c:v>1010</c:v>
                </c:pt>
                <c:pt idx="11">
                  <c:v>130</c:v>
                </c:pt>
                <c:pt idx="12">
                  <c:v>27</c:v>
                </c:pt>
                <c:pt idx="13">
                  <c:v>2340</c:v>
                </c:pt>
                <c:pt idx="14">
                  <c:v>1690</c:v>
                </c:pt>
                <c:pt idx="15">
                  <c:v>1</c:v>
                </c:pt>
                <c:pt idx="16">
                  <c:v>365</c:v>
                </c:pt>
                <c:pt idx="17">
                  <c:v>15800</c:v>
                </c:pt>
                <c:pt idx="18">
                  <c:v>12600</c:v>
                </c:pt>
                <c:pt idx="19">
                  <c:v>38700</c:v>
                </c:pt>
                <c:pt idx="20">
                  <c:v>-999</c:v>
                </c:pt>
                <c:pt idx="21">
                  <c:v>-999</c:v>
                </c:pt>
                <c:pt idx="22">
                  <c:v>-999</c:v>
                </c:pt>
                <c:pt idx="23">
                  <c:v>-999</c:v>
                </c:pt>
                <c:pt idx="24">
                  <c:v>-999</c:v>
                </c:pt>
                <c:pt idx="25">
                  <c:v>-999</c:v>
                </c:pt>
                <c:pt idx="26">
                  <c:v>-999</c:v>
                </c:pt>
                <c:pt idx="27">
                  <c:v>-999</c:v>
                </c:pt>
                <c:pt idx="28">
                  <c:v>-999</c:v>
                </c:pt>
                <c:pt idx="29">
                  <c:v>-999</c:v>
                </c:pt>
              </c:numCache>
            </c:numRef>
          </c:xVal>
          <c:yVal>
            <c:numRef>
              <c:f>Input!$DE$8:$DE$37</c:f>
              <c:numCache>
                <c:formatCode>0.0</c:formatCode>
                <c:ptCount val="30"/>
                <c:pt idx="0">
                  <c:v>1228.8737614923843</c:v>
                </c:pt>
                <c:pt idx="1">
                  <c:v>926.13950901150531</c:v>
                </c:pt>
                <c:pt idx="2">
                  <c:v>999.55138188286605</c:v>
                </c:pt>
                <c:pt idx="3">
                  <c:v>681.924144302022</c:v>
                </c:pt>
                <c:pt idx="4">
                  <c:v>1892.4973092426667</c:v>
                </c:pt>
                <c:pt idx="5">
                  <c:v>766.27703138042602</c:v>
                </c:pt>
                <c:pt idx="6">
                  <c:v>1228.8737614923843</c:v>
                </c:pt>
                <c:pt idx="7">
                  <c:v>605.08375356460351</c:v>
                </c:pt>
                <c:pt idx="8">
                  <c:v>689.2670400810332</c:v>
                </c:pt>
                <c:pt idx="9">
                  <c:v>734.31862895644861</c:v>
                </c:pt>
                <c:pt idx="10">
                  <c:v>653.24264513542266</c:v>
                </c:pt>
                <c:pt idx="11">
                  <c:v>511.94881548561648</c:v>
                </c:pt>
                <c:pt idx="12">
                  <c:v>758.48120071725396</c:v>
                </c:pt>
                <c:pt idx="13">
                  <c:v>681.924144302022</c:v>
                </c:pt>
                <c:pt idx="14">
                  <c:v>864.71300388196676</c:v>
                </c:pt>
                <c:pt idx="15">
                  <c:v>409.06551052999089</c:v>
                </c:pt>
                <c:pt idx="16">
                  <c:v>727.66466995555515</c:v>
                </c:pt>
                <c:pt idx="17">
                  <c:v>317.72174943114044</c:v>
                </c:pt>
                <c:pt idx="18">
                  <c:v>368.08389174315153</c:v>
                </c:pt>
                <c:pt idx="19">
                  <c:v>-999</c:v>
                </c:pt>
                <c:pt idx="20">
                  <c:v>-999</c:v>
                </c:pt>
                <c:pt idx="21">
                  <c:v>-999</c:v>
                </c:pt>
                <c:pt idx="22">
                  <c:v>-999</c:v>
                </c:pt>
                <c:pt idx="23">
                  <c:v>-999</c:v>
                </c:pt>
                <c:pt idx="24">
                  <c:v>-999</c:v>
                </c:pt>
                <c:pt idx="25">
                  <c:v>-999</c:v>
                </c:pt>
                <c:pt idx="26">
                  <c:v>-999</c:v>
                </c:pt>
                <c:pt idx="27">
                  <c:v>-999</c:v>
                </c:pt>
                <c:pt idx="28">
                  <c:v>-999</c:v>
                </c:pt>
                <c:pt idx="29">
                  <c:v>-999</c:v>
                </c:pt>
              </c:numCache>
            </c:numRef>
          </c:yVal>
        </c:ser>
        <c:ser>
          <c:idx val="0"/>
          <c:order val="1"/>
          <c:tx>
            <c:v>steam</c:v>
          </c:tx>
          <c:spPr>
            <a:ln w="28575">
              <a:noFill/>
            </a:ln>
          </c:spPr>
          <c:marker>
            <c:symbol val="square"/>
            <c:size val="9"/>
            <c:spPr>
              <a:noFill/>
              <a:ln>
                <a:solidFill>
                  <a:srgbClr val="000080"/>
                </a:solidFill>
                <a:prstDash val="solid"/>
              </a:ln>
            </c:spPr>
          </c:marker>
          <c:dLbls>
            <c:dLbl>
              <c:idx val="0"/>
              <c:layout/>
              <c:tx>
                <c:rich>
                  <a:bodyPr/>
                  <a:lstStyle/>
                  <a:p>
                    <a:pPr>
                      <a:defRPr sz="1200" b="1" i="0" u="none" strike="noStrike" baseline="0">
                        <a:solidFill>
                          <a:srgbClr val="333399"/>
                        </a:solidFill>
                        <a:latin typeface="Arial"/>
                        <a:ea typeface="Arial"/>
                        <a:cs typeface="Arial"/>
                      </a:defRPr>
                    </a:pPr>
                    <a:r>
                      <a:rPr lang="en-NZ"/>
                      <a:t>Steam</a:t>
                    </a:r>
                  </a:p>
                </c:rich>
              </c:tx>
              <c:spPr>
                <a:noFill/>
                <a:ln w="25400">
                  <a:noFill/>
                </a:ln>
              </c:spPr>
            </c:dLbl>
            <c:spPr>
              <a:noFill/>
              <a:ln w="25400">
                <a:noFill/>
              </a:ln>
            </c:spPr>
            <c:txPr>
              <a:bodyPr/>
              <a:lstStyle/>
              <a:p>
                <a:pPr>
                  <a:defRPr sz="1200" b="0" i="0" u="none" strike="noStrike" baseline="0">
                    <a:solidFill>
                      <a:srgbClr val="333399"/>
                    </a:solidFill>
                    <a:latin typeface="Arial"/>
                    <a:ea typeface="Arial"/>
                    <a:cs typeface="Arial"/>
                  </a:defRPr>
                </a:pPr>
                <a:endParaRPr lang="en-US"/>
              </a:p>
            </c:txPr>
            <c:showVal val="1"/>
          </c:dLbls>
          <c:xVal>
            <c:numRef>
              <c:f>Ref!$A$26</c:f>
              <c:numCache>
                <c:formatCode>General</c:formatCode>
                <c:ptCount val="1"/>
                <c:pt idx="0">
                  <c:v>0</c:v>
                </c:pt>
              </c:numCache>
            </c:numRef>
          </c:xVal>
          <c:yVal>
            <c:numRef>
              <c:f>Ref!$B$26</c:f>
              <c:numCache>
                <c:formatCode>General</c:formatCode>
                <c:ptCount val="1"/>
                <c:pt idx="0">
                  <c:v>2800</c:v>
                </c:pt>
              </c:numCache>
            </c:numRef>
          </c:yVal>
        </c:ser>
        <c:axId val="92488064"/>
        <c:axId val="92489984"/>
      </c:scatterChart>
      <c:valAx>
        <c:axId val="92488064"/>
        <c:scaling>
          <c:orientation val="minMax"/>
          <c:max val="4000"/>
          <c:min val="0"/>
        </c:scaling>
        <c:axPos val="b"/>
        <c:title>
          <c:tx>
            <c:rich>
              <a:bodyPr/>
              <a:lstStyle/>
              <a:p>
                <a:pPr>
                  <a:defRPr sz="1400" b="1" i="0" u="none" strike="noStrike" baseline="0">
                    <a:solidFill>
                      <a:srgbClr val="000000"/>
                    </a:solidFill>
                    <a:latin typeface="Arial"/>
                    <a:ea typeface="Arial"/>
                    <a:cs typeface="Arial"/>
                  </a:defRPr>
                </a:pPr>
                <a:r>
                  <a:rPr lang="en-NZ"/>
                  <a:t>Chloride - ppm</a:t>
                </a:r>
              </a:p>
            </c:rich>
          </c:tx>
          <c:layout>
            <c:manualLayout>
              <c:xMode val="edge"/>
              <c:yMode val="edge"/>
              <c:x val="0.4528301886792459"/>
              <c:y val="0.94779771615008357"/>
            </c:manualLayout>
          </c:layout>
          <c:spPr>
            <a:noFill/>
            <a:ln w="25400">
              <a:noFill/>
            </a:ln>
          </c:spPr>
        </c:title>
        <c:numFmt formatCode="0" sourceLinked="1"/>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92489984"/>
        <c:crosses val="autoZero"/>
        <c:crossBetween val="midCat"/>
      </c:valAx>
      <c:valAx>
        <c:axId val="92489984"/>
        <c:scaling>
          <c:orientation val="minMax"/>
          <c:max val="3000"/>
          <c:min val="0"/>
        </c:scaling>
        <c:axPos val="l"/>
        <c:title>
          <c:tx>
            <c:rich>
              <a:bodyPr/>
              <a:lstStyle/>
              <a:p>
                <a:pPr>
                  <a:defRPr sz="1400" b="1" i="0" u="none" strike="noStrike" baseline="0">
                    <a:solidFill>
                      <a:srgbClr val="000000"/>
                    </a:solidFill>
                    <a:latin typeface="Arial"/>
                    <a:ea typeface="Arial"/>
                    <a:cs typeface="Arial"/>
                  </a:defRPr>
                </a:pPr>
                <a:r>
                  <a:rPr lang="en-NZ"/>
                  <a:t>Quartz Geothermometer Enthalpy - kj/kg</a:t>
                </a:r>
              </a:p>
            </c:rich>
          </c:tx>
          <c:layout>
            <c:manualLayout>
              <c:xMode val="edge"/>
              <c:yMode val="edge"/>
              <c:x val="1.3318534961154272E-2"/>
              <c:y val="0.17128874388254509"/>
            </c:manualLayout>
          </c:layout>
          <c:spPr>
            <a:noFill/>
            <a:ln w="25400">
              <a:noFill/>
            </a:ln>
          </c:spPr>
        </c:title>
        <c:numFmt formatCode="0" sourceLinked="0"/>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92488064"/>
        <c:crosses val="autoZero"/>
        <c:crossBetween val="midCat"/>
        <c:majorUnit val="500"/>
      </c:valAx>
      <c:spPr>
        <a:noFill/>
        <a:ln w="3175">
          <a:solidFill>
            <a:srgbClr val="000000"/>
          </a:solidFill>
          <a:prstDash val="solid"/>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7669256381798006E-2"/>
          <c:y val="8.4828711256117434E-2"/>
          <c:w val="0.84905660377358605"/>
          <c:h val="0.81402936378466551"/>
        </c:manualLayout>
      </c:layout>
      <c:scatterChart>
        <c:scatterStyle val="smoothMarker"/>
        <c:ser>
          <c:idx val="0"/>
          <c:order val="0"/>
          <c:tx>
            <c:v>Equilibration line</c:v>
          </c:tx>
          <c:spPr>
            <a:ln w="38100">
              <a:solidFill>
                <a:srgbClr val="808080"/>
              </a:solidFill>
              <a:prstDash val="solid"/>
            </a:ln>
          </c:spPr>
          <c:marker>
            <c:symbol val="plus"/>
            <c:size val="10"/>
            <c:spPr>
              <a:noFill/>
              <a:ln>
                <a:solidFill>
                  <a:srgbClr val="808080"/>
                </a:solidFill>
                <a:prstDash val="solid"/>
              </a:ln>
            </c:spPr>
          </c:marker>
          <c:dLbls>
            <c:dLbl>
              <c:idx val="0"/>
              <c:layout/>
              <c:tx>
                <c:strRef>
                  <c:f>Ref!$B$31</c:f>
                  <c:strCache>
                    <c:ptCount val="1"/>
                    <c:pt idx="0">
                      <c:v>40</c:v>
                    </c:pt>
                  </c:strCache>
                </c:strRef>
              </c:tx>
              <c:dLblPos val="t"/>
            </c:dLbl>
            <c:dLbl>
              <c:idx val="1"/>
              <c:layout/>
              <c:tx>
                <c:strRef>
                  <c:f>Ref!$B$32</c:f>
                  <c:strCache>
                    <c:ptCount val="1"/>
                    <c:pt idx="0">
                      <c:v>60</c:v>
                    </c:pt>
                  </c:strCache>
                </c:strRef>
              </c:tx>
              <c:dLblPos val="t"/>
            </c:dLbl>
            <c:dLbl>
              <c:idx val="2"/>
              <c:layout/>
              <c:tx>
                <c:strRef>
                  <c:f>Ref!$B$33</c:f>
                  <c:strCache>
                    <c:ptCount val="1"/>
                    <c:pt idx="0">
                      <c:v>80</c:v>
                    </c:pt>
                  </c:strCache>
                </c:strRef>
              </c:tx>
              <c:dLblPos val="t"/>
            </c:dLbl>
            <c:dLbl>
              <c:idx val="3"/>
              <c:layout/>
              <c:tx>
                <c:strRef>
                  <c:f>Ref!$B$34</c:f>
                  <c:strCache>
                    <c:ptCount val="1"/>
                    <c:pt idx="0">
                      <c:v>100</c:v>
                    </c:pt>
                  </c:strCache>
                </c:strRef>
              </c:tx>
              <c:dLblPos val="t"/>
            </c:dLbl>
            <c:dLbl>
              <c:idx val="4"/>
              <c:layout/>
              <c:tx>
                <c:strRef>
                  <c:f>Ref!$B$35</c:f>
                  <c:strCache>
                    <c:ptCount val="1"/>
                    <c:pt idx="0">
                      <c:v>120</c:v>
                    </c:pt>
                  </c:strCache>
                </c:strRef>
              </c:tx>
              <c:dLblPos val="t"/>
            </c:dLbl>
            <c:dLbl>
              <c:idx val="5"/>
              <c:layout/>
              <c:tx>
                <c:strRef>
                  <c:f>Ref!$B$36</c:f>
                  <c:strCache>
                    <c:ptCount val="1"/>
                    <c:pt idx="0">
                      <c:v>140</c:v>
                    </c:pt>
                  </c:strCache>
                </c:strRef>
              </c:tx>
              <c:dLblPos val="t"/>
            </c:dLbl>
            <c:dLbl>
              <c:idx val="6"/>
              <c:layout/>
              <c:tx>
                <c:strRef>
                  <c:f>Ref!$B$37</c:f>
                  <c:strCache>
                    <c:ptCount val="1"/>
                    <c:pt idx="0">
                      <c:v>160</c:v>
                    </c:pt>
                  </c:strCache>
                </c:strRef>
              </c:tx>
              <c:dLblPos val="t"/>
            </c:dLbl>
            <c:dLbl>
              <c:idx val="7"/>
              <c:layout/>
              <c:tx>
                <c:strRef>
                  <c:f>Ref!$B$38</c:f>
                  <c:strCache>
                    <c:ptCount val="1"/>
                    <c:pt idx="0">
                      <c:v>180</c:v>
                    </c:pt>
                  </c:strCache>
                </c:strRef>
              </c:tx>
              <c:dLblPos val="t"/>
            </c:dLbl>
            <c:dLbl>
              <c:idx val="8"/>
              <c:layout/>
              <c:tx>
                <c:strRef>
                  <c:f>Ref!$B$39</c:f>
                  <c:strCache>
                    <c:ptCount val="1"/>
                    <c:pt idx="0">
                      <c:v>200</c:v>
                    </c:pt>
                  </c:strCache>
                </c:strRef>
              </c:tx>
              <c:dLblPos val="t"/>
            </c:dLbl>
            <c:dLbl>
              <c:idx val="9"/>
              <c:layout/>
              <c:tx>
                <c:strRef>
                  <c:f>Ref!$B$40</c:f>
                  <c:strCache>
                    <c:ptCount val="1"/>
                    <c:pt idx="0">
                      <c:v>220</c:v>
                    </c:pt>
                  </c:strCache>
                </c:strRef>
              </c:tx>
              <c:dLblPos val="t"/>
            </c:dLbl>
            <c:dLbl>
              <c:idx val="10"/>
              <c:layout/>
              <c:tx>
                <c:strRef>
                  <c:f>Ref!$B$41</c:f>
                  <c:strCache>
                    <c:ptCount val="1"/>
                    <c:pt idx="0">
                      <c:v>240</c:v>
                    </c:pt>
                  </c:strCache>
                </c:strRef>
              </c:tx>
              <c:dLblPos val="t"/>
            </c:dLbl>
            <c:dLbl>
              <c:idx val="11"/>
              <c:layout/>
              <c:tx>
                <c:strRef>
                  <c:f>Ref!$B$42</c:f>
                  <c:strCache>
                    <c:ptCount val="1"/>
                    <c:pt idx="0">
                      <c:v>260</c:v>
                    </c:pt>
                  </c:strCache>
                </c:strRef>
              </c:tx>
              <c:dLblPos val="t"/>
            </c:dLbl>
            <c:dLbl>
              <c:idx val="12"/>
              <c:layout/>
              <c:tx>
                <c:strRef>
                  <c:f>Ref!$B$43</c:f>
                  <c:strCache>
                    <c:ptCount val="1"/>
                    <c:pt idx="0">
                      <c:v>280</c:v>
                    </c:pt>
                  </c:strCache>
                </c:strRef>
              </c:tx>
              <c:dLblPos val="t"/>
            </c:dLbl>
            <c:dLbl>
              <c:idx val="13"/>
              <c:layout/>
              <c:tx>
                <c:strRef>
                  <c:f>Ref!$B$44</c:f>
                  <c:strCache>
                    <c:ptCount val="1"/>
                    <c:pt idx="0">
                      <c:v>300</c:v>
                    </c:pt>
                  </c:strCache>
                </c:strRef>
              </c:tx>
              <c:dLblPos val="t"/>
            </c:dLbl>
            <c:dLbl>
              <c:idx val="14"/>
              <c:layout/>
              <c:tx>
                <c:strRef>
                  <c:f>Ref!$B$45</c:f>
                  <c:strCache>
                    <c:ptCount val="1"/>
                    <c:pt idx="0">
                      <c:v>320</c:v>
                    </c:pt>
                  </c:strCache>
                </c:strRef>
              </c:tx>
              <c:dLblPos val="t"/>
            </c:dLbl>
            <c:dLbl>
              <c:idx val="15"/>
              <c:layout/>
              <c:tx>
                <c:strRef>
                  <c:f>Ref!$B$46</c:f>
                  <c:strCache>
                    <c:ptCount val="1"/>
                    <c:pt idx="0">
                      <c:v>340</c:v>
                    </c:pt>
                  </c:strCache>
                </c:strRef>
              </c:tx>
              <c:dLblPos val="t"/>
            </c:dLbl>
            <c:spPr>
              <a:noFill/>
              <a:ln w="25400">
                <a:noFill/>
              </a:ln>
            </c:spPr>
            <c:txPr>
              <a:bodyPr rot="-5400000" vert="horz"/>
              <a:lstStyle/>
              <a:p>
                <a:pPr algn="ctr">
                  <a:defRPr sz="1375" b="1" i="0" u="none" strike="noStrike" baseline="0">
                    <a:solidFill>
                      <a:srgbClr val="808080"/>
                    </a:solidFill>
                    <a:latin typeface="Arial"/>
                    <a:ea typeface="Arial"/>
                    <a:cs typeface="Arial"/>
                  </a:defRPr>
                </a:pPr>
                <a:endParaRPr lang="en-US"/>
              </a:p>
            </c:txPr>
            <c:dLblPos val="t"/>
            <c:showVal val="1"/>
          </c:dLbls>
          <c:xVal>
            <c:numRef>
              <c:f>Ref!$Z$31:$Z$46</c:f>
              <c:numCache>
                <c:formatCode>General</c:formatCode>
                <c:ptCount val="16"/>
                <c:pt idx="0">
                  <c:v>1.9968501064147853E-2</c:v>
                </c:pt>
                <c:pt idx="1">
                  <c:v>3.6288810060217606E-2</c:v>
                </c:pt>
                <c:pt idx="2">
                  <c:v>6.0955001999861105E-2</c:v>
                </c:pt>
                <c:pt idx="3">
                  <c:v>9.5472882812075915E-2</c:v>
                </c:pt>
                <c:pt idx="4">
                  <c:v>0.14040934437030381</c:v>
                </c:pt>
                <c:pt idx="5">
                  <c:v>0.19505199438092324</c:v>
                </c:pt>
                <c:pt idx="6">
                  <c:v>0.25739328348301971</c:v>
                </c:pt>
                <c:pt idx="7">
                  <c:v>0.3244888866060579</c:v>
                </c:pt>
                <c:pt idx="8">
                  <c:v>0.39305873260504343</c:v>
                </c:pt>
                <c:pt idx="9">
                  <c:v>0.4600934094033553</c:v>
                </c:pt>
                <c:pt idx="10">
                  <c:v>0.52326712161282107</c:v>
                </c:pt>
                <c:pt idx="11">
                  <c:v>0.58108854328459969</c:v>
                </c:pt>
                <c:pt idx="12">
                  <c:v>0.63283949298880904</c:v>
                </c:pt>
                <c:pt idx="13">
                  <c:v>0.67840061815532415</c:v>
                </c:pt>
                <c:pt idx="14">
                  <c:v>0.71805182814961976</c:v>
                </c:pt>
                <c:pt idx="15">
                  <c:v>0.75229924484338573</c:v>
                </c:pt>
              </c:numCache>
            </c:numRef>
          </c:xVal>
          <c:yVal>
            <c:numRef>
              <c:f>Ref!$Y$31:$Y$46</c:f>
              <c:numCache>
                <c:formatCode>0.0000</c:formatCode>
                <c:ptCount val="16"/>
                <c:pt idx="0">
                  <c:v>0.90550004391218819</c:v>
                </c:pt>
                <c:pt idx="1">
                  <c:v>0.74745368145582547</c:v>
                </c:pt>
                <c:pt idx="2">
                  <c:v>0.53271772926928074</c:v>
                </c:pt>
                <c:pt idx="3">
                  <c:v>0.34576971109236387</c:v>
                </c:pt>
                <c:pt idx="4">
                  <c:v>0.22279667122856842</c:v>
                </c:pt>
                <c:pt idx="5">
                  <c:v>0.15096955218729086</c:v>
                </c:pt>
                <c:pt idx="6">
                  <c:v>0.11017027086007089</c:v>
                </c:pt>
                <c:pt idx="7">
                  <c:v>8.7009303060141444E-2</c:v>
                </c:pt>
                <c:pt idx="8">
                  <c:v>7.413367329121956E-2</c:v>
                </c:pt>
                <c:pt idx="9">
                  <c:v>6.7729112997958266E-2</c:v>
                </c:pt>
                <c:pt idx="10">
                  <c:v>6.5899884560223942E-2</c:v>
                </c:pt>
                <c:pt idx="11">
                  <c:v>6.7829200075631271E-2</c:v>
                </c:pt>
                <c:pt idx="12">
                  <c:v>7.3381175278407595E-2</c:v>
                </c:pt>
                <c:pt idx="13">
                  <c:v>8.2934535625309697E-2</c:v>
                </c:pt>
                <c:pt idx="14">
                  <c:v>9.7339004982072444E-2</c:v>
                </c:pt>
                <c:pt idx="15" formatCode="General">
                  <c:v>0.11793143619934408</c:v>
                </c:pt>
              </c:numCache>
            </c:numRef>
          </c:yVal>
          <c:smooth val="1"/>
        </c:ser>
        <c:ser>
          <c:idx val="1"/>
          <c:order val="1"/>
          <c:tx>
            <c:v>ROCKS</c:v>
          </c:tx>
          <c:spPr>
            <a:ln w="28575">
              <a:noFill/>
            </a:ln>
          </c:spPr>
          <c:marker>
            <c:symbol val="square"/>
            <c:size val="8"/>
            <c:spPr>
              <a:solidFill>
                <a:srgbClr val="C0C0C0"/>
              </a:solidFill>
              <a:ln>
                <a:solidFill>
                  <a:srgbClr val="800080"/>
                </a:solidFill>
                <a:prstDash val="solid"/>
              </a:ln>
            </c:spPr>
          </c:marker>
          <c:dLbls>
            <c:dLbl>
              <c:idx val="0"/>
              <c:layout/>
              <c:tx>
                <c:strRef>
                  <c:f>Ref!$B$4</c:f>
                  <c:strCache>
                    <c:ptCount val="1"/>
                    <c:pt idx="0">
                      <c:v>Granite</c:v>
                    </c:pt>
                  </c:strCache>
                </c:strRef>
              </c:tx>
              <c:dLblPos val="l"/>
            </c:dLbl>
            <c:dLbl>
              <c:idx val="1"/>
              <c:layout>
                <c:manualLayout>
                  <c:x val="-5.2901267474722723E-5"/>
                  <c:y val="-3.1244300008991606E-3"/>
                </c:manualLayout>
              </c:layout>
              <c:tx>
                <c:strRef>
                  <c:f>Ref!$B$5</c:f>
                  <c:strCache>
                    <c:ptCount val="1"/>
                    <c:pt idx="0">
                      <c:v>Diorite</c:v>
                    </c:pt>
                  </c:strCache>
                </c:strRef>
              </c:tx>
              <c:dLblPos val="r"/>
            </c:dLbl>
            <c:dLbl>
              <c:idx val="2"/>
              <c:layout>
                <c:manualLayout>
                  <c:x val="-8.1733273906799464E-2"/>
                  <c:y val="-9.6877368306123746E-3"/>
                </c:manualLayout>
              </c:layout>
              <c:tx>
                <c:strRef>
                  <c:f>Ref!$B$6</c:f>
                  <c:strCache>
                    <c:ptCount val="1"/>
                    <c:pt idx="0">
                      <c:v>Basalt</c:v>
                    </c:pt>
                  </c:strCache>
                </c:strRef>
              </c:tx>
              <c:dLblPos val="r"/>
            </c:dLbl>
            <c:dLbl>
              <c:idx val="3"/>
              <c:layout/>
              <c:tx>
                <c:strRef>
                  <c:f>Ref!$B$7</c:f>
                  <c:strCache>
                    <c:ptCount val="1"/>
                    <c:pt idx="0">
                      <c:v>Ultramafic</c:v>
                    </c:pt>
                  </c:strCache>
                </c:strRef>
              </c:tx>
              <c:dLblPos val="l"/>
            </c:dLbl>
            <c:dLbl>
              <c:idx val="4"/>
              <c:layout>
                <c:manualLayout>
                  <c:x val="-6.3240785245906372E-2"/>
                  <c:y val="1.2054137604740707E-2"/>
                </c:manualLayout>
              </c:layout>
              <c:tx>
                <c:strRef>
                  <c:f>Ref!$B$8</c:f>
                  <c:strCache>
                    <c:ptCount val="1"/>
                    <c:pt idx="0">
                      <c:v>Limestone</c:v>
                    </c:pt>
                  </c:strCache>
                </c:strRef>
              </c:tx>
              <c:dLblPos val="r"/>
            </c:dLbl>
            <c:dLbl>
              <c:idx val="5"/>
              <c:layout/>
              <c:tx>
                <c:strRef>
                  <c:f>Ref!$B$9</c:f>
                  <c:strCache>
                    <c:ptCount val="1"/>
                    <c:pt idx="0">
                      <c:v>Sandstone</c:v>
                    </c:pt>
                  </c:strCache>
                </c:strRef>
              </c:tx>
              <c:dLblPos val="l"/>
            </c:dLbl>
            <c:dLbl>
              <c:idx val="6"/>
              <c:layout/>
              <c:tx>
                <c:strRef>
                  <c:f>Ref!$B$10</c:f>
                  <c:strCache>
                    <c:ptCount val="1"/>
                    <c:pt idx="0">
                      <c:v>Shale</c:v>
                    </c:pt>
                  </c:strCache>
                </c:strRef>
              </c:tx>
              <c:dLblPos val="l"/>
            </c:dLbl>
            <c:dLbl>
              <c:idx val="7"/>
              <c:layout/>
              <c:tx>
                <c:strRef>
                  <c:f>Ref!$B$11</c:f>
                  <c:strCache>
                    <c:ptCount val="1"/>
                    <c:pt idx="0">
                      <c:v>Seawater</c:v>
                    </c:pt>
                  </c:strCache>
                </c:strRef>
              </c:tx>
              <c:dLblPos val="l"/>
            </c:dLbl>
            <c:spPr>
              <a:noFill/>
              <a:ln w="25400">
                <a:noFill/>
              </a:ln>
            </c:spPr>
            <c:txPr>
              <a:bodyPr/>
              <a:lstStyle/>
              <a:p>
                <a:pPr algn="l">
                  <a:defRPr sz="1200" b="1" i="0" u="none" strike="noStrike" baseline="0">
                    <a:solidFill>
                      <a:srgbClr val="808080"/>
                    </a:solidFill>
                    <a:latin typeface="Arial"/>
                    <a:ea typeface="Arial"/>
                    <a:cs typeface="Arial"/>
                  </a:defRPr>
                </a:pPr>
                <a:endParaRPr lang="en-US"/>
              </a:p>
            </c:txPr>
            <c:dLblPos val="l"/>
            <c:showVal val="1"/>
          </c:dLbls>
          <c:xVal>
            <c:numRef>
              <c:f>Ref!$AP$4:$AP$11</c:f>
              <c:numCache>
                <c:formatCode>0.00</c:formatCode>
                <c:ptCount val="8"/>
                <c:pt idx="0">
                  <c:v>0.92672413793103448</c:v>
                </c:pt>
                <c:pt idx="1">
                  <c:v>0.8571428571428571</c:v>
                </c:pt>
                <c:pt idx="2">
                  <c:v>0.83700440528634357</c:v>
                </c:pt>
                <c:pt idx="3">
                  <c:v>0.95238095238095233</c:v>
                </c:pt>
                <c:pt idx="4">
                  <c:v>0.967741935483871</c:v>
                </c:pt>
                <c:pt idx="5">
                  <c:v>0.89171974522292996</c:v>
                </c:pt>
                <c:pt idx="6">
                  <c:v>0.96938775510204078</c:v>
                </c:pt>
                <c:pt idx="7">
                  <c:v>0.26460552886289257</c:v>
                </c:pt>
              </c:numCache>
            </c:numRef>
          </c:xVal>
          <c:yVal>
            <c:numRef>
              <c:f>Ref!$AQ$4:$AQ$11</c:f>
              <c:numCache>
                <c:formatCode>0.00</c:formatCode>
                <c:ptCount val="8"/>
                <c:pt idx="0">
                  <c:v>0.78947368421052633</c:v>
                </c:pt>
                <c:pt idx="1">
                  <c:v>0.84745762711864403</c:v>
                </c:pt>
                <c:pt idx="2">
                  <c:v>0.85141903171953259</c:v>
                </c:pt>
                <c:pt idx="3">
                  <c:v>0.9865196078431373</c:v>
                </c:pt>
                <c:pt idx="4">
                  <c:v>0.64967105263157898</c:v>
                </c:pt>
                <c:pt idx="5">
                  <c:v>0.66666666666666663</c:v>
                </c:pt>
                <c:pt idx="6">
                  <c:v>0.9375</c:v>
                </c:pt>
                <c:pt idx="7">
                  <c:v>0.96951219512195119</c:v>
                </c:pt>
              </c:numCache>
            </c:numRef>
          </c:yVal>
          <c:smooth val="1"/>
        </c:ser>
        <c:ser>
          <c:idx val="3"/>
          <c:order val="2"/>
          <c:tx>
            <c:v>data</c:v>
          </c:tx>
          <c:spPr>
            <a:ln w="28575">
              <a:noFill/>
            </a:ln>
          </c:spPr>
          <c:marker>
            <c:symbol val="diamond"/>
            <c:size val="7"/>
            <c:spPr>
              <a:solidFill>
                <a:srgbClr val="800080"/>
              </a:solidFill>
              <a:ln>
                <a:solidFill>
                  <a:srgbClr val="800080"/>
                </a:solidFill>
                <a:prstDash val="solid"/>
              </a:ln>
            </c:spPr>
          </c:marker>
          <c:dLbls>
            <c:dLbl>
              <c:idx val="0"/>
              <c:layout/>
              <c:tx>
                <c:strRef>
                  <c:f>Input!$AH$8</c:f>
                  <c:strCache>
                    <c:ptCount val="1"/>
                    <c:pt idx="0">
                      <c:v>WK</c:v>
                    </c:pt>
                  </c:strCache>
                </c:strRef>
              </c:tx>
              <c:dLblPos val="t"/>
            </c:dLbl>
            <c:dLbl>
              <c:idx val="1"/>
              <c:layout/>
              <c:tx>
                <c:strRef>
                  <c:f>Input!$AH$9</c:f>
                  <c:strCache>
                    <c:ptCount val="1"/>
                    <c:pt idx="0">
                      <c:v>wk</c:v>
                    </c:pt>
                  </c:strCache>
                </c:strRef>
              </c:tx>
              <c:dLblPos val="t"/>
            </c:dLbl>
            <c:dLbl>
              <c:idx val="2"/>
              <c:layout/>
              <c:tx>
                <c:strRef>
                  <c:f>Input!$AH$10</c:f>
                  <c:strCache>
                    <c:ptCount val="1"/>
                    <c:pt idx="0">
                      <c:v>NG</c:v>
                    </c:pt>
                  </c:strCache>
                </c:strRef>
              </c:tx>
              <c:dLblPos val="t"/>
            </c:dLbl>
            <c:dLbl>
              <c:idx val="3"/>
              <c:layout/>
              <c:tx>
                <c:strRef>
                  <c:f>Input!$AH$11</c:f>
                  <c:strCache>
                    <c:ptCount val="1"/>
                    <c:pt idx="0">
                      <c:v>ng</c:v>
                    </c:pt>
                  </c:strCache>
                </c:strRef>
              </c:tx>
              <c:dLblPos val="t"/>
            </c:dLbl>
            <c:dLbl>
              <c:idx val="4"/>
              <c:layout/>
              <c:tx>
                <c:strRef>
                  <c:f>Input!$AH$12</c:f>
                  <c:strCache>
                    <c:ptCount val="1"/>
                    <c:pt idx="0">
                      <c:v>ZU</c:v>
                    </c:pt>
                  </c:strCache>
                </c:strRef>
              </c:tx>
              <c:dLblPos val="t"/>
            </c:dLbl>
            <c:dLbl>
              <c:idx val="5"/>
              <c:layout/>
              <c:tx>
                <c:strRef>
                  <c:f>Input!$AH$13</c:f>
                  <c:strCache>
                    <c:ptCount val="1"/>
                    <c:pt idx="0">
                      <c:v>zu</c:v>
                    </c:pt>
                  </c:strCache>
                </c:strRef>
              </c:tx>
              <c:dLblPos val="t"/>
            </c:dLbl>
            <c:dLbl>
              <c:idx val="6"/>
              <c:layout/>
              <c:tx>
                <c:strRef>
                  <c:f>Input!$AH$14</c:f>
                  <c:strCache>
                    <c:ptCount val="1"/>
                    <c:pt idx="0">
                      <c:v>MV</c:v>
                    </c:pt>
                  </c:strCache>
                </c:strRef>
              </c:tx>
              <c:dLblPos val="t"/>
            </c:dLbl>
            <c:dLbl>
              <c:idx val="7"/>
              <c:layout/>
              <c:tx>
                <c:strRef>
                  <c:f>Input!$AH$15</c:f>
                  <c:strCache>
                    <c:ptCount val="1"/>
                    <c:pt idx="0">
                      <c:v>mv</c:v>
                    </c:pt>
                  </c:strCache>
                </c:strRef>
              </c:tx>
              <c:dLblPos val="t"/>
            </c:dLbl>
            <c:dLbl>
              <c:idx val="8"/>
              <c:layout/>
              <c:tx>
                <c:strRef>
                  <c:f>Input!$AH$16</c:f>
                  <c:strCache>
                    <c:ptCount val="1"/>
                    <c:pt idx="0">
                      <c:v>ra</c:v>
                    </c:pt>
                  </c:strCache>
                </c:strRef>
              </c:tx>
              <c:dLblPos val="t"/>
            </c:dLbl>
            <c:dLbl>
              <c:idx val="9"/>
              <c:layout/>
              <c:tx>
                <c:strRef>
                  <c:f>Input!$AH$17</c:f>
                  <c:strCache>
                    <c:ptCount val="1"/>
                    <c:pt idx="0">
                      <c:v>rb</c:v>
                    </c:pt>
                  </c:strCache>
                </c:strRef>
              </c:tx>
              <c:dLblPos val="t"/>
            </c:dLbl>
            <c:dLbl>
              <c:idx val="10"/>
              <c:layout/>
              <c:tx>
                <c:strRef>
                  <c:f>Input!$AH$18</c:f>
                  <c:strCache>
                    <c:ptCount val="1"/>
                    <c:pt idx="0">
                      <c:v>ar</c:v>
                    </c:pt>
                  </c:strCache>
                </c:strRef>
              </c:tx>
              <c:dLblPos val="t"/>
            </c:dLbl>
            <c:dLbl>
              <c:idx val="11"/>
              <c:layout/>
              <c:tx>
                <c:strRef>
                  <c:f>Input!$AH$19</c:f>
                  <c:strCache>
                    <c:ptCount val="1"/>
                    <c:pt idx="0">
                      <c:v>ma</c:v>
                    </c:pt>
                  </c:strCache>
                </c:strRef>
              </c:tx>
              <c:dLblPos val="t"/>
            </c:dLbl>
            <c:dLbl>
              <c:idx val="12"/>
              <c:layout/>
              <c:tx>
                <c:strRef>
                  <c:f>Input!$AH$20</c:f>
                  <c:strCache>
                    <c:ptCount val="1"/>
                    <c:pt idx="0">
                      <c:v>fn</c:v>
                    </c:pt>
                  </c:strCache>
                </c:strRef>
              </c:tx>
              <c:dLblPos val="t"/>
            </c:dLbl>
            <c:dLbl>
              <c:idx val="13"/>
              <c:layout/>
              <c:tx>
                <c:strRef>
                  <c:f>Input!$AH$21</c:f>
                  <c:strCache>
                    <c:ptCount val="1"/>
                    <c:pt idx="0">
                      <c:v>pr</c:v>
                    </c:pt>
                  </c:strCache>
                </c:strRef>
              </c:tx>
              <c:dLblPos val="t"/>
            </c:dLbl>
            <c:dLbl>
              <c:idx val="14"/>
              <c:layout/>
              <c:tx>
                <c:strRef>
                  <c:f>Input!$AH$22</c:f>
                  <c:strCache>
                    <c:ptCount val="1"/>
                    <c:pt idx="0">
                      <c:v>ya</c:v>
                    </c:pt>
                  </c:strCache>
                </c:strRef>
              </c:tx>
              <c:dLblPos val="t"/>
            </c:dLbl>
            <c:dLbl>
              <c:idx val="15"/>
              <c:layout/>
              <c:tx>
                <c:strRef>
                  <c:f>Input!$AH$23</c:f>
                  <c:strCache>
                    <c:ptCount val="1"/>
                    <c:pt idx="0">
                      <c:v>ln</c:v>
                    </c:pt>
                  </c:strCache>
                </c:strRef>
              </c:tx>
              <c:dLblPos val="t"/>
            </c:dLbl>
            <c:dLbl>
              <c:idx val="16"/>
              <c:layout/>
              <c:tx>
                <c:strRef>
                  <c:f>Input!$AH$24</c:f>
                  <c:strCache>
                    <c:ptCount val="1"/>
                    <c:pt idx="0">
                      <c:v>ws</c:v>
                    </c:pt>
                  </c:strCache>
                </c:strRef>
              </c:tx>
              <c:dLblPos val="t"/>
            </c:dLbl>
            <c:dLbl>
              <c:idx val="17"/>
              <c:layout/>
              <c:tx>
                <c:strRef>
                  <c:f>Input!$AH$25</c:f>
                  <c:strCache>
                    <c:ptCount val="1"/>
                    <c:pt idx="0">
                      <c:v>mo</c:v>
                    </c:pt>
                  </c:strCache>
                </c:strRef>
              </c:tx>
              <c:dLblPos val="t"/>
            </c:dLbl>
            <c:dLbl>
              <c:idx val="18"/>
              <c:layout/>
              <c:tx>
                <c:strRef>
                  <c:f>Input!$AH$26</c:f>
                  <c:strCache>
                    <c:ptCount val="1"/>
                    <c:pt idx="0">
                      <c:v>MU</c:v>
                    </c:pt>
                  </c:strCache>
                </c:strRef>
              </c:tx>
              <c:dLblPos val="t"/>
            </c:dLbl>
            <c:dLbl>
              <c:idx val="19"/>
              <c:layout/>
              <c:tx>
                <c:strRef>
                  <c:f>Input!$AH$27</c:f>
                  <c:strCache>
                    <c:ptCount val="1"/>
                    <c:pt idx="0">
                      <c:v>wi</c:v>
                    </c:pt>
                  </c:strCache>
                </c:strRef>
              </c:tx>
              <c:dLblPos val="t"/>
            </c:dLbl>
            <c:dLbl>
              <c:idx val="20"/>
              <c:tx>
                <c:strRef>
                  <c:f>Input!$AH$28</c:f>
                  <c:strCache>
                    <c:ptCount val="1"/>
                  </c:strCache>
                </c:strRef>
              </c:tx>
              <c:dLblPos val="t"/>
            </c:dLbl>
            <c:dLbl>
              <c:idx val="21"/>
              <c:tx>
                <c:strRef>
                  <c:f>Input!$AH$29</c:f>
                  <c:strCache>
                    <c:ptCount val="1"/>
                  </c:strCache>
                </c:strRef>
              </c:tx>
              <c:dLblPos val="t"/>
            </c:dLbl>
            <c:dLbl>
              <c:idx val="22"/>
              <c:tx>
                <c:strRef>
                  <c:f>Input!$AH$30</c:f>
                  <c:strCache>
                    <c:ptCount val="1"/>
                  </c:strCache>
                </c:strRef>
              </c:tx>
              <c:dLblPos val="t"/>
            </c:dLbl>
            <c:dLbl>
              <c:idx val="23"/>
              <c:tx>
                <c:strRef>
                  <c:f>Input!$AH$31</c:f>
                  <c:strCache>
                    <c:ptCount val="1"/>
                  </c:strCache>
                </c:strRef>
              </c:tx>
              <c:dLblPos val="t"/>
            </c:dLbl>
            <c:dLbl>
              <c:idx val="24"/>
              <c:tx>
                <c:strRef>
                  <c:f>Input!$AH$32</c:f>
                  <c:strCache>
                    <c:ptCount val="1"/>
                  </c:strCache>
                </c:strRef>
              </c:tx>
              <c:dLblPos val="t"/>
            </c:dLbl>
            <c:dLbl>
              <c:idx val="25"/>
              <c:tx>
                <c:strRef>
                  <c:f>Input!$AH$33</c:f>
                  <c:strCache>
                    <c:ptCount val="1"/>
                  </c:strCache>
                </c:strRef>
              </c:tx>
              <c:dLblPos val="t"/>
            </c:dLbl>
            <c:dLbl>
              <c:idx val="26"/>
              <c:tx>
                <c:strRef>
                  <c:f>Input!$AH$34</c:f>
                  <c:strCache>
                    <c:ptCount val="1"/>
                  </c:strCache>
                </c:strRef>
              </c:tx>
              <c:dLblPos val="t"/>
            </c:dLbl>
            <c:dLbl>
              <c:idx val="27"/>
              <c:tx>
                <c:strRef>
                  <c:f>Input!$AH$35</c:f>
                  <c:strCache>
                    <c:ptCount val="1"/>
                  </c:strCache>
                </c:strRef>
              </c:tx>
              <c:dLblPos val="t"/>
            </c:dLbl>
            <c:dLbl>
              <c:idx val="28"/>
              <c:tx>
                <c:strRef>
                  <c:f>Input!$AH$36</c:f>
                  <c:strCache>
                    <c:ptCount val="1"/>
                  </c:strCache>
                </c:strRef>
              </c:tx>
              <c:dLblPos val="t"/>
            </c:dLbl>
            <c:dLbl>
              <c:idx val="29"/>
              <c:tx>
                <c:strRef>
                  <c:f>Input!$AH$37</c:f>
                  <c:strCache>
                    <c:ptCount val="1"/>
                  </c:strCache>
                </c:strRef>
              </c:tx>
              <c:dLblPos val="t"/>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Val val="1"/>
          </c:dLbls>
          <c:xVal>
            <c:numRef>
              <c:f>Input!$DB$8:$DB$37</c:f>
              <c:numCache>
                <c:formatCode>0.00</c:formatCode>
                <c:ptCount val="30"/>
                <c:pt idx="0">
                  <c:v>0.5880281690140845</c:v>
                </c:pt>
                <c:pt idx="1">
                  <c:v>0.53435114503816794</c:v>
                </c:pt>
                <c:pt idx="2">
                  <c:v>0.46012269938650308</c:v>
                </c:pt>
                <c:pt idx="3">
                  <c:v>0.41290322580645161</c:v>
                </c:pt>
                <c:pt idx="4">
                  <c:v>0.67092651757188504</c:v>
                </c:pt>
                <c:pt idx="5">
                  <c:v>0.58730158730158732</c:v>
                </c:pt>
                <c:pt idx="6">
                  <c:v>0.54712643678160922</c:v>
                </c:pt>
                <c:pt idx="7">
                  <c:v>0.28623188405797101</c:v>
                </c:pt>
                <c:pt idx="8">
                  <c:v>0.88888888888888884</c:v>
                </c:pt>
                <c:pt idx="9">
                  <c:v>0.5611510791366906</c:v>
                </c:pt>
                <c:pt idx="10">
                  <c:v>0.41493775933609961</c:v>
                </c:pt>
                <c:pt idx="11">
                  <c:v>0.69306930693069302</c:v>
                </c:pt>
                <c:pt idx="12">
                  <c:v>0.39603960396039606</c:v>
                </c:pt>
                <c:pt idx="13">
                  <c:v>0.59531772575250841</c:v>
                </c:pt>
                <c:pt idx="14">
                  <c:v>0.36499999999999999</c:v>
                </c:pt>
                <c:pt idx="15">
                  <c:v>0.76923076923076927</c:v>
                </c:pt>
                <c:pt idx="16">
                  <c:v>0.45714285714285713</c:v>
                </c:pt>
                <c:pt idx="17">
                  <c:v>0.11140583554376658</c:v>
                </c:pt>
                <c:pt idx="18">
                  <c:v>0.3580146460537022</c:v>
                </c:pt>
                <c:pt idx="19">
                  <c:v>0.51794453507340943</c:v>
                </c:pt>
                <c:pt idx="20">
                  <c:v>-99</c:v>
                </c:pt>
                <c:pt idx="21">
                  <c:v>-99</c:v>
                </c:pt>
                <c:pt idx="22">
                  <c:v>-99</c:v>
                </c:pt>
                <c:pt idx="23">
                  <c:v>-99</c:v>
                </c:pt>
                <c:pt idx="24">
                  <c:v>-99</c:v>
                </c:pt>
                <c:pt idx="25">
                  <c:v>-99</c:v>
                </c:pt>
                <c:pt idx="26">
                  <c:v>-99</c:v>
                </c:pt>
                <c:pt idx="27">
                  <c:v>-99</c:v>
                </c:pt>
                <c:pt idx="28">
                  <c:v>-99</c:v>
                </c:pt>
                <c:pt idx="29">
                  <c:v>-99</c:v>
                </c:pt>
              </c:numCache>
            </c:numRef>
          </c:xVal>
          <c:yVal>
            <c:numRef>
              <c:f>Input!$DA$8:$DA$37</c:f>
              <c:numCache>
                <c:formatCode>0.00</c:formatCode>
                <c:ptCount val="30"/>
                <c:pt idx="0">
                  <c:v>4.9751243781094526E-3</c:v>
                </c:pt>
                <c:pt idx="1">
                  <c:v>0.6</c:v>
                </c:pt>
                <c:pt idx="2">
                  <c:v>0.25</c:v>
                </c:pt>
                <c:pt idx="3">
                  <c:v>0.56000000000000005</c:v>
                </c:pt>
                <c:pt idx="4">
                  <c:v>9.0090090090090089E-3</c:v>
                </c:pt>
                <c:pt idx="5">
                  <c:v>0.90909090909090906</c:v>
                </c:pt>
                <c:pt idx="6">
                  <c:v>2.7322404371584699E-3</c:v>
                </c:pt>
                <c:pt idx="7">
                  <c:v>0.74712643678160917</c:v>
                </c:pt>
                <c:pt idx="8">
                  <c:v>0.87868480725623588</c:v>
                </c:pt>
                <c:pt idx="9">
                  <c:v>0.51515151515151514</c:v>
                </c:pt>
                <c:pt idx="10">
                  <c:v>9.0909090909090912E-2</c:v>
                </c:pt>
                <c:pt idx="11">
                  <c:v>0.39285714285714285</c:v>
                </c:pt>
                <c:pt idx="12">
                  <c:v>0.5</c:v>
                </c:pt>
                <c:pt idx="13">
                  <c:v>0.47927927927927927</c:v>
                </c:pt>
                <c:pt idx="14">
                  <c:v>0.15</c:v>
                </c:pt>
                <c:pt idx="15">
                  <c:v>0.92105263157894735</c:v>
                </c:pt>
                <c:pt idx="16">
                  <c:v>0.839622641509434</c:v>
                </c:pt>
                <c:pt idx="17">
                  <c:v>0.25316455696202533</c:v>
                </c:pt>
                <c:pt idx="18">
                  <c:v>0.71641791044776115</c:v>
                </c:pt>
                <c:pt idx="19">
                  <c:v>0.92345078979343864</c:v>
                </c:pt>
                <c:pt idx="20">
                  <c:v>-99</c:v>
                </c:pt>
                <c:pt idx="21">
                  <c:v>-99</c:v>
                </c:pt>
                <c:pt idx="22">
                  <c:v>-99</c:v>
                </c:pt>
                <c:pt idx="23">
                  <c:v>-99</c:v>
                </c:pt>
                <c:pt idx="24">
                  <c:v>-99</c:v>
                </c:pt>
                <c:pt idx="25">
                  <c:v>-99</c:v>
                </c:pt>
                <c:pt idx="26">
                  <c:v>-99</c:v>
                </c:pt>
                <c:pt idx="27">
                  <c:v>-99</c:v>
                </c:pt>
                <c:pt idx="28">
                  <c:v>-99</c:v>
                </c:pt>
                <c:pt idx="29">
                  <c:v>-99</c:v>
                </c:pt>
              </c:numCache>
            </c:numRef>
          </c:yVal>
          <c:smooth val="1"/>
        </c:ser>
        <c:dLbls>
          <c:showVal val="1"/>
        </c:dLbls>
        <c:axId val="92627712"/>
        <c:axId val="92629632"/>
      </c:scatterChart>
      <c:valAx>
        <c:axId val="92627712"/>
        <c:scaling>
          <c:orientation val="minMax"/>
          <c:max val="1"/>
          <c:min val="0"/>
        </c:scaling>
        <c:axPos val="b"/>
        <c:title>
          <c:tx>
            <c:rich>
              <a:bodyPr/>
              <a:lstStyle/>
              <a:p>
                <a:pPr>
                  <a:defRPr sz="1375" b="1" i="0" u="none" strike="noStrike" baseline="0">
                    <a:solidFill>
                      <a:srgbClr val="000000"/>
                    </a:solidFill>
                    <a:latin typeface="Arial"/>
                    <a:ea typeface="Arial"/>
                    <a:cs typeface="Arial"/>
                  </a:defRPr>
                </a:pPr>
                <a:r>
                  <a:rPr lang="en-NZ"/>
                  <a:t>10K/(10K+Na)</a:t>
                </a:r>
              </a:p>
            </c:rich>
          </c:tx>
          <c:layout>
            <c:manualLayout>
              <c:xMode val="edge"/>
              <c:yMode val="edge"/>
              <c:x val="0.45394006659267488"/>
              <c:y val="0.9494290375203932"/>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2629632"/>
        <c:crossesAt val="-1"/>
        <c:crossBetween val="midCat"/>
      </c:valAx>
      <c:valAx>
        <c:axId val="92629632"/>
        <c:scaling>
          <c:orientation val="minMax"/>
          <c:max val="1"/>
          <c:min val="0"/>
        </c:scaling>
        <c:axPos val="l"/>
        <c:title>
          <c:tx>
            <c:rich>
              <a:bodyPr/>
              <a:lstStyle/>
              <a:p>
                <a:pPr>
                  <a:defRPr sz="1375" b="1" i="0" u="none" strike="noStrike" baseline="0">
                    <a:solidFill>
                      <a:srgbClr val="000000"/>
                    </a:solidFill>
                    <a:latin typeface="Arial"/>
                    <a:ea typeface="Arial"/>
                    <a:cs typeface="Arial"/>
                  </a:defRPr>
                </a:pPr>
                <a:r>
                  <a:rPr lang="en-NZ"/>
                  <a:t>10Mg/(10Mg+Ca)</a:t>
                </a:r>
              </a:p>
            </c:rich>
          </c:tx>
          <c:layout>
            <c:manualLayout>
              <c:xMode val="edge"/>
              <c:yMode val="edge"/>
              <c:x val="1.4428412874583796E-2"/>
              <c:y val="0.37030995106035947"/>
            </c:manualLayout>
          </c:layout>
          <c:spPr>
            <a:noFill/>
            <a:ln w="25400">
              <a:noFill/>
            </a:ln>
          </c:spPr>
        </c:title>
        <c:numFmt formatCode="0.0" sourceLinked="0"/>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2627712"/>
        <c:crosses val="autoZero"/>
        <c:crossBetween val="midCat"/>
      </c:valAx>
      <c:spPr>
        <a:noFill/>
        <a:ln w="3175">
          <a:solidFill>
            <a:srgbClr val="000000"/>
          </a:solidFill>
          <a:prstDash val="solid"/>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4361820199778134E-2"/>
          <c:y val="0.11256117455138673"/>
          <c:w val="0.83462819089900164"/>
          <c:h val="0.84176182707993474"/>
        </c:manualLayout>
      </c:layout>
      <c:scatterChart>
        <c:scatterStyle val="smoothMarker"/>
        <c:ser>
          <c:idx val="5"/>
          <c:order val="0"/>
          <c:tx>
            <c:v>rCO2v=.0001</c:v>
          </c:tx>
          <c:spPr>
            <a:ln w="12700">
              <a:solidFill>
                <a:srgbClr val="C0C0C0"/>
              </a:solidFill>
              <a:prstDash val="solid"/>
            </a:ln>
          </c:spPr>
          <c:marker>
            <c:symbol val="none"/>
          </c:marker>
          <c:dLbls>
            <c:dLbl>
              <c:idx val="7"/>
              <c:layout>
                <c:manualLayout>
                  <c:x val="0.21475525881129495"/>
                  <c:y val="0.13115378522219792"/>
                </c:manualLayout>
              </c:layout>
              <c:tx>
                <c:rich>
                  <a:bodyPr rot="1080000" vert="horz"/>
                  <a:lstStyle/>
                  <a:p>
                    <a:pPr algn="ctr">
                      <a:defRPr sz="1200" b="0" i="0" u="none" strike="noStrike" baseline="0">
                        <a:solidFill>
                          <a:srgbClr val="969696"/>
                        </a:solidFill>
                        <a:latin typeface="Arial"/>
                        <a:ea typeface="Arial"/>
                        <a:cs typeface="Arial"/>
                      </a:defRPr>
                    </a:pPr>
                    <a:r>
                      <a:rPr lang="en-NZ"/>
                      <a:t>0.0001</a:t>
                    </a:r>
                  </a:p>
                </c:rich>
              </c:tx>
              <c:spPr>
                <a:noFill/>
                <a:ln w="25400">
                  <a:noFill/>
                </a:ln>
              </c:spPr>
              <c:dLblPos val="r"/>
            </c:dLbl>
            <c:delete val="1"/>
          </c:dLbls>
          <c:xVal>
            <c:numRef>
              <c:f>Ref!$H$31:$H$48</c:f>
              <c:numCache>
                <c:formatCode>0.00</c:formatCode>
                <c:ptCount val="18"/>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pt idx="16">
                  <c:v>7.2465543644716703</c:v>
                </c:pt>
                <c:pt idx="17">
                  <c:v>7.6363636363636376</c:v>
                </c:pt>
              </c:numCache>
            </c:numRef>
          </c:xVal>
          <c:yVal>
            <c:numRef>
              <c:f>Ref!$K$31:$K$48</c:f>
              <c:numCache>
                <c:formatCode>0.0</c:formatCode>
                <c:ptCount val="18"/>
                <c:pt idx="0">
                  <c:v>-2.0331309904153354</c:v>
                </c:pt>
                <c:pt idx="1">
                  <c:v>-1.6401501501501503</c:v>
                </c:pt>
                <c:pt idx="2">
                  <c:v>-1.2916997167138815</c:v>
                </c:pt>
                <c:pt idx="3">
                  <c:v>-0.98061662198391453</c:v>
                </c:pt>
                <c:pt idx="4">
                  <c:v>-0.70119592875318126</c:v>
                </c:pt>
                <c:pt idx="5">
                  <c:v>-0.44883777239709488</c:v>
                </c:pt>
                <c:pt idx="6">
                  <c:v>-0.21979214780600476</c:v>
                </c:pt>
                <c:pt idx="7">
                  <c:v>-1.097130242825628E-2</c:v>
                </c:pt>
                <c:pt idx="8">
                  <c:v>0.18019027484143724</c:v>
                </c:pt>
                <c:pt idx="9">
                  <c:v>0.35584178498985786</c:v>
                </c:pt>
                <c:pt idx="10">
                  <c:v>0.5177972709551657</c:v>
                </c:pt>
                <c:pt idx="11">
                  <c:v>0.66759849906191349</c:v>
                </c:pt>
                <c:pt idx="12">
                  <c:v>0.80656419529837242</c:v>
                </c:pt>
                <c:pt idx="13">
                  <c:v>0.93582897033158785</c:v>
                </c:pt>
                <c:pt idx="14">
                  <c:v>1.0563743676222597</c:v>
                </c:pt>
                <c:pt idx="15">
                  <c:v>1.1690538336052199</c:v>
                </c:pt>
                <c:pt idx="16">
                  <c:v>1.3737059724349154</c:v>
                </c:pt>
                <c:pt idx="17">
                  <c:v>1.5547330447330445</c:v>
                </c:pt>
              </c:numCache>
            </c:numRef>
          </c:yVal>
          <c:smooth val="1"/>
        </c:ser>
        <c:ser>
          <c:idx val="6"/>
          <c:order val="2"/>
          <c:tx>
            <c:v>rCO2v=0.001</c:v>
          </c:tx>
          <c:spPr>
            <a:ln w="12700">
              <a:solidFill>
                <a:srgbClr val="C0C0C0"/>
              </a:solidFill>
              <a:prstDash val="solid"/>
            </a:ln>
          </c:spPr>
          <c:marker>
            <c:symbol val="none"/>
          </c:marker>
          <c:dLbls>
            <c:dLbl>
              <c:idx val="9"/>
              <c:layout>
                <c:manualLayout>
                  <c:x val="0.13944541061113236"/>
                  <c:y val="9.3205739168411544E-2"/>
                </c:manualLayout>
              </c:layout>
              <c:tx>
                <c:rich>
                  <a:bodyPr rot="1020000" vert="horz"/>
                  <a:lstStyle/>
                  <a:p>
                    <a:pPr algn="ctr">
                      <a:defRPr sz="1200" b="0" i="0" u="none" strike="noStrike" baseline="0">
                        <a:solidFill>
                          <a:srgbClr val="969696"/>
                        </a:solidFill>
                        <a:latin typeface="Arial"/>
                        <a:ea typeface="Arial"/>
                        <a:cs typeface="Arial"/>
                      </a:defRPr>
                    </a:pPr>
                    <a:r>
                      <a:rPr lang="en-NZ"/>
                      <a:t>0.001</a:t>
                    </a:r>
                  </a:p>
                </c:rich>
              </c:tx>
              <c:spPr>
                <a:noFill/>
                <a:ln w="25400">
                  <a:noFill/>
                </a:ln>
              </c:spPr>
              <c:dLblPos val="r"/>
            </c:dLbl>
            <c:delete val="1"/>
          </c:dLbls>
          <c:xVal>
            <c:numRef>
              <c:f>Ref!$H$31:$H$48</c:f>
              <c:numCache>
                <c:formatCode>0.00</c:formatCode>
                <c:ptCount val="18"/>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pt idx="16">
                  <c:v>7.2465543644716703</c:v>
                </c:pt>
                <c:pt idx="17">
                  <c:v>7.6363636363636376</c:v>
                </c:pt>
              </c:numCache>
            </c:numRef>
          </c:xVal>
          <c:yVal>
            <c:numRef>
              <c:f>Ref!$L$31:$L$48</c:f>
              <c:numCache>
                <c:formatCode>0.0</c:formatCode>
                <c:ptCount val="18"/>
                <c:pt idx="0">
                  <c:v>-1.0331309904153354</c:v>
                </c:pt>
                <c:pt idx="1">
                  <c:v>-0.64015015015015031</c:v>
                </c:pt>
                <c:pt idx="2">
                  <c:v>-0.29169971671388151</c:v>
                </c:pt>
                <c:pt idx="3">
                  <c:v>1.9383378016085473E-2</c:v>
                </c:pt>
                <c:pt idx="4">
                  <c:v>0.29880407124681874</c:v>
                </c:pt>
                <c:pt idx="5">
                  <c:v>0.55116222760290512</c:v>
                </c:pt>
                <c:pt idx="6">
                  <c:v>0.78020785219399524</c:v>
                </c:pt>
                <c:pt idx="7">
                  <c:v>0.98902869757174372</c:v>
                </c:pt>
                <c:pt idx="8">
                  <c:v>1.1801902748414372</c:v>
                </c:pt>
                <c:pt idx="9">
                  <c:v>1.3558417849898579</c:v>
                </c:pt>
                <c:pt idx="10">
                  <c:v>1.5177972709551657</c:v>
                </c:pt>
                <c:pt idx="11">
                  <c:v>1.6675984990619135</c:v>
                </c:pt>
                <c:pt idx="12">
                  <c:v>1.8065641952983724</c:v>
                </c:pt>
                <c:pt idx="13">
                  <c:v>1.9358289703315879</c:v>
                </c:pt>
                <c:pt idx="14">
                  <c:v>2.0563743676222597</c:v>
                </c:pt>
                <c:pt idx="15">
                  <c:v>2.1690538336052199</c:v>
                </c:pt>
                <c:pt idx="16">
                  <c:v>2.3737059724349154</c:v>
                </c:pt>
                <c:pt idx="17">
                  <c:v>2.5547330447330445</c:v>
                </c:pt>
              </c:numCache>
            </c:numRef>
          </c:yVal>
          <c:smooth val="1"/>
        </c:ser>
        <c:ser>
          <c:idx val="7"/>
          <c:order val="3"/>
          <c:tx>
            <c:v>rCO2v=0.01</c:v>
          </c:tx>
          <c:spPr>
            <a:ln w="12700">
              <a:solidFill>
                <a:srgbClr val="C0C0C0"/>
              </a:solidFill>
              <a:prstDash val="solid"/>
            </a:ln>
          </c:spPr>
          <c:marker>
            <c:symbol val="none"/>
          </c:marker>
          <c:dLbls>
            <c:dLbl>
              <c:idx val="14"/>
              <c:layout>
                <c:manualLayout>
                  <c:x val="-3.2644393368697996E-2"/>
                  <c:y val="-3.4986491288915393E-3"/>
                </c:manualLayout>
              </c:layout>
              <c:tx>
                <c:rich>
                  <a:bodyPr rot="1080000" vert="horz"/>
                  <a:lstStyle/>
                  <a:p>
                    <a:pPr algn="ctr">
                      <a:defRPr sz="1200" b="0" i="0" u="none" strike="noStrike" baseline="0">
                        <a:solidFill>
                          <a:srgbClr val="808080"/>
                        </a:solidFill>
                        <a:latin typeface="Arial"/>
                        <a:ea typeface="Arial"/>
                        <a:cs typeface="Arial"/>
                      </a:defRPr>
                    </a:pPr>
                    <a:r>
                      <a:rPr lang="en-NZ"/>
                      <a:t>0.01</a:t>
                    </a:r>
                  </a:p>
                </c:rich>
              </c:tx>
              <c:spPr>
                <a:noFill/>
                <a:ln w="25400">
                  <a:noFill/>
                </a:ln>
              </c:spPr>
              <c:dLblPos val="r"/>
            </c:dLbl>
            <c:delete val="1"/>
          </c:dLbls>
          <c:xVal>
            <c:numRef>
              <c:f>Ref!$H$31:$H$48</c:f>
              <c:numCache>
                <c:formatCode>0.00</c:formatCode>
                <c:ptCount val="18"/>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pt idx="16">
                  <c:v>7.2465543644716703</c:v>
                </c:pt>
                <c:pt idx="17">
                  <c:v>7.6363636363636376</c:v>
                </c:pt>
              </c:numCache>
            </c:numRef>
          </c:xVal>
          <c:yVal>
            <c:numRef>
              <c:f>Ref!$M$31:$M$48</c:f>
              <c:numCache>
                <c:formatCode>0.0</c:formatCode>
                <c:ptCount val="18"/>
                <c:pt idx="0">
                  <c:v>-3.3130990415335404E-2</c:v>
                </c:pt>
                <c:pt idx="1">
                  <c:v>0.35984984984984969</c:v>
                </c:pt>
                <c:pt idx="2">
                  <c:v>0.70830028328611849</c:v>
                </c:pt>
                <c:pt idx="3">
                  <c:v>1.0193833780160855</c:v>
                </c:pt>
                <c:pt idx="4">
                  <c:v>1.2988040712468187</c:v>
                </c:pt>
                <c:pt idx="5">
                  <c:v>1.5511622276029051</c:v>
                </c:pt>
                <c:pt idx="6">
                  <c:v>1.7802078521939952</c:v>
                </c:pt>
                <c:pt idx="7">
                  <c:v>1.9890286975717437</c:v>
                </c:pt>
                <c:pt idx="8">
                  <c:v>2.1801902748414372</c:v>
                </c:pt>
                <c:pt idx="9">
                  <c:v>2.3558417849898579</c:v>
                </c:pt>
                <c:pt idx="10">
                  <c:v>2.5177972709551657</c:v>
                </c:pt>
                <c:pt idx="11">
                  <c:v>2.6675984990619135</c:v>
                </c:pt>
                <c:pt idx="12">
                  <c:v>2.8065641952983724</c:v>
                </c:pt>
                <c:pt idx="13">
                  <c:v>2.9358289703315879</c:v>
                </c:pt>
                <c:pt idx="14">
                  <c:v>3.0563743676222597</c:v>
                </c:pt>
                <c:pt idx="15">
                  <c:v>3.1690538336052199</c:v>
                </c:pt>
                <c:pt idx="16">
                  <c:v>3.3737059724349154</c:v>
                </c:pt>
                <c:pt idx="17">
                  <c:v>3.5547330447330445</c:v>
                </c:pt>
              </c:numCache>
            </c:numRef>
          </c:yVal>
          <c:smooth val="1"/>
        </c:ser>
        <c:ser>
          <c:idx val="12"/>
          <c:order val="4"/>
          <c:tx>
            <c:v>rCO2v=0.1</c:v>
          </c:tx>
          <c:spPr>
            <a:ln w="12700">
              <a:solidFill>
                <a:srgbClr val="C0C0C0"/>
              </a:solidFill>
              <a:prstDash val="solid"/>
            </a:ln>
          </c:spPr>
          <c:marker>
            <c:symbol val="none"/>
          </c:marker>
          <c:dLbls>
            <c:dLbl>
              <c:idx val="14"/>
              <c:layout>
                <c:manualLayout>
                  <c:x val="1.761821947617301E-3"/>
                  <c:y val="1.7450086275920297E-2"/>
                </c:manualLayout>
              </c:layout>
              <c:tx>
                <c:rich>
                  <a:bodyPr rot="1500000" vert="horz"/>
                  <a:lstStyle/>
                  <a:p>
                    <a:pPr algn="ctr">
                      <a:defRPr sz="1200" b="0" i="0" u="none" strike="noStrike" baseline="0">
                        <a:solidFill>
                          <a:srgbClr val="808080"/>
                        </a:solidFill>
                        <a:latin typeface="Arial"/>
                        <a:ea typeface="Arial"/>
                        <a:cs typeface="Arial"/>
                      </a:defRPr>
                    </a:pPr>
                    <a:r>
                      <a:rPr lang="en-NZ"/>
                      <a:t>0.1</a:t>
                    </a:r>
                  </a:p>
                </c:rich>
              </c:tx>
              <c:spPr>
                <a:solidFill>
                  <a:srgbClr val="FFFFFF"/>
                </a:solidFill>
                <a:ln w="25400">
                  <a:noFill/>
                </a:ln>
              </c:spPr>
              <c:dLblPos val="r"/>
            </c:dLbl>
            <c:delete val="1"/>
          </c:dLbls>
          <c:xVal>
            <c:numRef>
              <c:f>Ref!$H$31:$H$48</c:f>
              <c:numCache>
                <c:formatCode>0.00</c:formatCode>
                <c:ptCount val="18"/>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pt idx="16">
                  <c:v>7.2465543644716703</c:v>
                </c:pt>
                <c:pt idx="17">
                  <c:v>7.6363636363636376</c:v>
                </c:pt>
              </c:numCache>
            </c:numRef>
          </c:xVal>
          <c:yVal>
            <c:numRef>
              <c:f>Ref!$N$31:$N$48</c:f>
              <c:numCache>
                <c:formatCode>0.0</c:formatCode>
                <c:ptCount val="18"/>
                <c:pt idx="0">
                  <c:v>0.9668690095846646</c:v>
                </c:pt>
                <c:pt idx="1">
                  <c:v>1.3598498498498497</c:v>
                </c:pt>
                <c:pt idx="2">
                  <c:v>1.7083002832861185</c:v>
                </c:pt>
                <c:pt idx="3">
                  <c:v>2.0193833780160855</c:v>
                </c:pt>
                <c:pt idx="4">
                  <c:v>2.2988040712468187</c:v>
                </c:pt>
                <c:pt idx="5">
                  <c:v>2.5511622276029051</c:v>
                </c:pt>
                <c:pt idx="6">
                  <c:v>2.7802078521939952</c:v>
                </c:pt>
                <c:pt idx="7">
                  <c:v>2.9890286975717437</c:v>
                </c:pt>
                <c:pt idx="8">
                  <c:v>3.1801902748414372</c:v>
                </c:pt>
                <c:pt idx="9">
                  <c:v>3.3558417849898579</c:v>
                </c:pt>
                <c:pt idx="10">
                  <c:v>3.5177972709551657</c:v>
                </c:pt>
                <c:pt idx="11">
                  <c:v>3.6675984990619135</c:v>
                </c:pt>
                <c:pt idx="12">
                  <c:v>3.8065641952983724</c:v>
                </c:pt>
                <c:pt idx="13">
                  <c:v>3.9358289703315879</c:v>
                </c:pt>
                <c:pt idx="14">
                  <c:v>4.0563743676222597</c:v>
                </c:pt>
                <c:pt idx="15">
                  <c:v>4.1690538336052203</c:v>
                </c:pt>
                <c:pt idx="16">
                  <c:v>4.3737059724349159</c:v>
                </c:pt>
                <c:pt idx="17">
                  <c:v>4.5547330447330445</c:v>
                </c:pt>
              </c:numCache>
            </c:numRef>
          </c:yVal>
          <c:smooth val="1"/>
        </c:ser>
        <c:ser>
          <c:idx val="8"/>
          <c:order val="5"/>
          <c:tx>
            <c:v>rCO2liq=0.00001</c:v>
          </c:tx>
          <c:spPr>
            <a:ln w="12700">
              <a:solidFill>
                <a:srgbClr val="C0C0C0"/>
              </a:solidFill>
              <a:prstDash val="solid"/>
            </a:ln>
          </c:spPr>
          <c:marker>
            <c:symbol val="none"/>
          </c:marker>
          <c:dLbls>
            <c:dLbl>
              <c:idx val="1"/>
              <c:layout>
                <c:manualLayout>
                  <c:x val="-5.2864213282995592E-2"/>
                  <c:y val="-7.8755571540507132E-3"/>
                </c:manualLayout>
              </c:layout>
              <c:tx>
                <c:rich>
                  <a:bodyPr rot="420000" vert="horz"/>
                  <a:lstStyle/>
                  <a:p>
                    <a:pPr algn="ctr">
                      <a:defRPr sz="1200" b="0" i="0" u="none" strike="noStrike" baseline="0">
                        <a:solidFill>
                          <a:srgbClr val="808080"/>
                        </a:solidFill>
                        <a:latin typeface="Arial"/>
                        <a:ea typeface="Arial"/>
                        <a:cs typeface="Arial"/>
                      </a:defRPr>
                    </a:pPr>
                    <a:r>
                      <a:rPr lang="en-NZ"/>
                      <a:t>0.00001</a:t>
                    </a:r>
                  </a:p>
                </c:rich>
              </c:tx>
              <c:spPr>
                <a:solidFill>
                  <a:srgbClr val="FFFFFF"/>
                </a:solidFill>
                <a:ln w="25400">
                  <a:noFill/>
                </a:ln>
              </c:spPr>
              <c:dLblPos val="r"/>
            </c:dLbl>
            <c:delete val="1"/>
          </c:dLbls>
          <c:xVal>
            <c:numRef>
              <c:f>Ref!$H$31:$H$47</c:f>
              <c:numCache>
                <c:formatCode>0.00</c:formatCode>
                <c:ptCount val="17"/>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pt idx="16">
                  <c:v>7.2465543644716703</c:v>
                </c:pt>
              </c:numCache>
            </c:numRef>
          </c:xVal>
          <c:yVal>
            <c:numRef>
              <c:f>Ref!$O$31:$O$47</c:f>
              <c:numCache>
                <c:formatCode>0.0</c:formatCode>
                <c:ptCount val="17"/>
                <c:pt idx="0">
                  <c:v>1.2900690095846645</c:v>
                </c:pt>
                <c:pt idx="1">
                  <c:v>1.4646498498498495</c:v>
                </c:pt>
                <c:pt idx="2">
                  <c:v>1.5947002832861183</c:v>
                </c:pt>
                <c:pt idx="3">
                  <c:v>1.6873833780160854</c:v>
                </c:pt>
                <c:pt idx="4">
                  <c:v>1.7484040712468185</c:v>
                </c:pt>
                <c:pt idx="5">
                  <c:v>1.782362227602905</c:v>
                </c:pt>
                <c:pt idx="6">
                  <c:v>1.7930078521939952</c:v>
                </c:pt>
                <c:pt idx="7">
                  <c:v>1.7834286975717437</c:v>
                </c:pt>
                <c:pt idx="8">
                  <c:v>1.7561902748414373</c:v>
                </c:pt>
                <c:pt idx="9">
                  <c:v>1.713441784989858</c:v>
                </c:pt>
                <c:pt idx="10">
                  <c:v>1.6569972709551655</c:v>
                </c:pt>
                <c:pt idx="11">
                  <c:v>1.5883984990619133</c:v>
                </c:pt>
                <c:pt idx="12">
                  <c:v>1.5089641952983728</c:v>
                </c:pt>
                <c:pt idx="13">
                  <c:v>1.4198289703315883</c:v>
                </c:pt>
                <c:pt idx="14">
                  <c:v>1.3219743676222597</c:v>
                </c:pt>
                <c:pt idx="15">
                  <c:v>1.2162538336052204</c:v>
                </c:pt>
                <c:pt idx="16">
                  <c:v>0.98410597243491615</c:v>
                </c:pt>
              </c:numCache>
            </c:numRef>
          </c:yVal>
          <c:smooth val="1"/>
        </c:ser>
        <c:ser>
          <c:idx val="9"/>
          <c:order val="6"/>
          <c:tx>
            <c:v>rCO2 liq = 0.0001</c:v>
          </c:tx>
          <c:spPr>
            <a:ln w="12700">
              <a:solidFill>
                <a:srgbClr val="C0C0C0"/>
              </a:solidFill>
              <a:prstDash val="solid"/>
            </a:ln>
          </c:spPr>
          <c:marker>
            <c:symbol val="none"/>
          </c:marker>
          <c:dLbls>
            <c:dLbl>
              <c:idx val="1"/>
              <c:layout>
                <c:manualLayout>
                  <c:x val="-4.6204945802418441E-2"/>
                  <c:y val="-6.3668631959341616E-3"/>
                </c:manualLayout>
              </c:layout>
              <c:tx>
                <c:rich>
                  <a:bodyPr rot="480000" vert="horz"/>
                  <a:lstStyle/>
                  <a:p>
                    <a:pPr algn="ctr">
                      <a:defRPr sz="1200" b="0" i="0" u="none" strike="noStrike" baseline="0">
                        <a:solidFill>
                          <a:srgbClr val="808080"/>
                        </a:solidFill>
                        <a:latin typeface="Arial"/>
                        <a:ea typeface="Arial"/>
                        <a:cs typeface="Arial"/>
                      </a:defRPr>
                    </a:pPr>
                    <a:r>
                      <a:rPr lang="en-NZ"/>
                      <a:t>0.0001</a:t>
                    </a:r>
                  </a:p>
                </c:rich>
              </c:tx>
              <c:spPr>
                <a:solidFill>
                  <a:srgbClr val="FFFFFF"/>
                </a:solidFill>
                <a:ln w="25400">
                  <a:noFill/>
                </a:ln>
              </c:spPr>
              <c:dLblPos val="r"/>
            </c:dLbl>
            <c:delete val="1"/>
          </c:dLbls>
          <c:xVal>
            <c:numRef>
              <c:f>Ref!$H$31:$H$47</c:f>
              <c:numCache>
                <c:formatCode>0.00</c:formatCode>
                <c:ptCount val="17"/>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pt idx="16">
                  <c:v>7.2465543644716703</c:v>
                </c:pt>
              </c:numCache>
            </c:numRef>
          </c:xVal>
          <c:yVal>
            <c:numRef>
              <c:f>Ref!$P$31:$P$47</c:f>
              <c:numCache>
                <c:formatCode>0.0</c:formatCode>
                <c:ptCount val="17"/>
                <c:pt idx="0">
                  <c:v>2.2900690095846645</c:v>
                </c:pt>
                <c:pt idx="1">
                  <c:v>2.4646498498498497</c:v>
                </c:pt>
                <c:pt idx="2">
                  <c:v>2.5947002832861186</c:v>
                </c:pt>
                <c:pt idx="3">
                  <c:v>2.6873833780160856</c:v>
                </c:pt>
                <c:pt idx="4">
                  <c:v>2.7484040712468185</c:v>
                </c:pt>
                <c:pt idx="5">
                  <c:v>2.782362227602905</c:v>
                </c:pt>
                <c:pt idx="6">
                  <c:v>2.7930078521939952</c:v>
                </c:pt>
                <c:pt idx="7">
                  <c:v>2.7834286975717437</c:v>
                </c:pt>
                <c:pt idx="8">
                  <c:v>2.7561902748414373</c:v>
                </c:pt>
                <c:pt idx="9">
                  <c:v>2.713441784989858</c:v>
                </c:pt>
                <c:pt idx="10">
                  <c:v>2.6569972709551655</c:v>
                </c:pt>
                <c:pt idx="11">
                  <c:v>2.5883984990619133</c:v>
                </c:pt>
                <c:pt idx="12">
                  <c:v>2.5089641952983728</c:v>
                </c:pt>
                <c:pt idx="13">
                  <c:v>2.4198289703315883</c:v>
                </c:pt>
                <c:pt idx="14">
                  <c:v>2.3219743676222597</c:v>
                </c:pt>
                <c:pt idx="15">
                  <c:v>2.2162538336052204</c:v>
                </c:pt>
                <c:pt idx="16">
                  <c:v>1.9841059724349162</c:v>
                </c:pt>
              </c:numCache>
            </c:numRef>
          </c:yVal>
          <c:smooth val="1"/>
        </c:ser>
        <c:ser>
          <c:idx val="10"/>
          <c:order val="7"/>
          <c:tx>
            <c:v>rCO2 liq = 0.001</c:v>
          </c:tx>
          <c:spPr>
            <a:ln w="12700">
              <a:solidFill>
                <a:srgbClr val="C0C0C0"/>
              </a:solidFill>
              <a:prstDash val="solid"/>
            </a:ln>
          </c:spPr>
          <c:marker>
            <c:symbol val="none"/>
          </c:marker>
          <c:dLbls>
            <c:dLbl>
              <c:idx val="1"/>
              <c:layout>
                <c:manualLayout>
                  <c:x val="-4.8424701629277464E-2"/>
                  <c:y val="-5.7458478375357874E-3"/>
                </c:manualLayout>
              </c:layout>
              <c:tx>
                <c:rich>
                  <a:bodyPr rot="480000" vert="horz"/>
                  <a:lstStyle/>
                  <a:p>
                    <a:pPr algn="ctr">
                      <a:defRPr sz="1200" b="0" i="0" u="none" strike="noStrike" baseline="0">
                        <a:solidFill>
                          <a:srgbClr val="808080"/>
                        </a:solidFill>
                        <a:latin typeface="Arial"/>
                        <a:ea typeface="Arial"/>
                        <a:cs typeface="Arial"/>
                      </a:defRPr>
                    </a:pPr>
                    <a:r>
                      <a:rPr lang="en-NZ"/>
                      <a:t>0.001</a:t>
                    </a:r>
                  </a:p>
                </c:rich>
              </c:tx>
              <c:spPr>
                <a:solidFill>
                  <a:srgbClr val="FFFFFF"/>
                </a:solidFill>
                <a:ln w="25400">
                  <a:noFill/>
                </a:ln>
              </c:spPr>
              <c:dLblPos val="r"/>
            </c:dLbl>
            <c:delete val="1"/>
          </c:dLbls>
          <c:xVal>
            <c:numRef>
              <c:f>Ref!$H$31:$H$47</c:f>
              <c:numCache>
                <c:formatCode>0.00</c:formatCode>
                <c:ptCount val="17"/>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pt idx="16">
                  <c:v>7.2465543644716703</c:v>
                </c:pt>
              </c:numCache>
            </c:numRef>
          </c:xVal>
          <c:yVal>
            <c:numRef>
              <c:f>Ref!$Q$31:$Q$47</c:f>
              <c:numCache>
                <c:formatCode>0.0</c:formatCode>
                <c:ptCount val="17"/>
                <c:pt idx="0">
                  <c:v>3.2900690095846645</c:v>
                </c:pt>
                <c:pt idx="1">
                  <c:v>3.4646498498498497</c:v>
                </c:pt>
                <c:pt idx="2">
                  <c:v>3.5947002832861186</c:v>
                </c:pt>
                <c:pt idx="3">
                  <c:v>3.6873833780160856</c:v>
                </c:pt>
                <c:pt idx="4">
                  <c:v>3.7484040712468185</c:v>
                </c:pt>
                <c:pt idx="5">
                  <c:v>3.782362227602905</c:v>
                </c:pt>
                <c:pt idx="6">
                  <c:v>3.7930078521939952</c:v>
                </c:pt>
                <c:pt idx="7">
                  <c:v>3.7834286975717437</c:v>
                </c:pt>
                <c:pt idx="8">
                  <c:v>3.7561902748414373</c:v>
                </c:pt>
                <c:pt idx="9">
                  <c:v>3.713441784989858</c:v>
                </c:pt>
                <c:pt idx="10">
                  <c:v>3.6569972709551655</c:v>
                </c:pt>
                <c:pt idx="11">
                  <c:v>3.5883984990619133</c:v>
                </c:pt>
                <c:pt idx="12">
                  <c:v>3.5089641952983728</c:v>
                </c:pt>
                <c:pt idx="13">
                  <c:v>3.4198289703315883</c:v>
                </c:pt>
                <c:pt idx="14">
                  <c:v>3.3219743676222597</c:v>
                </c:pt>
                <c:pt idx="15">
                  <c:v>3.2162538336052204</c:v>
                </c:pt>
                <c:pt idx="16">
                  <c:v>2.9841059724349162</c:v>
                </c:pt>
              </c:numCache>
            </c:numRef>
          </c:yVal>
          <c:smooth val="1"/>
        </c:ser>
        <c:ser>
          <c:idx val="11"/>
          <c:order val="8"/>
          <c:tx>
            <c:v>rCO2 liq = 0.01</c:v>
          </c:tx>
          <c:spPr>
            <a:ln w="12700">
              <a:solidFill>
                <a:srgbClr val="C0C0C0"/>
              </a:solidFill>
              <a:prstDash val="solid"/>
            </a:ln>
          </c:spPr>
          <c:marker>
            <c:symbol val="none"/>
          </c:marker>
          <c:dLbls>
            <c:dLbl>
              <c:idx val="1"/>
              <c:layout>
                <c:manualLayout>
                  <c:x val="-5.9523480763572709E-2"/>
                  <c:y val="-1.0371949835798085E-3"/>
                </c:manualLayout>
              </c:layout>
              <c:tx>
                <c:rich>
                  <a:bodyPr rot="360000" vert="horz"/>
                  <a:lstStyle/>
                  <a:p>
                    <a:pPr algn="ctr">
                      <a:defRPr sz="1200" b="0" i="0" u="none" strike="noStrike" baseline="0">
                        <a:solidFill>
                          <a:srgbClr val="808080"/>
                        </a:solidFill>
                        <a:latin typeface="Arial"/>
                        <a:ea typeface="Arial"/>
                        <a:cs typeface="Arial"/>
                      </a:defRPr>
                    </a:pPr>
                    <a:r>
                      <a:rPr lang="en-NZ"/>
                      <a:t>rCO2 liquid = 0.01</a:t>
                    </a:r>
                  </a:p>
                </c:rich>
              </c:tx>
              <c:spPr>
                <a:solidFill>
                  <a:srgbClr val="FFFFFF"/>
                </a:solidFill>
                <a:ln w="25400">
                  <a:noFill/>
                </a:ln>
              </c:spPr>
              <c:dLblPos val="r"/>
            </c:dLbl>
            <c:delete val="1"/>
          </c:dLbls>
          <c:xVal>
            <c:numRef>
              <c:f>Ref!$H$31:$H$47</c:f>
              <c:numCache>
                <c:formatCode>0.00</c:formatCode>
                <c:ptCount val="17"/>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pt idx="16">
                  <c:v>7.2465543644716703</c:v>
                </c:pt>
              </c:numCache>
            </c:numRef>
          </c:xVal>
          <c:yVal>
            <c:numRef>
              <c:f>Ref!$R$31:$R$47</c:f>
              <c:numCache>
                <c:formatCode>0.0</c:formatCode>
                <c:ptCount val="17"/>
                <c:pt idx="0">
                  <c:v>4.2900690095846645</c:v>
                </c:pt>
                <c:pt idx="1">
                  <c:v>4.4646498498498497</c:v>
                </c:pt>
                <c:pt idx="2">
                  <c:v>4.5947002832861186</c:v>
                </c:pt>
                <c:pt idx="3">
                  <c:v>4.6873833780160856</c:v>
                </c:pt>
                <c:pt idx="4">
                  <c:v>4.748404071246819</c:v>
                </c:pt>
                <c:pt idx="5">
                  <c:v>4.7823622276029045</c:v>
                </c:pt>
                <c:pt idx="6">
                  <c:v>4.7930078521939947</c:v>
                </c:pt>
                <c:pt idx="7">
                  <c:v>4.7834286975717433</c:v>
                </c:pt>
                <c:pt idx="8">
                  <c:v>4.7561902748414369</c:v>
                </c:pt>
                <c:pt idx="9">
                  <c:v>4.7134417849898576</c:v>
                </c:pt>
                <c:pt idx="10">
                  <c:v>4.6569972709551655</c:v>
                </c:pt>
                <c:pt idx="11">
                  <c:v>4.5883984990619133</c:v>
                </c:pt>
                <c:pt idx="12">
                  <c:v>4.5089641952983728</c:v>
                </c:pt>
                <c:pt idx="13">
                  <c:v>4.4198289703315883</c:v>
                </c:pt>
                <c:pt idx="14">
                  <c:v>4.3219743676222597</c:v>
                </c:pt>
                <c:pt idx="15">
                  <c:v>4.2162538336052204</c:v>
                </c:pt>
                <c:pt idx="16">
                  <c:v>3.9841059724349162</c:v>
                </c:pt>
              </c:numCache>
            </c:numRef>
          </c:yVal>
          <c:smooth val="1"/>
        </c:ser>
        <c:ser>
          <c:idx val="4"/>
          <c:order val="9"/>
          <c:tx>
            <c:v>ROCKS</c:v>
          </c:tx>
          <c:spPr>
            <a:ln w="28575">
              <a:noFill/>
            </a:ln>
          </c:spPr>
          <c:marker>
            <c:symbol val="square"/>
            <c:size val="7"/>
            <c:spPr>
              <a:solidFill>
                <a:srgbClr val="C0C0C0"/>
              </a:solidFill>
              <a:ln>
                <a:solidFill>
                  <a:srgbClr val="800080"/>
                </a:solidFill>
                <a:prstDash val="solid"/>
              </a:ln>
            </c:spPr>
          </c:marker>
          <c:dLbls>
            <c:dLbl>
              <c:idx val="0"/>
              <c:delete val="1"/>
            </c:dLbl>
            <c:dLbl>
              <c:idx val="1"/>
              <c:layout/>
              <c:tx>
                <c:strRef>
                  <c:f>Ref!$B$5</c:f>
                  <c:strCache>
                    <c:ptCount val="1"/>
                    <c:pt idx="0">
                      <c:v>Diorite</c:v>
                    </c:pt>
                  </c:strCache>
                </c:strRef>
              </c:tx>
            </c:dLbl>
            <c:dLbl>
              <c:idx val="2"/>
              <c:layout/>
              <c:tx>
                <c:strRef>
                  <c:f>Ref!$B$6</c:f>
                  <c:strCache>
                    <c:ptCount val="1"/>
                    <c:pt idx="0">
                      <c:v>Basalt</c:v>
                    </c:pt>
                  </c:strCache>
                </c:strRef>
              </c:tx>
            </c:dLbl>
            <c:dLbl>
              <c:idx val="3"/>
              <c:layout/>
              <c:tx>
                <c:strRef>
                  <c:f>Ref!$B$7</c:f>
                  <c:strCache>
                    <c:ptCount val="1"/>
                    <c:pt idx="0">
                      <c:v>Ultramafic</c:v>
                    </c:pt>
                  </c:strCache>
                </c:strRef>
              </c:tx>
            </c:dLbl>
            <c:dLbl>
              <c:idx val="4"/>
              <c:layout/>
              <c:tx>
                <c:strRef>
                  <c:f>Ref!$B$8</c:f>
                  <c:strCache>
                    <c:ptCount val="1"/>
                    <c:pt idx="0">
                      <c:v>Limestone</c:v>
                    </c:pt>
                  </c:strCache>
                </c:strRef>
              </c:tx>
            </c:dLbl>
            <c:dLbl>
              <c:idx val="5"/>
              <c:layout/>
              <c:tx>
                <c:strRef>
                  <c:f>Ref!$B$9</c:f>
                  <c:strCache>
                    <c:ptCount val="1"/>
                    <c:pt idx="0">
                      <c:v>Sandstone</c:v>
                    </c:pt>
                  </c:strCache>
                </c:strRef>
              </c:tx>
            </c:dLbl>
            <c:dLbl>
              <c:idx val="6"/>
              <c:layout/>
              <c:tx>
                <c:strRef>
                  <c:f>Ref!$B$10</c:f>
                  <c:strCache>
                    <c:ptCount val="1"/>
                    <c:pt idx="0">
                      <c:v>Shale</c:v>
                    </c:pt>
                  </c:strCache>
                </c:strRef>
              </c:tx>
            </c:dLbl>
            <c:dLbl>
              <c:idx val="7"/>
              <c:layout/>
              <c:tx>
                <c:strRef>
                  <c:f>Ref!$B$11</c:f>
                  <c:strCache>
                    <c:ptCount val="1"/>
                    <c:pt idx="0">
                      <c:v>Seawater</c:v>
                    </c:pt>
                  </c:strCache>
                </c:strRef>
              </c:tx>
            </c:dLbl>
            <c:spPr>
              <a:noFill/>
              <a:ln w="25400">
                <a:noFill/>
              </a:ln>
            </c:spPr>
            <c:txPr>
              <a:bodyPr/>
              <a:lstStyle/>
              <a:p>
                <a:pPr>
                  <a:defRPr sz="1200" b="0" i="0" u="none" strike="noStrike" baseline="0">
                    <a:solidFill>
                      <a:srgbClr val="808080"/>
                    </a:solidFill>
                    <a:latin typeface="Arial"/>
                    <a:ea typeface="Arial"/>
                    <a:cs typeface="Arial"/>
                  </a:defRPr>
                </a:pPr>
                <a:endParaRPr lang="en-US"/>
              </a:p>
            </c:txPr>
            <c:showVal val="1"/>
          </c:dLbls>
          <c:xVal>
            <c:numRef>
              <c:f>Ref!$AT$4:$AT$11</c:f>
              <c:numCache>
                <c:formatCode>0.00</c:formatCode>
                <c:ptCount val="8"/>
                <c:pt idx="0">
                  <c:v>5.4887856607755285</c:v>
                </c:pt>
                <c:pt idx="1">
                  <c:v>4.1003705451175634</c:v>
                </c:pt>
                <c:pt idx="2">
                  <c:v>3.849937025807721</c:v>
                </c:pt>
                <c:pt idx="3">
                  <c:v>2.4921441283041688</c:v>
                </c:pt>
                <c:pt idx="4">
                  <c:v>2.0566154181488834</c:v>
                </c:pt>
                <c:pt idx="5">
                  <c:v>4.9912260756924951</c:v>
                </c:pt>
                <c:pt idx="6">
                  <c:v>4.6410532533557332</c:v>
                </c:pt>
                <c:pt idx="7">
                  <c:v>2.0550800819212252</c:v>
                </c:pt>
              </c:numCache>
            </c:numRef>
          </c:xVal>
          <c:yVal>
            <c:numRef>
              <c:f>Ref!$AU$4:$AU$11</c:f>
              <c:numCache>
                <c:formatCode>0.00</c:formatCode>
                <c:ptCount val="8"/>
                <c:pt idx="0">
                  <c:v>5.0628169285032474</c:v>
                </c:pt>
                <c:pt idx="1">
                  <c:v>3.8450980400142569</c:v>
                </c:pt>
                <c:pt idx="2">
                  <c:v>3.6081171952607454</c:v>
                </c:pt>
                <c:pt idx="3">
                  <c:v>3.3565473235138121</c:v>
                </c:pt>
                <c:pt idx="4">
                  <c:v>1.3248329103366059</c:v>
                </c:pt>
                <c:pt idx="5">
                  <c:v>4.2922560713564764</c:v>
                </c:pt>
                <c:pt idx="6">
                  <c:v>4.8171445124114136</c:v>
                </c:pt>
                <c:pt idx="7">
                  <c:v>2.5575072019056577</c:v>
                </c:pt>
              </c:numCache>
            </c:numRef>
          </c:yVal>
          <c:smooth val="1"/>
        </c:ser>
        <c:ser>
          <c:idx val="2"/>
          <c:order val="10"/>
          <c:tx>
            <c:v>label points</c:v>
          </c:tx>
          <c:spPr>
            <a:ln w="28575">
              <a:noFill/>
            </a:ln>
          </c:spPr>
          <c:marker>
            <c:symbol val="none"/>
          </c:marker>
          <c:dLbls>
            <c:dLbl>
              <c:idx val="0"/>
              <c:layout>
                <c:manualLayout>
                  <c:x val="-0.35198033098249037"/>
                  <c:y val="-0.42226766515523295"/>
                </c:manualLayout>
              </c:layout>
              <c:tx>
                <c:rich>
                  <a:bodyPr rot="1560000" vert="horz"/>
                  <a:lstStyle/>
                  <a:p>
                    <a:pPr algn="ctr">
                      <a:defRPr sz="1200" b="1" i="0" u="none" strike="noStrike" baseline="0">
                        <a:solidFill>
                          <a:srgbClr val="808080"/>
                        </a:solidFill>
                        <a:latin typeface="Arial"/>
                        <a:ea typeface="Arial"/>
                        <a:cs typeface="Arial"/>
                      </a:defRPr>
                    </a:pPr>
                    <a:r>
                      <a:rPr lang="en-NZ"/>
                      <a:t>Calcite Undersaturated</a:t>
                    </a:r>
                  </a:p>
                </c:rich>
              </c:tx>
              <c:spPr>
                <a:noFill/>
                <a:ln w="25400">
                  <a:noFill/>
                </a:ln>
              </c:spPr>
              <c:dLblPos val="r"/>
            </c:dLbl>
            <c:dLbl>
              <c:idx val="1"/>
              <c:delete val="1"/>
            </c:dLbl>
            <c:dLbl>
              <c:idx val="2"/>
              <c:delete val="1"/>
            </c:dLbl>
            <c:dLbl>
              <c:idx val="3"/>
              <c:layout>
                <c:manualLayout>
                  <c:x val="-0.87559684340234389"/>
                  <c:y val="0"/>
                </c:manualLayout>
              </c:layout>
              <c:tx>
                <c:rich>
                  <a:bodyPr rot="1500000" vert="horz"/>
                  <a:lstStyle/>
                  <a:p>
                    <a:pPr algn="ctr">
                      <a:defRPr sz="1450" b="1" i="0" u="none" strike="noStrike" baseline="0">
                        <a:solidFill>
                          <a:srgbClr val="808080"/>
                        </a:solidFill>
                        <a:latin typeface="Arial"/>
                        <a:ea typeface="Arial"/>
                        <a:cs typeface="Arial"/>
                      </a:defRPr>
                    </a:pPr>
                    <a:r>
                      <a:rPr lang="en-NZ"/>
                      <a:t>Calcite Formation</a:t>
                    </a:r>
                  </a:p>
                </c:rich>
              </c:tx>
              <c:spPr>
                <a:noFill/>
                <a:ln w="25400">
                  <a:noFill/>
                </a:ln>
              </c:spPr>
              <c:dLblPos val="r"/>
            </c:dLbl>
            <c:spPr>
              <a:noFill/>
              <a:ln w="25400">
                <a:noFill/>
              </a:ln>
            </c:spPr>
            <c:txPr>
              <a:bodyPr/>
              <a:lstStyle/>
              <a:p>
                <a:pPr>
                  <a:defRPr sz="1075" b="0" i="0" u="none" strike="noStrike" baseline="0">
                    <a:solidFill>
                      <a:srgbClr val="000000"/>
                    </a:solidFill>
                    <a:latin typeface="Arial"/>
                    <a:ea typeface="Arial"/>
                    <a:cs typeface="Arial"/>
                  </a:defRPr>
                </a:pPr>
                <a:endParaRPr lang="en-US"/>
              </a:p>
            </c:txPr>
            <c:showVal val="1"/>
          </c:dLbls>
          <c:xVal>
            <c:numRef>
              <c:f>Ref!$H$47:$H$50</c:f>
              <c:numCache>
                <c:formatCode>0.00</c:formatCode>
                <c:ptCount val="4"/>
                <c:pt idx="0">
                  <c:v>7.2465543644716703</c:v>
                </c:pt>
                <c:pt idx="1">
                  <c:v>7.6363636363636376</c:v>
                </c:pt>
                <c:pt idx="2">
                  <c:v>8.6415552855407043</c:v>
                </c:pt>
              </c:numCache>
            </c:numRef>
          </c:xVal>
          <c:yVal>
            <c:numRef>
              <c:f>Ref!$I$47:$I$50</c:f>
              <c:numCache>
                <c:formatCode>0.0</c:formatCode>
                <c:ptCount val="4"/>
                <c:pt idx="0">
                  <c:v>5.6039999999999992</c:v>
                </c:pt>
                <c:pt idx="1">
                  <c:v>6.2759999999999998</c:v>
                </c:pt>
                <c:pt idx="2">
                  <c:v>8.4600000000000026</c:v>
                </c:pt>
              </c:numCache>
            </c:numRef>
          </c:yVal>
          <c:smooth val="1"/>
        </c:ser>
        <c:ser>
          <c:idx val="0"/>
          <c:order val="11"/>
          <c:tx>
            <c:v>Equilibration line</c:v>
          </c:tx>
          <c:spPr>
            <a:ln w="25400">
              <a:solidFill>
                <a:srgbClr val="808080"/>
              </a:solidFill>
              <a:prstDash val="solid"/>
            </a:ln>
          </c:spPr>
          <c:marker>
            <c:symbol val="plus"/>
            <c:size val="7"/>
            <c:spPr>
              <a:noFill/>
              <a:ln>
                <a:solidFill>
                  <a:srgbClr val="808080"/>
                </a:solidFill>
                <a:prstDash val="solid"/>
              </a:ln>
            </c:spPr>
          </c:marker>
          <c:dLbls>
            <c:dLbl>
              <c:idx val="0"/>
              <c:layout>
                <c:manualLayout>
                  <c:x val="1.1035973444495913E-2"/>
                  <c:y val="8.8822322984504792E-2"/>
                </c:manualLayout>
              </c:layout>
              <c:tx>
                <c:rich>
                  <a:bodyPr rot="1200000" vert="horz"/>
                  <a:lstStyle/>
                  <a:p>
                    <a:pPr algn="ctr">
                      <a:defRPr sz="1400" b="1" i="0" u="none" strike="noStrike" baseline="0">
                        <a:solidFill>
                          <a:srgbClr val="808080"/>
                        </a:solidFill>
                        <a:latin typeface="Arial"/>
                        <a:ea typeface="Arial"/>
                        <a:cs typeface="Arial"/>
                      </a:defRPr>
                    </a:pPr>
                    <a:r>
                      <a:rPr lang="en-NZ"/>
                      <a:t>Calcite Formation</a:t>
                    </a:r>
                  </a:p>
                </c:rich>
              </c:tx>
              <c:spPr>
                <a:noFill/>
                <a:ln w="25400">
                  <a:noFill/>
                </a:ln>
              </c:spPr>
              <c:dLblPos val="r"/>
            </c:dLbl>
            <c:dLbl>
              <c:idx val="1"/>
              <c:delete val="1"/>
            </c:dLbl>
            <c:dLbl>
              <c:idx val="2"/>
              <c:layout/>
              <c:tx>
                <c:strRef>
                  <c:f>Ref!$B$33</c:f>
                  <c:strCache>
                    <c:ptCount val="1"/>
                    <c:pt idx="0">
                      <c:v>80</c:v>
                    </c:pt>
                  </c:strCache>
                </c:strRef>
              </c:tx>
              <c:dLblPos val="t"/>
            </c:dLbl>
            <c:dLbl>
              <c:idx val="3"/>
              <c:layout/>
              <c:tx>
                <c:strRef>
                  <c:f>Ref!$B$34</c:f>
                  <c:strCache>
                    <c:ptCount val="1"/>
                    <c:pt idx="0">
                      <c:v>100</c:v>
                    </c:pt>
                  </c:strCache>
                </c:strRef>
              </c:tx>
              <c:dLblPos val="t"/>
            </c:dLbl>
            <c:dLbl>
              <c:idx val="4"/>
              <c:layout/>
              <c:tx>
                <c:strRef>
                  <c:f>Ref!$B$35</c:f>
                  <c:strCache>
                    <c:ptCount val="1"/>
                    <c:pt idx="0">
                      <c:v>120</c:v>
                    </c:pt>
                  </c:strCache>
                </c:strRef>
              </c:tx>
              <c:dLblPos val="t"/>
            </c:dLbl>
            <c:dLbl>
              <c:idx val="5"/>
              <c:layout/>
              <c:tx>
                <c:strRef>
                  <c:f>Ref!$B$36</c:f>
                  <c:strCache>
                    <c:ptCount val="1"/>
                    <c:pt idx="0">
                      <c:v>140</c:v>
                    </c:pt>
                  </c:strCache>
                </c:strRef>
              </c:tx>
              <c:dLblPos val="t"/>
            </c:dLbl>
            <c:dLbl>
              <c:idx val="6"/>
              <c:layout/>
              <c:tx>
                <c:strRef>
                  <c:f>Ref!$B$37</c:f>
                  <c:strCache>
                    <c:ptCount val="1"/>
                    <c:pt idx="0">
                      <c:v>160</c:v>
                    </c:pt>
                  </c:strCache>
                </c:strRef>
              </c:tx>
              <c:dLblPos val="t"/>
            </c:dLbl>
            <c:dLbl>
              <c:idx val="7"/>
              <c:layout/>
              <c:tx>
                <c:strRef>
                  <c:f>Ref!$B$38</c:f>
                  <c:strCache>
                    <c:ptCount val="1"/>
                    <c:pt idx="0">
                      <c:v>180</c:v>
                    </c:pt>
                  </c:strCache>
                </c:strRef>
              </c:tx>
              <c:dLblPos val="t"/>
            </c:dLbl>
            <c:dLbl>
              <c:idx val="8"/>
              <c:layout/>
              <c:tx>
                <c:strRef>
                  <c:f>Ref!$B$39</c:f>
                  <c:strCache>
                    <c:ptCount val="1"/>
                    <c:pt idx="0">
                      <c:v>200</c:v>
                    </c:pt>
                  </c:strCache>
                </c:strRef>
              </c:tx>
              <c:dLblPos val="t"/>
            </c:dLbl>
            <c:dLbl>
              <c:idx val="9"/>
              <c:layout/>
              <c:tx>
                <c:strRef>
                  <c:f>Ref!$B$40</c:f>
                  <c:strCache>
                    <c:ptCount val="1"/>
                    <c:pt idx="0">
                      <c:v>220</c:v>
                    </c:pt>
                  </c:strCache>
                </c:strRef>
              </c:tx>
              <c:dLblPos val="t"/>
            </c:dLbl>
            <c:dLbl>
              <c:idx val="10"/>
              <c:layout/>
              <c:tx>
                <c:strRef>
                  <c:f>Ref!$B$41</c:f>
                  <c:strCache>
                    <c:ptCount val="1"/>
                    <c:pt idx="0">
                      <c:v>240</c:v>
                    </c:pt>
                  </c:strCache>
                </c:strRef>
              </c:tx>
              <c:dLblPos val="t"/>
            </c:dLbl>
            <c:dLbl>
              <c:idx val="11"/>
              <c:layout/>
              <c:tx>
                <c:strRef>
                  <c:f>Ref!$B$42</c:f>
                  <c:strCache>
                    <c:ptCount val="1"/>
                    <c:pt idx="0">
                      <c:v>260</c:v>
                    </c:pt>
                  </c:strCache>
                </c:strRef>
              </c:tx>
              <c:dLblPos val="t"/>
            </c:dLbl>
            <c:dLbl>
              <c:idx val="12"/>
              <c:layout/>
              <c:tx>
                <c:strRef>
                  <c:f>Ref!$B$43</c:f>
                  <c:strCache>
                    <c:ptCount val="1"/>
                    <c:pt idx="0">
                      <c:v>280</c:v>
                    </c:pt>
                  </c:strCache>
                </c:strRef>
              </c:tx>
              <c:dLblPos val="t"/>
            </c:dLbl>
            <c:dLbl>
              <c:idx val="13"/>
              <c:layout/>
              <c:tx>
                <c:strRef>
                  <c:f>Ref!$B$44</c:f>
                  <c:strCache>
                    <c:ptCount val="1"/>
                    <c:pt idx="0">
                      <c:v>300</c:v>
                    </c:pt>
                  </c:strCache>
                </c:strRef>
              </c:tx>
              <c:dLblPos val="t"/>
            </c:dLbl>
            <c:dLbl>
              <c:idx val="14"/>
              <c:layout/>
              <c:tx>
                <c:strRef>
                  <c:f>Ref!$B$45</c:f>
                  <c:strCache>
                    <c:ptCount val="1"/>
                    <c:pt idx="0">
                      <c:v>320</c:v>
                    </c:pt>
                  </c:strCache>
                </c:strRef>
              </c:tx>
              <c:dLblPos val="t"/>
            </c:dLbl>
            <c:dLbl>
              <c:idx val="15"/>
              <c:layout/>
              <c:tx>
                <c:strRef>
                  <c:f>Ref!$B$46</c:f>
                  <c:strCache>
                    <c:ptCount val="1"/>
                    <c:pt idx="0">
                      <c:v>340</c:v>
                    </c:pt>
                  </c:strCache>
                </c:strRef>
              </c:tx>
              <c:dLblPos val="t"/>
            </c:dLbl>
            <c:spPr>
              <a:noFill/>
              <a:ln w="25400">
                <a:noFill/>
              </a:ln>
            </c:spPr>
            <c:txPr>
              <a:bodyPr rot="-5400000" vert="horz"/>
              <a:lstStyle/>
              <a:p>
                <a:pPr algn="ctr">
                  <a:defRPr sz="1200" b="1" i="0" u="none" strike="noStrike" baseline="0">
                    <a:solidFill>
                      <a:srgbClr val="808080"/>
                    </a:solidFill>
                    <a:latin typeface="Arial"/>
                    <a:ea typeface="Arial"/>
                    <a:cs typeface="Arial"/>
                  </a:defRPr>
                </a:pPr>
                <a:endParaRPr lang="en-US"/>
              </a:p>
            </c:txPr>
            <c:dLblPos val="t"/>
            <c:showVal val="1"/>
          </c:dLbls>
          <c:xVal>
            <c:numRef>
              <c:f>Ref!$H$31:$H$46</c:f>
              <c:numCache>
                <c:formatCode>0.00</c:formatCode>
                <c:ptCount val="16"/>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numCache>
            </c:numRef>
          </c:xVal>
          <c:yVal>
            <c:numRef>
              <c:f>Ref!$I$31:$I$46</c:f>
              <c:numCache>
                <c:formatCode>0.0</c:formatCode>
                <c:ptCount val="16"/>
                <c:pt idx="0">
                  <c:v>-0.10800000000000011</c:v>
                </c:pt>
                <c:pt idx="1">
                  <c:v>0.22799999999999995</c:v>
                </c:pt>
                <c:pt idx="2">
                  <c:v>0.56399999999999995</c:v>
                </c:pt>
                <c:pt idx="3">
                  <c:v>0.9</c:v>
                </c:pt>
                <c:pt idx="4">
                  <c:v>1.2360000000000002</c:v>
                </c:pt>
                <c:pt idx="5">
                  <c:v>1.5720000000000001</c:v>
                </c:pt>
                <c:pt idx="6">
                  <c:v>1.9079999999999999</c:v>
                </c:pt>
                <c:pt idx="7">
                  <c:v>2.2440000000000002</c:v>
                </c:pt>
                <c:pt idx="8">
                  <c:v>2.5800000000000005</c:v>
                </c:pt>
                <c:pt idx="9">
                  <c:v>2.9159999999999999</c:v>
                </c:pt>
                <c:pt idx="10">
                  <c:v>3.2520000000000002</c:v>
                </c:pt>
                <c:pt idx="11">
                  <c:v>3.5879999999999992</c:v>
                </c:pt>
                <c:pt idx="12">
                  <c:v>3.9239999999999995</c:v>
                </c:pt>
                <c:pt idx="13">
                  <c:v>4.26</c:v>
                </c:pt>
                <c:pt idx="14">
                  <c:v>4.5960000000000001</c:v>
                </c:pt>
                <c:pt idx="15">
                  <c:v>4.9320000000000004</c:v>
                </c:pt>
              </c:numCache>
            </c:numRef>
          </c:yVal>
          <c:smooth val="1"/>
        </c:ser>
        <c:ser>
          <c:idx val="13"/>
          <c:order val="12"/>
          <c:tx>
            <c:v>CaCO3 sat limit</c:v>
          </c:tx>
          <c:spPr>
            <a:ln w="25400">
              <a:solidFill>
                <a:srgbClr val="808080"/>
              </a:solidFill>
              <a:prstDash val="solid"/>
            </a:ln>
          </c:spPr>
          <c:marker>
            <c:symbol val="none"/>
          </c:marker>
          <c:dLbls>
            <c:dLbl>
              <c:idx val="2"/>
              <c:layout>
                <c:manualLayout>
                  <c:x val="-2.1137202466788057E-4"/>
                  <c:y val="0.10686088382508466"/>
                </c:manualLayout>
              </c:layout>
              <c:tx>
                <c:rich>
                  <a:bodyPr rot="1500000" vert="horz"/>
                  <a:lstStyle/>
                  <a:p>
                    <a:pPr algn="ctr">
                      <a:defRPr sz="1450" b="1" i="0" u="none" strike="noStrike" baseline="0">
                        <a:solidFill>
                          <a:srgbClr val="808080"/>
                        </a:solidFill>
                        <a:latin typeface="Arial"/>
                        <a:ea typeface="Arial"/>
                        <a:cs typeface="Arial"/>
                      </a:defRPr>
                    </a:pPr>
                    <a:r>
                      <a:rPr lang="en-NZ"/>
                      <a:t>Immature Waters</a:t>
                    </a:r>
                  </a:p>
                </c:rich>
              </c:tx>
              <c:spPr>
                <a:noFill/>
                <a:ln w="25400">
                  <a:noFill/>
                </a:ln>
              </c:spPr>
              <c:dLblPos val="r"/>
            </c:dLbl>
            <c:delete val="1"/>
          </c:dLbls>
          <c:xVal>
            <c:numRef>
              <c:f>Ref!$AB$31:$AB$38</c:f>
              <c:numCache>
                <c:formatCode>General</c:formatCode>
                <c:ptCount val="8"/>
                <c:pt idx="0">
                  <c:v>0</c:v>
                </c:pt>
                <c:pt idx="1">
                  <c:v>1</c:v>
                </c:pt>
                <c:pt idx="2">
                  <c:v>2</c:v>
                </c:pt>
                <c:pt idx="3">
                  <c:v>3</c:v>
                </c:pt>
                <c:pt idx="4">
                  <c:v>4</c:v>
                </c:pt>
                <c:pt idx="5">
                  <c:v>5</c:v>
                </c:pt>
                <c:pt idx="6">
                  <c:v>6</c:v>
                </c:pt>
                <c:pt idx="7">
                  <c:v>7</c:v>
                </c:pt>
              </c:numCache>
            </c:numRef>
          </c:xVal>
          <c:yVal>
            <c:numRef>
              <c:f>Ref!$AC$31:$AC$38</c:f>
              <c:numCache>
                <c:formatCode>General</c:formatCode>
                <c:ptCount val="8"/>
                <c:pt idx="0">
                  <c:v>0.3</c:v>
                </c:pt>
                <c:pt idx="1">
                  <c:v>0.82</c:v>
                </c:pt>
                <c:pt idx="2">
                  <c:v>1.39</c:v>
                </c:pt>
                <c:pt idx="3">
                  <c:v>1.98</c:v>
                </c:pt>
                <c:pt idx="4">
                  <c:v>2.68</c:v>
                </c:pt>
                <c:pt idx="5">
                  <c:v>3.51</c:v>
                </c:pt>
                <c:pt idx="6">
                  <c:v>4.5</c:v>
                </c:pt>
                <c:pt idx="7">
                  <c:v>5.62</c:v>
                </c:pt>
              </c:numCache>
            </c:numRef>
          </c:yVal>
          <c:smooth val="1"/>
        </c:ser>
        <c:ser>
          <c:idx val="3"/>
          <c:order val="13"/>
          <c:tx>
            <c:v>Data</c:v>
          </c:tx>
          <c:spPr>
            <a:ln w="28575">
              <a:noFill/>
            </a:ln>
          </c:spPr>
          <c:marker>
            <c:symbol val="diamond"/>
            <c:size val="7"/>
            <c:spPr>
              <a:solidFill>
                <a:srgbClr val="800080"/>
              </a:solidFill>
              <a:ln>
                <a:solidFill>
                  <a:srgbClr val="800080"/>
                </a:solidFill>
                <a:prstDash val="solid"/>
              </a:ln>
            </c:spPr>
          </c:marker>
          <c:dLbls>
            <c:dLbl>
              <c:idx val="0"/>
              <c:layout/>
              <c:tx>
                <c:strRef>
                  <c:f>Input!$AH$8</c:f>
                  <c:strCache>
                    <c:ptCount val="1"/>
                    <c:pt idx="0">
                      <c:v>WK</c:v>
                    </c:pt>
                  </c:strCache>
                </c:strRef>
              </c:tx>
              <c:dLblPos val="t"/>
            </c:dLbl>
            <c:dLbl>
              <c:idx val="1"/>
              <c:layout/>
              <c:tx>
                <c:strRef>
                  <c:f>Input!$AH$9</c:f>
                  <c:strCache>
                    <c:ptCount val="1"/>
                    <c:pt idx="0">
                      <c:v>wk</c:v>
                    </c:pt>
                  </c:strCache>
                </c:strRef>
              </c:tx>
              <c:dLblPos val="t"/>
            </c:dLbl>
            <c:dLbl>
              <c:idx val="2"/>
              <c:layout/>
              <c:tx>
                <c:strRef>
                  <c:f>Input!$AH$10</c:f>
                  <c:strCache>
                    <c:ptCount val="1"/>
                    <c:pt idx="0">
                      <c:v>NG</c:v>
                    </c:pt>
                  </c:strCache>
                </c:strRef>
              </c:tx>
              <c:dLblPos val="t"/>
            </c:dLbl>
            <c:dLbl>
              <c:idx val="3"/>
              <c:layout/>
              <c:tx>
                <c:strRef>
                  <c:f>Input!$AH$11</c:f>
                  <c:strCache>
                    <c:ptCount val="1"/>
                    <c:pt idx="0">
                      <c:v>ng</c:v>
                    </c:pt>
                  </c:strCache>
                </c:strRef>
              </c:tx>
              <c:dLblPos val="t"/>
            </c:dLbl>
            <c:dLbl>
              <c:idx val="4"/>
              <c:layout/>
              <c:tx>
                <c:strRef>
                  <c:f>Input!$AH$12</c:f>
                  <c:strCache>
                    <c:ptCount val="1"/>
                    <c:pt idx="0">
                      <c:v>ZU</c:v>
                    </c:pt>
                  </c:strCache>
                </c:strRef>
              </c:tx>
              <c:dLblPos val="t"/>
            </c:dLbl>
            <c:dLbl>
              <c:idx val="5"/>
              <c:layout/>
              <c:tx>
                <c:strRef>
                  <c:f>Input!$AH$13</c:f>
                  <c:strCache>
                    <c:ptCount val="1"/>
                    <c:pt idx="0">
                      <c:v>zu</c:v>
                    </c:pt>
                  </c:strCache>
                </c:strRef>
              </c:tx>
              <c:dLblPos val="t"/>
            </c:dLbl>
            <c:dLbl>
              <c:idx val="6"/>
              <c:layout/>
              <c:tx>
                <c:strRef>
                  <c:f>Input!$AH$14</c:f>
                  <c:strCache>
                    <c:ptCount val="1"/>
                    <c:pt idx="0">
                      <c:v>MV</c:v>
                    </c:pt>
                  </c:strCache>
                </c:strRef>
              </c:tx>
              <c:dLblPos val="t"/>
            </c:dLbl>
            <c:dLbl>
              <c:idx val="7"/>
              <c:layout/>
              <c:tx>
                <c:strRef>
                  <c:f>Input!$AH$15</c:f>
                  <c:strCache>
                    <c:ptCount val="1"/>
                    <c:pt idx="0">
                      <c:v>mv</c:v>
                    </c:pt>
                  </c:strCache>
                </c:strRef>
              </c:tx>
              <c:dLblPos val="t"/>
            </c:dLbl>
            <c:dLbl>
              <c:idx val="8"/>
              <c:layout/>
              <c:tx>
                <c:strRef>
                  <c:f>Input!$AH$16</c:f>
                  <c:strCache>
                    <c:ptCount val="1"/>
                    <c:pt idx="0">
                      <c:v>ra</c:v>
                    </c:pt>
                  </c:strCache>
                </c:strRef>
              </c:tx>
              <c:dLblPos val="t"/>
            </c:dLbl>
            <c:dLbl>
              <c:idx val="9"/>
              <c:layout/>
              <c:tx>
                <c:strRef>
                  <c:f>Input!$AH$17</c:f>
                  <c:strCache>
                    <c:ptCount val="1"/>
                    <c:pt idx="0">
                      <c:v>rb</c:v>
                    </c:pt>
                  </c:strCache>
                </c:strRef>
              </c:tx>
              <c:dLblPos val="t"/>
            </c:dLbl>
            <c:dLbl>
              <c:idx val="10"/>
              <c:layout/>
              <c:tx>
                <c:strRef>
                  <c:f>Input!$AH$18</c:f>
                  <c:strCache>
                    <c:ptCount val="1"/>
                    <c:pt idx="0">
                      <c:v>ar</c:v>
                    </c:pt>
                  </c:strCache>
                </c:strRef>
              </c:tx>
              <c:dLblPos val="t"/>
            </c:dLbl>
            <c:dLbl>
              <c:idx val="11"/>
              <c:layout/>
              <c:tx>
                <c:strRef>
                  <c:f>Input!$AH$19</c:f>
                  <c:strCache>
                    <c:ptCount val="1"/>
                    <c:pt idx="0">
                      <c:v>ma</c:v>
                    </c:pt>
                  </c:strCache>
                </c:strRef>
              </c:tx>
              <c:dLblPos val="t"/>
            </c:dLbl>
            <c:dLbl>
              <c:idx val="12"/>
              <c:layout/>
              <c:tx>
                <c:strRef>
                  <c:f>Input!$AH$20</c:f>
                  <c:strCache>
                    <c:ptCount val="1"/>
                    <c:pt idx="0">
                      <c:v>fn</c:v>
                    </c:pt>
                  </c:strCache>
                </c:strRef>
              </c:tx>
              <c:dLblPos val="t"/>
            </c:dLbl>
            <c:dLbl>
              <c:idx val="13"/>
              <c:layout/>
              <c:tx>
                <c:strRef>
                  <c:f>Input!$AH$21</c:f>
                  <c:strCache>
                    <c:ptCount val="1"/>
                    <c:pt idx="0">
                      <c:v>pr</c:v>
                    </c:pt>
                  </c:strCache>
                </c:strRef>
              </c:tx>
              <c:dLblPos val="t"/>
            </c:dLbl>
            <c:dLbl>
              <c:idx val="14"/>
              <c:layout/>
              <c:tx>
                <c:strRef>
                  <c:f>Input!$AH$22</c:f>
                  <c:strCache>
                    <c:ptCount val="1"/>
                    <c:pt idx="0">
                      <c:v>ya</c:v>
                    </c:pt>
                  </c:strCache>
                </c:strRef>
              </c:tx>
              <c:dLblPos val="t"/>
            </c:dLbl>
            <c:dLbl>
              <c:idx val="15"/>
              <c:tx>
                <c:strRef>
                  <c:f>Input!$AH$23</c:f>
                  <c:strCache>
                    <c:ptCount val="1"/>
                    <c:pt idx="0">
                      <c:v>ln</c:v>
                    </c:pt>
                  </c:strCache>
                </c:strRef>
              </c:tx>
              <c:dLblPos val="t"/>
            </c:dLbl>
            <c:dLbl>
              <c:idx val="16"/>
              <c:layout/>
              <c:tx>
                <c:strRef>
                  <c:f>Input!$AH$24</c:f>
                  <c:strCache>
                    <c:ptCount val="1"/>
                    <c:pt idx="0">
                      <c:v>ws</c:v>
                    </c:pt>
                  </c:strCache>
                </c:strRef>
              </c:tx>
              <c:dLblPos val="t"/>
            </c:dLbl>
            <c:dLbl>
              <c:idx val="17"/>
              <c:layout/>
              <c:tx>
                <c:strRef>
                  <c:f>Input!$AH$25</c:f>
                  <c:strCache>
                    <c:ptCount val="1"/>
                    <c:pt idx="0">
                      <c:v>mo</c:v>
                    </c:pt>
                  </c:strCache>
                </c:strRef>
              </c:tx>
              <c:dLblPos val="t"/>
            </c:dLbl>
            <c:dLbl>
              <c:idx val="18"/>
              <c:layout/>
              <c:tx>
                <c:strRef>
                  <c:f>Input!$AH$26</c:f>
                  <c:strCache>
                    <c:ptCount val="1"/>
                    <c:pt idx="0">
                      <c:v>MU</c:v>
                    </c:pt>
                  </c:strCache>
                </c:strRef>
              </c:tx>
              <c:dLblPos val="t"/>
            </c:dLbl>
            <c:dLbl>
              <c:idx val="19"/>
              <c:layout/>
              <c:tx>
                <c:strRef>
                  <c:f>Input!$AH$27</c:f>
                  <c:strCache>
                    <c:ptCount val="1"/>
                    <c:pt idx="0">
                      <c:v>wi</c:v>
                    </c:pt>
                  </c:strCache>
                </c:strRef>
              </c:tx>
              <c:dLblPos val="t"/>
            </c:dLbl>
            <c:dLbl>
              <c:idx val="20"/>
              <c:tx>
                <c:strRef>
                  <c:f>Input!$AH$28</c:f>
                  <c:strCache>
                    <c:ptCount val="1"/>
                  </c:strCache>
                </c:strRef>
              </c:tx>
              <c:dLblPos val="t"/>
            </c:dLbl>
            <c:dLbl>
              <c:idx val="21"/>
              <c:tx>
                <c:strRef>
                  <c:f>Input!$AH$29</c:f>
                  <c:strCache>
                    <c:ptCount val="1"/>
                  </c:strCache>
                </c:strRef>
              </c:tx>
              <c:dLblPos val="t"/>
            </c:dLbl>
            <c:dLbl>
              <c:idx val="22"/>
              <c:tx>
                <c:strRef>
                  <c:f>Input!$AH$30</c:f>
                  <c:strCache>
                    <c:ptCount val="1"/>
                  </c:strCache>
                </c:strRef>
              </c:tx>
              <c:dLblPos val="t"/>
            </c:dLbl>
            <c:dLbl>
              <c:idx val="23"/>
              <c:tx>
                <c:strRef>
                  <c:f>Input!$AH$31</c:f>
                  <c:strCache>
                    <c:ptCount val="1"/>
                  </c:strCache>
                </c:strRef>
              </c:tx>
              <c:dLblPos val="t"/>
            </c:dLbl>
            <c:dLbl>
              <c:idx val="24"/>
              <c:tx>
                <c:strRef>
                  <c:f>Input!$AH$32</c:f>
                  <c:strCache>
                    <c:ptCount val="1"/>
                  </c:strCache>
                </c:strRef>
              </c:tx>
              <c:dLblPos val="t"/>
            </c:dLbl>
            <c:dLbl>
              <c:idx val="25"/>
              <c:tx>
                <c:strRef>
                  <c:f>Input!$AH$33</c:f>
                  <c:strCache>
                    <c:ptCount val="1"/>
                  </c:strCache>
                </c:strRef>
              </c:tx>
              <c:dLblPos val="t"/>
            </c:dLbl>
            <c:dLbl>
              <c:idx val="26"/>
              <c:tx>
                <c:strRef>
                  <c:f>Input!$AH$34</c:f>
                  <c:strCache>
                    <c:ptCount val="1"/>
                  </c:strCache>
                </c:strRef>
              </c:tx>
              <c:dLblPos val="t"/>
            </c:dLbl>
            <c:dLbl>
              <c:idx val="27"/>
              <c:tx>
                <c:strRef>
                  <c:f>Input!$AH$35</c:f>
                  <c:strCache>
                    <c:ptCount val="1"/>
                  </c:strCache>
                </c:strRef>
              </c:tx>
              <c:dLblPos val="t"/>
            </c:dLbl>
            <c:dLbl>
              <c:idx val="28"/>
              <c:tx>
                <c:strRef>
                  <c:f>Input!$AH$36</c:f>
                  <c:strCache>
                    <c:ptCount val="1"/>
                  </c:strCache>
                </c:strRef>
              </c:tx>
              <c:dLblPos val="t"/>
            </c:dLbl>
            <c:dLbl>
              <c:idx val="29"/>
              <c:tx>
                <c:strRef>
                  <c:f>Input!$AH$37</c:f>
                  <c:strCache>
                    <c:ptCount val="1"/>
                  </c:strCache>
                </c:strRef>
              </c:tx>
              <c:dLblPos val="t"/>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Val val="1"/>
          </c:dLbls>
          <c:xVal>
            <c:numRef>
              <c:f>Input!$CY$8:$CY$37</c:f>
              <c:numCache>
                <c:formatCode>0.00</c:formatCode>
                <c:ptCount val="30"/>
                <c:pt idx="0">
                  <c:v>6.4454329422951666</c:v>
                </c:pt>
                <c:pt idx="1">
                  <c:v>3.6390435575811324</c:v>
                </c:pt>
                <c:pt idx="2">
                  <c:v>4.7501225267834002</c:v>
                </c:pt>
                <c:pt idx="3">
                  <c:v>3.466231912289536</c:v>
                </c:pt>
                <c:pt idx="4">
                  <c:v>6.6444385894678382</c:v>
                </c:pt>
                <c:pt idx="5">
                  <c:v>1.5029349925544035</c:v>
                </c:pt>
                <c:pt idx="6">
                  <c:v>6.4521239184490424</c:v>
                </c:pt>
                <c:pt idx="7">
                  <c:v>2.9823408259380271</c:v>
                </c:pt>
                <c:pt idx="8">
                  <c:v>2.5101643384980341</c:v>
                </c:pt>
                <c:pt idx="9">
                  <c:v>3.0766190292830244</c:v>
                </c:pt>
                <c:pt idx="10">
                  <c:v>3.9208187539523749</c:v>
                </c:pt>
                <c:pt idx="11">
                  <c:v>2.1259246495899511</c:v>
                </c:pt>
                <c:pt idx="12">
                  <c:v>2.8061799739838871</c:v>
                </c:pt>
                <c:pt idx="13">
                  <c:v>3.0759583679867211</c:v>
                </c:pt>
                <c:pt idx="14">
                  <c:v>4.2495244655212492</c:v>
                </c:pt>
                <c:pt idx="15">
                  <c:v>-0.14612803567823796</c:v>
                </c:pt>
                <c:pt idx="16">
                  <c:v>1.811032476778299</c:v>
                </c:pt>
                <c:pt idx="17">
                  <c:v>1.9454685851318196</c:v>
                </c:pt>
                <c:pt idx="18">
                  <c:v>3.6056641155967877</c:v>
                </c:pt>
                <c:pt idx="19">
                  <c:v>2.025763853967141</c:v>
                </c:pt>
                <c:pt idx="20">
                  <c:v>-99</c:v>
                </c:pt>
                <c:pt idx="21">
                  <c:v>-99</c:v>
                </c:pt>
                <c:pt idx="22">
                  <c:v>-99</c:v>
                </c:pt>
                <c:pt idx="23">
                  <c:v>-99</c:v>
                </c:pt>
                <c:pt idx="24">
                  <c:v>-99</c:v>
                </c:pt>
                <c:pt idx="25">
                  <c:v>-99</c:v>
                </c:pt>
                <c:pt idx="26">
                  <c:v>-99</c:v>
                </c:pt>
                <c:pt idx="27">
                  <c:v>-99</c:v>
                </c:pt>
                <c:pt idx="28">
                  <c:v>-99</c:v>
                </c:pt>
                <c:pt idx="29">
                  <c:v>-99</c:v>
                </c:pt>
              </c:numCache>
            </c:numRef>
          </c:xVal>
          <c:yVal>
            <c:numRef>
              <c:f>Input!$CZ$8:$CZ$37</c:f>
              <c:numCache>
                <c:formatCode>0.000</c:formatCode>
                <c:ptCount val="30"/>
                <c:pt idx="0">
                  <c:v>3.1444029466311854</c:v>
                </c:pt>
                <c:pt idx="1">
                  <c:v>2.8151348166368138</c:v>
                </c:pt>
                <c:pt idx="2">
                  <c:v>3.2730012720637376</c:v>
                </c:pt>
                <c:pt idx="3">
                  <c:v>2.5709672628095488</c:v>
                </c:pt>
                <c:pt idx="4">
                  <c:v>3.6030459043096128</c:v>
                </c:pt>
                <c:pt idx="5">
                  <c:v>1.5029349925544035</c:v>
                </c:pt>
                <c:pt idx="6">
                  <c:v>2.8898310539925678</c:v>
                </c:pt>
                <c:pt idx="7">
                  <c:v>2.4528315017586766</c:v>
                </c:pt>
                <c:pt idx="8">
                  <c:v>2.3700822633191345</c:v>
                </c:pt>
                <c:pt idx="9">
                  <c:v>2.1029479680053735</c:v>
                </c:pt>
                <c:pt idx="10">
                  <c:v>1.9208187539523751</c:v>
                </c:pt>
                <c:pt idx="11">
                  <c:v>0.93686841336990234</c:v>
                </c:pt>
                <c:pt idx="12">
                  <c:v>1.8061799739838871</c:v>
                </c:pt>
                <c:pt idx="13">
                  <c:v>2.0399421618612403</c:v>
                </c:pt>
                <c:pt idx="14">
                  <c:v>2.4961967988626377</c:v>
                </c:pt>
                <c:pt idx="15">
                  <c:v>-7.9181246047624665E-2</c:v>
                </c:pt>
                <c:pt idx="16">
                  <c:v>1.529973562044938</c:v>
                </c:pt>
                <c:pt idx="17">
                  <c:v>0.47564656915365644</c:v>
                </c:pt>
                <c:pt idx="18">
                  <c:v>3.008151752019546</c:v>
                </c:pt>
                <c:pt idx="19">
                  <c:v>2.1072368967943507</c:v>
                </c:pt>
                <c:pt idx="20">
                  <c:v>-99</c:v>
                </c:pt>
                <c:pt idx="21">
                  <c:v>-99</c:v>
                </c:pt>
                <c:pt idx="22">
                  <c:v>-99</c:v>
                </c:pt>
                <c:pt idx="23">
                  <c:v>-99</c:v>
                </c:pt>
                <c:pt idx="24">
                  <c:v>-99</c:v>
                </c:pt>
                <c:pt idx="25">
                  <c:v>-99</c:v>
                </c:pt>
                <c:pt idx="26">
                  <c:v>-99</c:v>
                </c:pt>
                <c:pt idx="27">
                  <c:v>-99</c:v>
                </c:pt>
                <c:pt idx="28">
                  <c:v>-99</c:v>
                </c:pt>
                <c:pt idx="29">
                  <c:v>-99</c:v>
                </c:pt>
              </c:numCache>
            </c:numRef>
          </c:yVal>
          <c:smooth val="1"/>
        </c:ser>
        <c:dLbls>
          <c:showVal val="1"/>
        </c:dLbls>
        <c:axId val="95101696"/>
        <c:axId val="95103616"/>
      </c:scatterChart>
      <c:scatterChart>
        <c:scatterStyle val="lineMarker"/>
        <c:ser>
          <c:idx val="1"/>
          <c:order val="1"/>
          <c:tx>
            <c:v>rCO2v = 0.00001</c:v>
          </c:tx>
          <c:spPr>
            <a:ln w="12700">
              <a:solidFill>
                <a:srgbClr val="C0C0C0"/>
              </a:solidFill>
              <a:prstDash val="solid"/>
            </a:ln>
          </c:spPr>
          <c:marker>
            <c:symbol val="none"/>
          </c:marker>
          <c:dLbls>
            <c:dLbl>
              <c:idx val="10"/>
              <c:layout>
                <c:manualLayout>
                  <c:x val="-6.4645581899376971E-3"/>
                  <c:y val="2.574747487722271E-2"/>
                </c:manualLayout>
              </c:layout>
              <c:tx>
                <c:rich>
                  <a:bodyPr rot="1140000" vert="horz"/>
                  <a:lstStyle/>
                  <a:p>
                    <a:pPr algn="ctr">
                      <a:defRPr sz="1000" b="0" i="0" u="none" strike="noStrike" baseline="0">
                        <a:solidFill>
                          <a:srgbClr val="000000"/>
                        </a:solidFill>
                        <a:latin typeface="Arial"/>
                        <a:ea typeface="Arial"/>
                        <a:cs typeface="Arial"/>
                      </a:defRPr>
                    </a:pPr>
                    <a:r>
                      <a:rPr lang="en-NZ" sz="1200" b="0" i="0" u="none" strike="noStrike" baseline="0">
                        <a:solidFill>
                          <a:srgbClr val="969696"/>
                        </a:solidFill>
                        <a:latin typeface="Arial"/>
                        <a:cs typeface="Arial"/>
                      </a:rPr>
                      <a:t>r</a:t>
                    </a:r>
                    <a:r>
                      <a:rPr lang="en-NZ" sz="1200" b="0" i="0" u="none" strike="noStrike" baseline="-25000">
                        <a:solidFill>
                          <a:srgbClr val="969696"/>
                        </a:solidFill>
                        <a:latin typeface="Arial"/>
                        <a:cs typeface="Arial"/>
                      </a:rPr>
                      <a:t>CO2  vapor</a:t>
                    </a:r>
                    <a:r>
                      <a:rPr lang="en-NZ" sz="1200" b="0" i="0" u="none" strike="noStrike" baseline="0">
                        <a:solidFill>
                          <a:srgbClr val="969696"/>
                        </a:solidFill>
                        <a:latin typeface="Arial"/>
                        <a:cs typeface="Arial"/>
                      </a:rPr>
                      <a:t>  = 0.00001</a:t>
                    </a:r>
                  </a:p>
                </c:rich>
              </c:tx>
              <c:spPr>
                <a:solidFill>
                  <a:srgbClr val="FFFFFF"/>
                </a:solidFill>
                <a:ln w="25400">
                  <a:noFill/>
                </a:ln>
              </c:spPr>
              <c:dLblPos val="r"/>
            </c:dLbl>
            <c:delete val="1"/>
          </c:dLbls>
          <c:xVal>
            <c:numRef>
              <c:f>Ref!$H$31:$H$48</c:f>
              <c:numCache>
                <c:formatCode>0.00</c:formatCode>
                <c:ptCount val="18"/>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pt idx="16">
                  <c:v>7.2465543644716703</c:v>
                </c:pt>
                <c:pt idx="17">
                  <c:v>7.6363636363636376</c:v>
                </c:pt>
              </c:numCache>
            </c:numRef>
          </c:xVal>
          <c:yVal>
            <c:numRef>
              <c:f>Ref!$J$31:$J$48</c:f>
              <c:numCache>
                <c:formatCode>0.0</c:formatCode>
                <c:ptCount val="18"/>
                <c:pt idx="0">
                  <c:v>-6.0331309904153354</c:v>
                </c:pt>
                <c:pt idx="1">
                  <c:v>-5.6401501501501503</c:v>
                </c:pt>
                <c:pt idx="2">
                  <c:v>-5.2916997167138815</c:v>
                </c:pt>
                <c:pt idx="3">
                  <c:v>-4.9806166219839145</c:v>
                </c:pt>
                <c:pt idx="4">
                  <c:v>-4.7011959287531813</c:v>
                </c:pt>
                <c:pt idx="5">
                  <c:v>-4.4488377723970949</c:v>
                </c:pt>
                <c:pt idx="6">
                  <c:v>-4.2197921478060048</c:v>
                </c:pt>
                <c:pt idx="7">
                  <c:v>-4.0109713024282563</c:v>
                </c:pt>
                <c:pt idx="8">
                  <c:v>-3.8198097251585628</c:v>
                </c:pt>
                <c:pt idx="9">
                  <c:v>-3.6441582150101421</c:v>
                </c:pt>
                <c:pt idx="10">
                  <c:v>-3.4822027290448343</c:v>
                </c:pt>
                <c:pt idx="11">
                  <c:v>-3.3324015009380865</c:v>
                </c:pt>
                <c:pt idx="12">
                  <c:v>-3.1934358047016276</c:v>
                </c:pt>
                <c:pt idx="13">
                  <c:v>-3.0641710296684121</c:v>
                </c:pt>
                <c:pt idx="14">
                  <c:v>-2.9436256323777403</c:v>
                </c:pt>
                <c:pt idx="15">
                  <c:v>-2.8309461663947801</c:v>
                </c:pt>
                <c:pt idx="16">
                  <c:v>-2.6262940275650846</c:v>
                </c:pt>
                <c:pt idx="17">
                  <c:v>-2.4452669552669555</c:v>
                </c:pt>
              </c:numCache>
            </c:numRef>
          </c:yVal>
          <c:smooth val="1"/>
        </c:ser>
        <c:dLbls>
          <c:showVal val="1"/>
        </c:dLbls>
        <c:axId val="95118080"/>
        <c:axId val="95119616"/>
      </c:scatterChart>
      <c:valAx>
        <c:axId val="95101696"/>
        <c:scaling>
          <c:orientation val="minMax"/>
          <c:max val="7"/>
          <c:min val="0"/>
        </c:scaling>
        <c:axPos val="t"/>
        <c:title>
          <c:tx>
            <c:rich>
              <a:bodyPr/>
              <a:lstStyle/>
              <a:p>
                <a:pPr>
                  <a:defRPr sz="1000" b="0" i="0" u="none" strike="noStrike" baseline="0">
                    <a:solidFill>
                      <a:srgbClr val="000000"/>
                    </a:solidFill>
                    <a:latin typeface="Arial"/>
                    <a:ea typeface="Arial"/>
                    <a:cs typeface="Arial"/>
                  </a:defRPr>
                </a:pPr>
                <a:r>
                  <a:rPr lang="en-NZ" sz="1400" b="1" i="0" u="none" strike="noStrike" baseline="0">
                    <a:solidFill>
                      <a:srgbClr val="000000"/>
                    </a:solidFill>
                    <a:latin typeface="Arial"/>
                    <a:cs typeface="Arial"/>
                  </a:rPr>
                  <a:t>log(K</a:t>
                </a:r>
                <a:r>
                  <a:rPr lang="en-NZ" sz="1400" b="1" i="0" u="none" strike="noStrike" baseline="30000">
                    <a:solidFill>
                      <a:srgbClr val="000000"/>
                    </a:solidFill>
                    <a:latin typeface="Arial"/>
                    <a:cs typeface="Arial"/>
                  </a:rPr>
                  <a:t>2</a:t>
                </a:r>
                <a:r>
                  <a:rPr lang="en-NZ" sz="1400" b="1" i="0" u="none" strike="noStrike" baseline="0">
                    <a:solidFill>
                      <a:srgbClr val="000000"/>
                    </a:solidFill>
                    <a:latin typeface="Arial"/>
                    <a:cs typeface="Arial"/>
                  </a:rPr>
                  <a:t>/Mg)</a:t>
                </a:r>
              </a:p>
            </c:rich>
          </c:tx>
          <c:layout>
            <c:manualLayout>
              <c:xMode val="edge"/>
              <c:yMode val="edge"/>
              <c:x val="0.43507214206437339"/>
              <c:y val="2.120717781402948E-2"/>
            </c:manualLayout>
          </c:layout>
          <c:spPr>
            <a:noFill/>
            <a:ln w="25400">
              <a:noFill/>
            </a:ln>
          </c:spPr>
        </c:title>
        <c:numFmt formatCode="0" sourceLinked="0"/>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5103616"/>
        <c:crossesAt val="-2"/>
        <c:crossBetween val="midCat"/>
      </c:valAx>
      <c:valAx>
        <c:axId val="95103616"/>
        <c:scaling>
          <c:orientation val="maxMin"/>
          <c:max val="5"/>
          <c:min val="-1"/>
        </c:scaling>
        <c:axPos val="l"/>
        <c:title>
          <c:tx>
            <c:rich>
              <a:bodyPr/>
              <a:lstStyle/>
              <a:p>
                <a:pPr>
                  <a:defRPr sz="1000" b="0" i="0" u="none" strike="noStrike" baseline="0">
                    <a:solidFill>
                      <a:srgbClr val="000000"/>
                    </a:solidFill>
                    <a:latin typeface="Arial"/>
                    <a:ea typeface="Arial"/>
                    <a:cs typeface="Arial"/>
                  </a:defRPr>
                </a:pPr>
                <a:r>
                  <a:rPr lang="en-NZ" sz="1400" b="1" i="0" u="none" strike="noStrike" baseline="0">
                    <a:solidFill>
                      <a:srgbClr val="000000"/>
                    </a:solidFill>
                    <a:latin typeface="Arial"/>
                    <a:cs typeface="Arial"/>
                  </a:rPr>
                  <a:t>log(K</a:t>
                </a:r>
                <a:r>
                  <a:rPr lang="en-NZ" sz="1400" b="1" i="0" u="none" strike="noStrike" baseline="30000">
                    <a:solidFill>
                      <a:srgbClr val="000000"/>
                    </a:solidFill>
                    <a:latin typeface="Arial"/>
                    <a:cs typeface="Arial"/>
                  </a:rPr>
                  <a:t>2</a:t>
                </a:r>
                <a:r>
                  <a:rPr lang="en-NZ" sz="1400" b="1" i="0" u="none" strike="noStrike" baseline="0">
                    <a:solidFill>
                      <a:srgbClr val="000000"/>
                    </a:solidFill>
                    <a:latin typeface="Arial"/>
                    <a:cs typeface="Arial"/>
                  </a:rPr>
                  <a:t>/Ca)</a:t>
                </a:r>
              </a:p>
            </c:rich>
          </c:tx>
          <c:layout>
            <c:manualLayout>
              <c:xMode val="edge"/>
              <c:yMode val="edge"/>
              <c:x val="1.1098779134295252E-3"/>
              <c:y val="0.45350734094616629"/>
            </c:manualLayout>
          </c:layout>
          <c:spPr>
            <a:noFill/>
            <a:ln w="25400">
              <a:noFill/>
            </a:ln>
          </c:spPr>
        </c:title>
        <c:numFmt formatCode="0" sourceLinked="0"/>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5101696"/>
        <c:crosses val="autoZero"/>
        <c:crossBetween val="midCat"/>
        <c:majorUnit val="1"/>
      </c:valAx>
      <c:valAx>
        <c:axId val="95118080"/>
        <c:scaling>
          <c:orientation val="minMax"/>
        </c:scaling>
        <c:delete val="1"/>
        <c:axPos val="t"/>
        <c:numFmt formatCode="0.00" sourceLinked="1"/>
        <c:tickLblPos val="none"/>
        <c:crossAx val="95119616"/>
        <c:crosses val="autoZero"/>
        <c:crossBetween val="midCat"/>
      </c:valAx>
      <c:valAx>
        <c:axId val="95119616"/>
        <c:scaling>
          <c:orientation val="maxMin"/>
          <c:max val="2"/>
          <c:min val="-4"/>
        </c:scaling>
        <c:axPos val="r"/>
        <c:title>
          <c:tx>
            <c:rich>
              <a:bodyPr/>
              <a:lstStyle/>
              <a:p>
                <a:pPr>
                  <a:defRPr sz="1000" b="0" i="0" u="none" strike="noStrike" baseline="0">
                    <a:solidFill>
                      <a:srgbClr val="000000"/>
                    </a:solidFill>
                    <a:latin typeface="Arial"/>
                    <a:ea typeface="Arial"/>
                    <a:cs typeface="Arial"/>
                  </a:defRPr>
                </a:pPr>
                <a:r>
                  <a:rPr lang="en-NZ" sz="1400" b="1" i="0" u="none" strike="noStrike" baseline="0">
                    <a:solidFill>
                      <a:srgbClr val="000000"/>
                    </a:solidFill>
                    <a:latin typeface="Arial"/>
                    <a:cs typeface="Arial"/>
                  </a:rPr>
                  <a:t>Log(P</a:t>
                </a:r>
                <a:r>
                  <a:rPr lang="en-NZ" sz="1400" b="1" i="0" u="none" strike="noStrike" baseline="-25000">
                    <a:solidFill>
                      <a:srgbClr val="000000"/>
                    </a:solidFill>
                    <a:latin typeface="Arial"/>
                    <a:cs typeface="Arial"/>
                  </a:rPr>
                  <a:t>CO2</a:t>
                </a:r>
                <a:r>
                  <a:rPr lang="en-NZ" sz="1400" b="1" i="0" u="none" strike="noStrike" baseline="0">
                    <a:solidFill>
                      <a:srgbClr val="000000"/>
                    </a:solidFill>
                    <a:latin typeface="Arial"/>
                    <a:cs typeface="Arial"/>
                  </a:rPr>
                  <a:t>) bar</a:t>
                </a:r>
              </a:p>
            </c:rich>
          </c:tx>
          <c:layout>
            <c:manualLayout>
              <c:xMode val="edge"/>
              <c:yMode val="edge"/>
              <c:x val="0.94228634850166348"/>
              <c:y val="0.4290375203915171"/>
            </c:manualLayout>
          </c:layout>
          <c:spPr>
            <a:noFill/>
            <a:ln w="25400">
              <a:noFill/>
            </a:ln>
          </c:spPr>
        </c:title>
        <c:numFmt formatCode="0" sourceLinked="0"/>
        <c:majorTickMark val="cross"/>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5118080"/>
        <c:crosses val="max"/>
        <c:crossBetween val="midCat"/>
      </c:valAx>
      <c:spPr>
        <a:noFill/>
        <a:ln w="3175">
          <a:solidFill>
            <a:srgbClr val="000000"/>
          </a:solidFill>
          <a:prstDash val="solid"/>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32186459489457"/>
          <c:y val="0.13485589994562261"/>
          <c:w val="0.83351831298557244"/>
          <c:h val="0.84828711256117584"/>
        </c:manualLayout>
      </c:layout>
      <c:scatterChart>
        <c:scatterStyle val="smoothMarker"/>
        <c:ser>
          <c:idx val="0"/>
          <c:order val="0"/>
          <c:tx>
            <c:v>Chalcedony</c:v>
          </c:tx>
          <c:spPr>
            <a:ln w="25400">
              <a:solidFill>
                <a:srgbClr val="969696"/>
              </a:solidFill>
              <a:prstDash val="solid"/>
            </a:ln>
          </c:spPr>
          <c:marker>
            <c:symbol val="none"/>
          </c:marker>
          <c:dLbls>
            <c:dLbl>
              <c:idx val="0"/>
              <c:tx>
                <c:strRef>
                  <c:f>Ref!$B$31</c:f>
                  <c:strCache>
                    <c:ptCount val="1"/>
                    <c:pt idx="0">
                      <c:v>40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t"/>
            </c:dLbl>
            <c:dLbl>
              <c:idx val="1"/>
              <c:layout>
                <c:manualLayout>
                  <c:x val="-1.9718889189905671E-2"/>
                  <c:y val="8.5655247417074629E-2"/>
                </c:manualLayout>
              </c:layout>
              <c:tx>
                <c:strRef>
                  <c:f>Ref!$B$32</c:f>
                  <c:strCache>
                    <c:ptCount val="1"/>
                    <c:pt idx="0">
                      <c:v>60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2"/>
              <c:layout>
                <c:manualLayout>
                  <c:x val="-1.8239051971999612E-2"/>
                  <c:y val="0.10088091353996728"/>
                </c:manualLayout>
              </c:layout>
              <c:tx>
                <c:strRef>
                  <c:f>Ref!$B$33</c:f>
                  <c:strCache>
                    <c:ptCount val="1"/>
                    <c:pt idx="0">
                      <c:v>80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3"/>
              <c:layout>
                <c:manualLayout>
                  <c:x val="-2.1198726407811678E-2"/>
                  <c:y val="0.13120174007612853"/>
                </c:manualLayout>
              </c:layout>
              <c:tx>
                <c:strRef>
                  <c:f>Ref!$B$34</c:f>
                  <c:strCache>
                    <c:ptCount val="1"/>
                    <c:pt idx="0">
                      <c:v>100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4"/>
              <c:layout>
                <c:manualLayout>
                  <c:x val="-2.2678563625717688E-2"/>
                  <c:y val="0.17905383360522042"/>
                </c:manualLayout>
              </c:layout>
              <c:tx>
                <c:strRef>
                  <c:f>Ref!$B$35</c:f>
                  <c:strCache>
                    <c:ptCount val="1"/>
                    <c:pt idx="0">
                      <c:v>120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5"/>
              <c:layout>
                <c:manualLayout>
                  <c:x val="-1.8239051971999612E-2"/>
                  <c:y val="0.23125611745513874"/>
                </c:manualLayout>
              </c:layout>
              <c:tx>
                <c:strRef>
                  <c:f>Ref!$B$36</c:f>
                  <c:strCache>
                    <c:ptCount val="1"/>
                    <c:pt idx="0">
                      <c:v>140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6"/>
              <c:layout>
                <c:manualLayout>
                  <c:x val="-1.9718889189905671E-2"/>
                  <c:y val="0.25953235454051077"/>
                </c:manualLayout>
              </c:layout>
              <c:tx>
                <c:strRef>
                  <c:f>Ref!$B$37</c:f>
                  <c:strCache>
                    <c:ptCount val="1"/>
                    <c:pt idx="0">
                      <c:v>160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7"/>
              <c:layout>
                <c:manualLayout>
                  <c:x val="-1.8239051971999612E-2"/>
                  <c:y val="0.3073844480696038"/>
                </c:manualLayout>
              </c:layout>
              <c:tx>
                <c:strRef>
                  <c:f>Ref!$B$38</c:f>
                  <c:strCache>
                    <c:ptCount val="1"/>
                    <c:pt idx="0">
                      <c:v>180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8"/>
              <c:layout>
                <c:manualLayout>
                  <c:x val="-2.1198726407811678E-2"/>
                  <c:y val="0.29868406742795062"/>
                </c:manualLayout>
              </c:layout>
              <c:tx>
                <c:strRef>
                  <c:f>Ref!$B$39</c:f>
                  <c:strCache>
                    <c:ptCount val="1"/>
                    <c:pt idx="0">
                      <c:v>200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9"/>
              <c:layout>
                <c:manualLayout>
                  <c:x val="-1.9718889189905671E-2"/>
                  <c:y val="0.19862969004893963"/>
                </c:manualLayout>
              </c:layout>
              <c:tx>
                <c:strRef>
                  <c:f>Ref!$B$40</c:f>
                  <c:strCache>
                    <c:ptCount val="1"/>
                    <c:pt idx="0">
                      <c:v>220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10"/>
              <c:layout>
                <c:manualLayout>
                  <c:x val="-2.1198726407811678E-2"/>
                  <c:y val="8.7699836867863062E-2"/>
                </c:manualLayout>
              </c:layout>
              <c:tx>
                <c:strRef>
                  <c:f>Ref!$B$41</c:f>
                  <c:strCache>
                    <c:ptCount val="1"/>
                    <c:pt idx="0">
                      <c:v>240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r"/>
            </c:dLbl>
            <c:dLbl>
              <c:idx val="11"/>
              <c:layout/>
              <c:tx>
                <c:strRef>
                  <c:f>Ref!$B$42</c:f>
                  <c:strCache>
                    <c:ptCount val="1"/>
                    <c:pt idx="0">
                      <c:v>260</c:v>
                    </c:pt>
                  </c:strCache>
                </c:strRef>
              </c:tx>
              <c:spPr>
                <a:solidFill>
                  <a:srgbClr val="FFFFFF"/>
                </a:solid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t"/>
            </c:dLbl>
            <c:dLbl>
              <c:idx val="12"/>
              <c:delete val="1"/>
            </c:dLbl>
            <c:dLbl>
              <c:idx val="13"/>
              <c:spPr>
                <a:noFill/>
                <a:ln w="25400">
                  <a:noFill/>
                </a:ln>
              </c:spPr>
              <c:txPr>
                <a:bodyPr rot="-5400000" vert="horz"/>
                <a:lstStyle/>
                <a:p>
                  <a:pPr algn="ctr">
                    <a:defRPr sz="1100" b="0" i="0" u="none" strike="noStrike" baseline="0">
                      <a:solidFill>
                        <a:srgbClr val="000000"/>
                      </a:solidFill>
                      <a:latin typeface="Arial"/>
                      <a:ea typeface="Arial"/>
                      <a:cs typeface="Arial"/>
                    </a:defRPr>
                  </a:pPr>
                  <a:endParaRPr lang="en-US"/>
                </a:p>
              </c:txPr>
            </c:dLbl>
            <c:dLbl>
              <c:idx val="14"/>
              <c:spPr>
                <a:noFill/>
                <a:ln w="25400">
                  <a:noFill/>
                </a:ln>
              </c:spPr>
              <c:txPr>
                <a:bodyPr rot="-5400000" vert="horz"/>
                <a:lstStyle/>
                <a:p>
                  <a:pPr algn="ctr">
                    <a:defRPr sz="1100" b="0" i="0" u="none" strike="noStrike" baseline="0">
                      <a:solidFill>
                        <a:srgbClr val="000000"/>
                      </a:solidFill>
                      <a:latin typeface="Arial"/>
                      <a:ea typeface="Arial"/>
                      <a:cs typeface="Arial"/>
                    </a:defRPr>
                  </a:pPr>
                  <a:endParaRPr lang="en-US"/>
                </a:p>
              </c:txPr>
            </c:dLbl>
            <c:spPr>
              <a:noFill/>
              <a:ln w="25400">
                <a:noFill/>
              </a:ln>
            </c:spPr>
            <c:txPr>
              <a:bodyPr rot="-5400000" vert="horz"/>
              <a:lstStyle/>
              <a:p>
                <a:pPr algn="ctr">
                  <a:defRPr sz="1100" b="0" i="0" u="none" strike="noStrike" baseline="0">
                    <a:solidFill>
                      <a:srgbClr val="808080"/>
                    </a:solidFill>
                    <a:latin typeface="Arial"/>
                    <a:ea typeface="Arial"/>
                    <a:cs typeface="Arial"/>
                  </a:defRPr>
                </a:pPr>
                <a:endParaRPr lang="en-US"/>
              </a:p>
            </c:txPr>
            <c:dLblPos val="t"/>
            <c:showVal val="1"/>
          </c:dLbls>
          <c:xVal>
            <c:numRef>
              <c:f>Ref!$H$31:$H$43</c:f>
              <c:numCache>
                <c:formatCode>0.00</c:formatCode>
                <c:ptCount val="13"/>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numCache>
            </c:numRef>
          </c:xVal>
          <c:yVal>
            <c:numRef>
              <c:f>Ref!$U$31:$U$43</c:f>
              <c:numCache>
                <c:formatCode>0</c:formatCode>
                <c:ptCount val="13"/>
                <c:pt idx="0">
                  <c:v>24.710151002438657</c:v>
                </c:pt>
                <c:pt idx="1">
                  <c:v>38.985301826299484</c:v>
                </c:pt>
                <c:pt idx="2">
                  <c:v>58.410006171250878</c:v>
                </c:pt>
                <c:pt idx="3">
                  <c:v>83.799990197445268</c:v>
                </c:pt>
                <c:pt idx="4">
                  <c:v>115.88995694757628</c:v>
                </c:pt>
                <c:pt idx="5">
                  <c:v>155.31401751157085</c:v>
                </c:pt>
                <c:pt idx="6">
                  <c:v>202.59474466812</c:v>
                </c:pt>
                <c:pt idx="7">
                  <c:v>258.13940496753702</c:v>
                </c:pt>
                <c:pt idx="8">
                  <c:v>322.24175799605899</c:v>
                </c:pt>
                <c:pt idx="9">
                  <c:v>395.08788437729567</c:v>
                </c:pt>
                <c:pt idx="10">
                  <c:v>476.76470122880727</c:v>
                </c:pt>
                <c:pt idx="11">
                  <c:v>567.27006805626013</c:v>
                </c:pt>
                <c:pt idx="12">
                  <c:v>666.52363098663034</c:v>
                </c:pt>
              </c:numCache>
            </c:numRef>
          </c:yVal>
          <c:smooth val="1"/>
        </c:ser>
        <c:ser>
          <c:idx val="1"/>
          <c:order val="1"/>
          <c:tx>
            <c:v>Quartz</c:v>
          </c:tx>
          <c:spPr>
            <a:ln w="25400">
              <a:solidFill>
                <a:srgbClr val="808080"/>
              </a:solidFill>
              <a:prstDash val="solid"/>
            </a:ln>
          </c:spPr>
          <c:marker>
            <c:symbol val="none"/>
          </c:marker>
          <c:dLbls>
            <c:dLbl>
              <c:idx val="1"/>
              <c:layout>
                <c:manualLayout>
                  <c:x val="0.40763514438608572"/>
                  <c:y val="0.18314952066554488"/>
                </c:manualLayout>
              </c:layout>
              <c:tx>
                <c:rich>
                  <a:bodyPr rot="2220000" vert="horz"/>
                  <a:lstStyle/>
                  <a:p>
                    <a:pPr algn="ctr">
                      <a:defRPr sz="1200" b="1" i="0" u="none" strike="noStrike" baseline="0">
                        <a:solidFill>
                          <a:srgbClr val="808080"/>
                        </a:solidFill>
                        <a:latin typeface="Arial"/>
                        <a:ea typeface="Arial"/>
                        <a:cs typeface="Arial"/>
                      </a:defRPr>
                    </a:pPr>
                    <a:r>
                      <a:rPr lang="en-NZ"/>
                      <a:t>Quartz </a:t>
                    </a:r>
                  </a:p>
                </c:rich>
              </c:tx>
              <c:spPr>
                <a:noFill/>
                <a:ln w="25400">
                  <a:noFill/>
                </a:ln>
              </c:spPr>
              <c:dLblPos val="r"/>
            </c:dLbl>
            <c:dLbl>
              <c:idx val="2"/>
              <c:layout>
                <c:manualLayout>
                  <c:x val="0.23606759476929998"/>
                  <c:y val="0.24371701498161033"/>
                </c:manualLayout>
              </c:layout>
              <c:tx>
                <c:rich>
                  <a:bodyPr rot="2160000" vert="horz"/>
                  <a:lstStyle/>
                  <a:p>
                    <a:pPr algn="ctr">
                      <a:defRPr sz="1200" b="1" i="0" u="none" strike="noStrike" baseline="0">
                        <a:solidFill>
                          <a:srgbClr val="808080"/>
                        </a:solidFill>
                        <a:latin typeface="Arial"/>
                        <a:ea typeface="Arial"/>
                        <a:cs typeface="Arial"/>
                      </a:defRPr>
                    </a:pPr>
                    <a:r>
                      <a:rPr lang="en-NZ"/>
                      <a:t>Chalcedony </a:t>
                    </a:r>
                  </a:p>
                </c:rich>
              </c:tx>
              <c:spPr>
                <a:noFill/>
                <a:ln w="25400">
                  <a:noFill/>
                </a:ln>
              </c:spPr>
              <c:dLblPos val="r"/>
            </c:dLbl>
            <c:delete val="1"/>
          </c:dLbls>
          <c:xVal>
            <c:numRef>
              <c:f>Ref!$H$31:$H$45</c:f>
              <c:numCache>
                <c:formatCode>0.00</c:formatCode>
                <c:ptCount val="15"/>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numCache>
            </c:numRef>
          </c:xVal>
          <c:yVal>
            <c:numRef>
              <c:f>Ref!$V$31:$V$45</c:f>
              <c:numCache>
                <c:formatCode>0</c:formatCode>
                <c:ptCount val="15"/>
                <c:pt idx="0">
                  <c:v>10.183366487510948</c:v>
                </c:pt>
                <c:pt idx="1">
                  <c:v>18.158044206408697</c:v>
                </c:pt>
                <c:pt idx="2">
                  <c:v>30.323875335963724</c:v>
                </c:pt>
                <c:pt idx="3">
                  <c:v>47.931014576041115</c:v>
                </c:pt>
                <c:pt idx="4">
                  <c:v>72.312136957399574</c:v>
                </c:pt>
                <c:pt idx="5">
                  <c:v>104.83552503913405</c:v>
                </c:pt>
                <c:pt idx="6">
                  <c:v>146.86060459549768</c:v>
                </c:pt>
                <c:pt idx="7">
                  <c:v>199.69871757975861</c:v>
                </c:pt>
                <c:pt idx="8">
                  <c:v>264.58068684268164</c:v>
                </c:pt>
                <c:pt idx="9">
                  <c:v>342.63173562388459</c:v>
                </c:pt>
                <c:pt idx="10">
                  <c:v>434.85361013824428</c:v>
                </c:pt>
                <c:pt idx="11">
                  <c:v>542.11329258464423</c:v>
                </c:pt>
                <c:pt idx="12">
                  <c:v>665.13743667568758</c:v>
                </c:pt>
                <c:pt idx="13">
                  <c:v>804.51155512801085</c:v>
                </c:pt>
                <c:pt idx="14">
                  <c:v>960.68299021067844</c:v>
                </c:pt>
              </c:numCache>
            </c:numRef>
          </c:yVal>
          <c:smooth val="1"/>
        </c:ser>
        <c:ser>
          <c:idx val="2"/>
          <c:order val="2"/>
          <c:tx>
            <c:v>60C</c:v>
          </c:tx>
          <c:spPr>
            <a:ln w="25400">
              <a:solidFill>
                <a:srgbClr val="808080"/>
              </a:solidFill>
              <a:prstDash val="solid"/>
            </a:ln>
          </c:spPr>
          <c:marker>
            <c:symbol val="none"/>
          </c:marker>
          <c:xVal>
            <c:numRef>
              <c:f>(Ref!$H$32,Ref!$H$32)</c:f>
              <c:numCache>
                <c:formatCode>0.00</c:formatCode>
                <c:ptCount val="2"/>
                <c:pt idx="0">
                  <c:v>0.75675675675675613</c:v>
                </c:pt>
                <c:pt idx="1">
                  <c:v>0.75675675675675613</c:v>
                </c:pt>
              </c:numCache>
            </c:numRef>
          </c:xVal>
          <c:yVal>
            <c:numRef>
              <c:f>(Ref!$T$32,Ref!$V$32)</c:f>
              <c:numCache>
                <c:formatCode>0</c:formatCode>
                <c:ptCount val="2"/>
                <c:pt idx="0">
                  <c:v>211.25393381312085</c:v>
                </c:pt>
                <c:pt idx="1">
                  <c:v>18.158044206408697</c:v>
                </c:pt>
              </c:numCache>
            </c:numRef>
          </c:yVal>
          <c:smooth val="1"/>
        </c:ser>
        <c:ser>
          <c:idx val="3"/>
          <c:order val="3"/>
          <c:tx>
            <c:v>80C</c:v>
          </c:tx>
          <c:spPr>
            <a:ln w="25400">
              <a:solidFill>
                <a:srgbClr val="808080"/>
              </a:solidFill>
              <a:prstDash val="solid"/>
            </a:ln>
          </c:spPr>
          <c:marker>
            <c:symbol val="none"/>
          </c:marker>
          <c:xVal>
            <c:numRef>
              <c:f>(Ref!$H$33,Ref!$H$33)</c:f>
              <c:numCache>
                <c:formatCode>0.00</c:formatCode>
                <c:ptCount val="2"/>
                <c:pt idx="0">
                  <c:v>1.5070821529745049</c:v>
                </c:pt>
                <c:pt idx="1">
                  <c:v>1.5070821529745049</c:v>
                </c:pt>
              </c:numCache>
            </c:numRef>
          </c:xVal>
          <c:yVal>
            <c:numRef>
              <c:f>(Ref!$T$33,Ref!$V$33)</c:f>
              <c:numCache>
                <c:formatCode>0</c:formatCode>
                <c:ptCount val="2"/>
                <c:pt idx="0">
                  <c:v>281.3056598678524</c:v>
                </c:pt>
                <c:pt idx="1">
                  <c:v>30.323875335963724</c:v>
                </c:pt>
              </c:numCache>
            </c:numRef>
          </c:yVal>
          <c:smooth val="1"/>
        </c:ser>
        <c:ser>
          <c:idx val="4"/>
          <c:order val="4"/>
          <c:tx>
            <c:v>100C</c:v>
          </c:tx>
          <c:spPr>
            <a:ln w="25400">
              <a:solidFill>
                <a:srgbClr val="808080"/>
              </a:solidFill>
              <a:prstDash val="solid"/>
            </a:ln>
          </c:spPr>
          <c:marker>
            <c:symbol val="none"/>
          </c:marker>
          <c:xVal>
            <c:numRef>
              <c:f>(Ref!$H$34,Ref!$H$34)</c:f>
              <c:numCache>
                <c:formatCode>0.00</c:formatCode>
                <c:ptCount val="2"/>
                <c:pt idx="0">
                  <c:v>2.176943699731904</c:v>
                </c:pt>
                <c:pt idx="1">
                  <c:v>2.176943699731904</c:v>
                </c:pt>
              </c:numCache>
            </c:numRef>
          </c:xVal>
          <c:yVal>
            <c:numRef>
              <c:f>(Ref!$T$34,Ref!$V$34)</c:f>
              <c:numCache>
                <c:formatCode>0</c:formatCode>
                <c:ptCount val="2"/>
                <c:pt idx="0">
                  <c:v>363.2574058875523</c:v>
                </c:pt>
                <c:pt idx="1">
                  <c:v>47.931014576041115</c:v>
                </c:pt>
              </c:numCache>
            </c:numRef>
          </c:yVal>
          <c:smooth val="1"/>
        </c:ser>
        <c:ser>
          <c:idx val="5"/>
          <c:order val="5"/>
          <c:tx>
            <c:v>120C</c:v>
          </c:tx>
          <c:spPr>
            <a:ln w="25400">
              <a:solidFill>
                <a:srgbClr val="808080"/>
              </a:solidFill>
              <a:prstDash val="solid"/>
            </a:ln>
          </c:spPr>
          <c:marker>
            <c:symbol val="none"/>
          </c:marker>
          <c:xVal>
            <c:numRef>
              <c:f>(Ref!$H$35,Ref!$H$35)</c:f>
              <c:numCache>
                <c:formatCode>0.00</c:formatCode>
                <c:ptCount val="2"/>
                <c:pt idx="0">
                  <c:v>2.7786259541984735</c:v>
                </c:pt>
                <c:pt idx="1">
                  <c:v>2.7786259541984735</c:v>
                </c:pt>
              </c:numCache>
            </c:numRef>
          </c:xVal>
          <c:yVal>
            <c:numRef>
              <c:f>(Ref!$T$35,Ref!$V$35)</c:f>
              <c:numCache>
                <c:formatCode>0</c:formatCode>
                <c:ptCount val="2"/>
                <c:pt idx="0">
                  <c:v>457.03463120322141</c:v>
                </c:pt>
                <c:pt idx="1">
                  <c:v>72.312136957399574</c:v>
                </c:pt>
              </c:numCache>
            </c:numRef>
          </c:yVal>
          <c:smooth val="1"/>
        </c:ser>
        <c:ser>
          <c:idx val="6"/>
          <c:order val="6"/>
          <c:tx>
            <c:v>140C</c:v>
          </c:tx>
          <c:spPr>
            <a:ln w="25400">
              <a:solidFill>
                <a:srgbClr val="808080"/>
              </a:solidFill>
              <a:prstDash val="solid"/>
            </a:ln>
          </c:spPr>
          <c:marker>
            <c:symbol val="none"/>
          </c:marker>
          <c:xVal>
            <c:numRef>
              <c:f>(Ref!$H$36,Ref!$H$36)</c:f>
              <c:numCache>
                <c:formatCode>0.00</c:formatCode>
                <c:ptCount val="2"/>
                <c:pt idx="0">
                  <c:v>3.3220338983050852</c:v>
                </c:pt>
                <c:pt idx="1">
                  <c:v>3.3220338983050852</c:v>
                </c:pt>
              </c:numCache>
            </c:numRef>
          </c:xVal>
          <c:yVal>
            <c:numRef>
              <c:f>(Ref!$T$36,Ref!$V$36)</c:f>
              <c:numCache>
                <c:formatCode>0</c:formatCode>
                <c:ptCount val="2"/>
                <c:pt idx="0">
                  <c:v>562.37267809225182</c:v>
                </c:pt>
                <c:pt idx="1">
                  <c:v>104.83552503913405</c:v>
                </c:pt>
              </c:numCache>
            </c:numRef>
          </c:yVal>
          <c:smooth val="1"/>
        </c:ser>
        <c:ser>
          <c:idx val="14"/>
          <c:order val="7"/>
          <c:tx>
            <c:v>160C</c:v>
          </c:tx>
          <c:spPr>
            <a:ln w="25400">
              <a:solidFill>
                <a:srgbClr val="808080"/>
              </a:solidFill>
            </a:ln>
          </c:spPr>
          <c:marker>
            <c:symbol val="none"/>
          </c:marker>
          <c:xVal>
            <c:numRef>
              <c:f>(Ref!$H$37,Ref!$H$37)</c:f>
              <c:numCache>
                <c:formatCode>0.00</c:formatCode>
                <c:ptCount val="2"/>
                <c:pt idx="0">
                  <c:v>3.8152424942263288</c:v>
                </c:pt>
                <c:pt idx="1">
                  <c:v>3.8152424942263288</c:v>
                </c:pt>
              </c:numCache>
            </c:numRef>
          </c:xVal>
          <c:yVal>
            <c:numRef>
              <c:f>(Ref!$T$37,Ref!$V$37)</c:f>
              <c:numCache>
                <c:formatCode>0</c:formatCode>
                <c:ptCount val="2"/>
                <c:pt idx="0">
                  <c:v>678.85698503484628</c:v>
                </c:pt>
                <c:pt idx="1">
                  <c:v>146.86060459549768</c:v>
                </c:pt>
              </c:numCache>
            </c:numRef>
          </c:yVal>
          <c:smooth val="1"/>
        </c:ser>
        <c:ser>
          <c:idx val="8"/>
          <c:order val="8"/>
          <c:tx>
            <c:v>180C</c:v>
          </c:tx>
          <c:spPr>
            <a:ln w="25400">
              <a:solidFill>
                <a:srgbClr val="808080"/>
              </a:solidFill>
              <a:prstDash val="solid"/>
            </a:ln>
          </c:spPr>
          <c:marker>
            <c:symbol val="none"/>
          </c:marker>
          <c:xVal>
            <c:numRef>
              <c:f>(Ref!$H$38,Ref!$H$38)</c:f>
              <c:numCache>
                <c:formatCode>0.00</c:formatCode>
                <c:ptCount val="2"/>
                <c:pt idx="0">
                  <c:v>4.2649006622516552</c:v>
                </c:pt>
                <c:pt idx="1">
                  <c:v>4.2649006622516552</c:v>
                </c:pt>
              </c:numCache>
            </c:numRef>
          </c:xVal>
          <c:yVal>
            <c:numRef>
              <c:f>(Ref!$T$38,Ref!$V$38)</c:f>
              <c:numCache>
                <c:formatCode>0</c:formatCode>
                <c:ptCount val="2"/>
                <c:pt idx="0">
                  <c:v>805.95995841065974</c:v>
                </c:pt>
                <c:pt idx="1">
                  <c:v>199.69871757975861</c:v>
                </c:pt>
              </c:numCache>
            </c:numRef>
          </c:yVal>
          <c:smooth val="1"/>
        </c:ser>
        <c:ser>
          <c:idx val="9"/>
          <c:order val="9"/>
          <c:tx>
            <c:v>200C</c:v>
          </c:tx>
          <c:spPr>
            <a:ln w="25400">
              <a:solidFill>
                <a:srgbClr val="808080"/>
              </a:solidFill>
              <a:prstDash val="solid"/>
            </a:ln>
          </c:spPr>
          <c:marker>
            <c:symbol val="none"/>
          </c:marker>
          <c:xVal>
            <c:numRef>
              <c:f>(Ref!$H$39,Ref!$H$39)</c:f>
              <c:numCache>
                <c:formatCode>0.00</c:formatCode>
                <c:ptCount val="2"/>
                <c:pt idx="0">
                  <c:v>4.6765327695560268</c:v>
                </c:pt>
                <c:pt idx="1">
                  <c:v>4.6765327695560268</c:v>
                </c:pt>
              </c:numCache>
            </c:numRef>
          </c:xVal>
          <c:yVal>
            <c:numRef>
              <c:f>(Ref!$T$39,Ref!$V$39)</c:f>
              <c:numCache>
                <c:formatCode>0</c:formatCode>
                <c:ptCount val="2"/>
                <c:pt idx="0">
                  <c:v>943.07331113779207</c:v>
                </c:pt>
                <c:pt idx="1">
                  <c:v>264.58068684268164</c:v>
                </c:pt>
              </c:numCache>
            </c:numRef>
          </c:yVal>
          <c:smooth val="1"/>
        </c:ser>
        <c:ser>
          <c:idx val="10"/>
          <c:order val="10"/>
          <c:tx>
            <c:v>220C</c:v>
          </c:tx>
          <c:spPr>
            <a:ln w="25400">
              <a:solidFill>
                <a:srgbClr val="808080"/>
              </a:solidFill>
              <a:prstDash val="solid"/>
            </a:ln>
          </c:spPr>
          <c:marker>
            <c:symbol val="none"/>
          </c:marker>
          <c:xVal>
            <c:numRef>
              <c:f>(Ref!$H$40,Ref!$H$40)</c:f>
              <c:numCache>
                <c:formatCode>0.00</c:formatCode>
                <c:ptCount val="2"/>
                <c:pt idx="0">
                  <c:v>5.0547667342799194</c:v>
                </c:pt>
                <c:pt idx="1">
                  <c:v>5.0547667342799194</c:v>
                </c:pt>
              </c:numCache>
            </c:numRef>
          </c:xVal>
          <c:yVal>
            <c:numRef>
              <c:f>(Ref!$T$40,Ref!$V$40)</c:f>
              <c:numCache>
                <c:formatCode>0</c:formatCode>
                <c:ptCount val="2"/>
                <c:pt idx="0">
                  <c:v>1089.5354849827384</c:v>
                </c:pt>
                <c:pt idx="1">
                  <c:v>342.63173562388459</c:v>
                </c:pt>
              </c:numCache>
            </c:numRef>
          </c:yVal>
          <c:smooth val="1"/>
        </c:ser>
        <c:ser>
          <c:idx val="13"/>
          <c:order val="11"/>
          <c:tx>
            <c:v>beta cristobalite</c:v>
          </c:tx>
          <c:spPr>
            <a:ln w="25400">
              <a:solidFill>
                <a:schemeClr val="tx1">
                  <a:lumMod val="50000"/>
                  <a:lumOff val="50000"/>
                </a:schemeClr>
              </a:solidFill>
            </a:ln>
          </c:spPr>
          <c:marker>
            <c:symbol val="none"/>
          </c:marker>
          <c:dLbls>
            <c:dLbl>
              <c:idx val="4"/>
              <c:layout>
                <c:manualLayout>
                  <c:x val="-8.287088420273761E-2"/>
                  <c:y val="2.1750780336797174E-2"/>
                </c:manualLayout>
              </c:layout>
              <c:tx>
                <c:rich>
                  <a:bodyPr rot="2640000"/>
                  <a:lstStyle/>
                  <a:p>
                    <a:pPr>
                      <a:defRPr sz="1200" b="1">
                        <a:solidFill>
                          <a:schemeClr val="tx1">
                            <a:lumMod val="50000"/>
                            <a:lumOff val="50000"/>
                          </a:schemeClr>
                        </a:solidFill>
                      </a:defRPr>
                    </a:pPr>
                    <a:r>
                      <a:rPr lang="en-US" sz="1200" b="1">
                        <a:solidFill>
                          <a:schemeClr val="tx1">
                            <a:lumMod val="50000"/>
                            <a:lumOff val="50000"/>
                          </a:schemeClr>
                        </a:solidFill>
                      </a:rPr>
                      <a:t>Beta Cristobalite</a:t>
                    </a:r>
                  </a:p>
                </c:rich>
              </c:tx>
              <c:spPr/>
              <c:showVal val="1"/>
            </c:dLbl>
            <c:delete val="1"/>
          </c:dLbls>
          <c:xVal>
            <c:numRef>
              <c:f>Ref!$H$31:$H$46</c:f>
              <c:numCache>
                <c:formatCode>0.00</c:formatCode>
                <c:ptCount val="16"/>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numCache>
            </c:numRef>
          </c:xVal>
          <c:yVal>
            <c:numRef>
              <c:f>Ref!$X$31:$X$46</c:f>
              <c:numCache>
                <c:formatCode>0</c:formatCode>
                <c:ptCount val="16"/>
                <c:pt idx="0">
                  <c:v>103.46473083574539</c:v>
                </c:pt>
                <c:pt idx="1">
                  <c:v>146.10149322725778</c:v>
                </c:pt>
                <c:pt idx="2">
                  <c:v>198.39714159290222</c:v>
                </c:pt>
                <c:pt idx="3">
                  <c:v>260.71512079289329</c:v>
                </c:pt>
                <c:pt idx="4">
                  <c:v>333.21354447550226</c:v>
                </c:pt>
                <c:pt idx="5">
                  <c:v>415.87119254917843</c:v>
                </c:pt>
                <c:pt idx="6">
                  <c:v>508.51626664276796</c:v>
                </c:pt>
                <c:pt idx="7">
                  <c:v>610.85507990527071</c:v>
                </c:pt>
                <c:pt idx="8">
                  <c:v>722.49893174815907</c:v>
                </c:pt>
                <c:pt idx="9">
                  <c:v>842.9882107231391</c:v>
                </c:pt>
                <c:pt idx="10">
                  <c:v>971.81331697907808</c:v>
                </c:pt>
                <c:pt idx="11">
                  <c:v>1108.432352319262</c:v>
                </c:pt>
                <c:pt idx="12">
                  <c:v>1252.285741681847</c:v>
                </c:pt>
                <c:pt idx="13">
                  <c:v>1402.8080674041319</c:v>
                </c:pt>
                <c:pt idx="14">
                  <c:v>1559.4374496603741</c:v>
                </c:pt>
                <c:pt idx="15">
                  <c:v>1721.6228168999812</c:v>
                </c:pt>
              </c:numCache>
            </c:numRef>
          </c:yVal>
          <c:smooth val="1"/>
        </c:ser>
        <c:ser>
          <c:idx val="7"/>
          <c:order val="12"/>
          <c:tx>
            <c:v>alpha cristo</c:v>
          </c:tx>
          <c:spPr>
            <a:ln w="25400">
              <a:solidFill>
                <a:schemeClr val="bg1">
                  <a:lumMod val="50000"/>
                </a:schemeClr>
              </a:solidFill>
            </a:ln>
          </c:spPr>
          <c:marker>
            <c:symbol val="none"/>
          </c:marker>
          <c:dLbls>
            <c:dLbl>
              <c:idx val="5"/>
              <c:layout>
                <c:manualLayout>
                  <c:x val="-8.1391046984831725E-2"/>
                  <c:y val="3.9151712887438822E-2"/>
                </c:manualLayout>
              </c:layout>
              <c:tx>
                <c:rich>
                  <a:bodyPr rot="2400000"/>
                  <a:lstStyle/>
                  <a:p>
                    <a:pPr>
                      <a:defRPr sz="1200" b="1">
                        <a:solidFill>
                          <a:schemeClr val="tx1">
                            <a:lumMod val="50000"/>
                            <a:lumOff val="50000"/>
                          </a:schemeClr>
                        </a:solidFill>
                      </a:defRPr>
                    </a:pPr>
                    <a:r>
                      <a:rPr lang="en-US" sz="1200" b="1">
                        <a:solidFill>
                          <a:schemeClr val="tx1">
                            <a:lumMod val="50000"/>
                            <a:lumOff val="50000"/>
                          </a:schemeClr>
                        </a:solidFill>
                      </a:rPr>
                      <a:t>Alpha Cristobalite</a:t>
                    </a:r>
                  </a:p>
                </c:rich>
              </c:tx>
              <c:spPr/>
              <c:showVal val="1"/>
            </c:dLbl>
            <c:delete val="1"/>
            <c:txPr>
              <a:bodyPr rot="2400000"/>
              <a:lstStyle/>
              <a:p>
                <a:pPr>
                  <a:defRPr/>
                </a:pPr>
                <a:endParaRPr lang="en-US"/>
              </a:p>
            </c:txPr>
          </c:dLbls>
          <c:xVal>
            <c:numRef>
              <c:f>Ref!$H$31:$H$46</c:f>
              <c:numCache>
                <c:formatCode>0.00</c:formatCode>
                <c:ptCount val="16"/>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numCache>
            </c:numRef>
          </c:xVal>
          <c:yVal>
            <c:numRef>
              <c:f>Ref!$W$31:$W$46</c:f>
              <c:numCache>
                <c:formatCode>0</c:formatCode>
                <c:ptCount val="16"/>
                <c:pt idx="0">
                  <c:v>38.469081855070932</c:v>
                </c:pt>
                <c:pt idx="1">
                  <c:v>59.840745725595298</c:v>
                </c:pt>
                <c:pt idx="2">
                  <c:v>88.539855772776036</c:v>
                </c:pt>
                <c:pt idx="3">
                  <c:v>125.61307653436113</c:v>
                </c:pt>
                <c:pt idx="4">
                  <c:v>171.97714618089276</c:v>
                </c:pt>
                <c:pt idx="5">
                  <c:v>228.39810377096529</c:v>
                </c:pt>
                <c:pt idx="6">
                  <c:v>295.48210062967837</c:v>
                </c:pt>
                <c:pt idx="7">
                  <c:v>373.67537690077319</c:v>
                </c:pt>
                <c:pt idx="8">
                  <c:v>463.27097888019568</c:v>
                </c:pt>
                <c:pt idx="9">
                  <c:v>564.42005155418121</c:v>
                </c:pt>
                <c:pt idx="10">
                  <c:v>677.14591243710493</c:v>
                </c:pt>
                <c:pt idx="11">
                  <c:v>801.35950429484615</c:v>
                </c:pt>
                <c:pt idx="12">
                  <c:v>936.87518507601681</c:v>
                </c:pt>
                <c:pt idx="13">
                  <c:v>1083.4261206612468</c:v>
                </c:pt>
                <c:pt idx="14">
                  <c:v>1240.6787939195372</c:v>
                </c:pt>
                <c:pt idx="15">
                  <c:v>1408.2463351445542</c:v>
                </c:pt>
              </c:numCache>
            </c:numRef>
          </c:yVal>
          <c:smooth val="1"/>
        </c:ser>
        <c:ser>
          <c:idx val="11"/>
          <c:order val="13"/>
          <c:tx>
            <c:v>Amorphous</c:v>
          </c:tx>
          <c:spPr>
            <a:ln w="25400">
              <a:solidFill>
                <a:prstClr val="white">
                  <a:lumMod val="50000"/>
                </a:prstClr>
              </a:solidFill>
            </a:ln>
          </c:spPr>
          <c:marker>
            <c:symbol val="none"/>
          </c:marker>
          <c:dLbls>
            <c:dLbl>
              <c:idx val="3"/>
              <c:layout>
                <c:manualLayout>
                  <c:x val="-7.2512023677395523E-2"/>
                  <c:y val="5.8727569331158323E-2"/>
                </c:manualLayout>
              </c:layout>
              <c:tx>
                <c:rich>
                  <a:bodyPr rot="2700000"/>
                  <a:lstStyle/>
                  <a:p>
                    <a:pPr>
                      <a:defRPr sz="1200" b="1">
                        <a:solidFill>
                          <a:schemeClr val="tx1">
                            <a:lumMod val="50000"/>
                            <a:lumOff val="50000"/>
                          </a:schemeClr>
                        </a:solidFill>
                      </a:defRPr>
                    </a:pPr>
                    <a:r>
                      <a:rPr lang="en-US" sz="1200" b="1">
                        <a:solidFill>
                          <a:schemeClr val="tx1">
                            <a:lumMod val="50000"/>
                            <a:lumOff val="50000"/>
                          </a:schemeClr>
                        </a:solidFill>
                      </a:rPr>
                      <a:t>Amorphous</a:t>
                    </a:r>
                    <a:r>
                      <a:rPr lang="en-US" sz="1200" b="1" baseline="0">
                        <a:solidFill>
                          <a:schemeClr val="tx1">
                            <a:lumMod val="50000"/>
                            <a:lumOff val="50000"/>
                          </a:schemeClr>
                        </a:solidFill>
                      </a:rPr>
                      <a:t> Silica</a:t>
                    </a:r>
                    <a:endParaRPr lang="en-US" sz="1200" b="1">
                      <a:solidFill>
                        <a:schemeClr val="tx1">
                          <a:lumMod val="50000"/>
                          <a:lumOff val="50000"/>
                        </a:schemeClr>
                      </a:solidFill>
                    </a:endParaRPr>
                  </a:p>
                </c:rich>
              </c:tx>
              <c:spPr/>
              <c:showVal val="1"/>
            </c:dLbl>
            <c:delete val="1"/>
          </c:dLbls>
          <c:xVal>
            <c:numRef>
              <c:f>Ref!$H$31:$H$46</c:f>
              <c:numCache>
                <c:formatCode>0.00</c:formatCode>
                <c:ptCount val="16"/>
                <c:pt idx="0">
                  <c:v>-8.9456869009584522E-2</c:v>
                </c:pt>
                <c:pt idx="1">
                  <c:v>0.75675675675675613</c:v>
                </c:pt>
                <c:pt idx="2">
                  <c:v>1.5070821529745049</c:v>
                </c:pt>
                <c:pt idx="3">
                  <c:v>2.176943699731904</c:v>
                </c:pt>
                <c:pt idx="4">
                  <c:v>2.7786259541984735</c:v>
                </c:pt>
                <c:pt idx="5">
                  <c:v>3.3220338983050852</c:v>
                </c:pt>
                <c:pt idx="6">
                  <c:v>3.8152424942263288</c:v>
                </c:pt>
                <c:pt idx="7">
                  <c:v>4.2649006622516552</c:v>
                </c:pt>
                <c:pt idx="8">
                  <c:v>4.6765327695560268</c:v>
                </c:pt>
                <c:pt idx="9">
                  <c:v>5.0547667342799194</c:v>
                </c:pt>
                <c:pt idx="10">
                  <c:v>5.4035087719298263</c:v>
                </c:pt>
                <c:pt idx="11">
                  <c:v>5.7260787992495326</c:v>
                </c:pt>
                <c:pt idx="12">
                  <c:v>6.0253164556962027</c:v>
                </c:pt>
                <c:pt idx="13">
                  <c:v>6.3036649214659688</c:v>
                </c:pt>
                <c:pt idx="14">
                  <c:v>6.5632377740303554</c:v>
                </c:pt>
                <c:pt idx="15">
                  <c:v>6.805872756933117</c:v>
                </c:pt>
              </c:numCache>
            </c:numRef>
          </c:xVal>
          <c:yVal>
            <c:numRef>
              <c:f>Ref!$T$31:$T$46</c:f>
              <c:numCache>
                <c:formatCode>0</c:formatCode>
                <c:ptCount val="16"/>
                <c:pt idx="0">
                  <c:v>152.94551325008536</c:v>
                </c:pt>
                <c:pt idx="1">
                  <c:v>211.25393381312085</c:v>
                </c:pt>
                <c:pt idx="2">
                  <c:v>281.3056598678524</c:v>
                </c:pt>
                <c:pt idx="3">
                  <c:v>363.2574058875523</c:v>
                </c:pt>
                <c:pt idx="4">
                  <c:v>457.03463120322141</c:v>
                </c:pt>
                <c:pt idx="5">
                  <c:v>562.37267809225182</c:v>
                </c:pt>
                <c:pt idx="6">
                  <c:v>678.85698503484628</c:v>
                </c:pt>
                <c:pt idx="7">
                  <c:v>805.95995841065974</c:v>
                </c:pt>
                <c:pt idx="8">
                  <c:v>943.07331113779207</c:v>
                </c:pt>
                <c:pt idx="9">
                  <c:v>1089.5354849827384</c:v>
                </c:pt>
                <c:pt idx="10">
                  <c:v>1244.6542687682715</c:v>
                </c:pt>
                <c:pt idx="11">
                  <c:v>1407.725000840388</c:v>
                </c:pt>
                <c:pt idx="12">
                  <c:v>1578.0448745868243</c:v>
                </c:pt>
                <c:pt idx="13">
                  <c:v>1754.9239044869184</c:v>
                </c:pt>
                <c:pt idx="14">
                  <c:v>1937.6930946340706</c:v>
                </c:pt>
                <c:pt idx="15">
                  <c:v>2125.7103069050459</c:v>
                </c:pt>
              </c:numCache>
            </c:numRef>
          </c:yVal>
          <c:smooth val="1"/>
        </c:ser>
        <c:ser>
          <c:idx val="12"/>
          <c:order val="14"/>
          <c:tx>
            <c:v>data</c:v>
          </c:tx>
          <c:spPr>
            <a:ln w="28575">
              <a:noFill/>
            </a:ln>
          </c:spPr>
          <c:marker>
            <c:symbol val="diamond"/>
            <c:size val="7"/>
            <c:spPr>
              <a:solidFill>
                <a:srgbClr val="800080"/>
              </a:solidFill>
              <a:ln>
                <a:solidFill>
                  <a:srgbClr val="800080"/>
                </a:solidFill>
                <a:prstDash val="solid"/>
              </a:ln>
            </c:spPr>
          </c:marker>
          <c:dLbls>
            <c:dLbl>
              <c:idx val="0"/>
              <c:tx>
                <c:strRef>
                  <c:f>Input!$AH$8</c:f>
                  <c:strCache>
                    <c:ptCount val="1"/>
                    <c:pt idx="0">
                      <c:v>WK</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
              <c:layout/>
              <c:tx>
                <c:strRef>
                  <c:f>Input!$AH$9</c:f>
                  <c:strCache>
                    <c:ptCount val="1"/>
                    <c:pt idx="0">
                      <c:v>wk</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
              <c:layout/>
              <c:tx>
                <c:strRef>
                  <c:f>Input!$AH$10</c:f>
                  <c:strCache>
                    <c:ptCount val="1"/>
                    <c:pt idx="0">
                      <c:v>NG</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3"/>
              <c:layout/>
              <c:tx>
                <c:strRef>
                  <c:f>Input!$AH$11</c:f>
                  <c:strCache>
                    <c:ptCount val="1"/>
                    <c:pt idx="0">
                      <c:v>ng</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4"/>
              <c:tx>
                <c:strRef>
                  <c:f>Input!$AH$12</c:f>
                  <c:strCache>
                    <c:ptCount val="1"/>
                    <c:pt idx="0">
                      <c:v>ZU</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5"/>
              <c:layout/>
              <c:tx>
                <c:strRef>
                  <c:f>Input!$AH$13</c:f>
                  <c:strCache>
                    <c:ptCount val="1"/>
                    <c:pt idx="0">
                      <c:v>zu</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6"/>
              <c:tx>
                <c:strRef>
                  <c:f>Input!$AH$14</c:f>
                  <c:strCache>
                    <c:ptCount val="1"/>
                    <c:pt idx="0">
                      <c:v>MV</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7"/>
              <c:layout/>
              <c:tx>
                <c:strRef>
                  <c:f>Input!$AH$15</c:f>
                  <c:strCache>
                    <c:ptCount val="1"/>
                    <c:pt idx="0">
                      <c:v>mv</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8"/>
              <c:layout/>
              <c:tx>
                <c:strRef>
                  <c:f>Input!$AH$16</c:f>
                  <c:strCache>
                    <c:ptCount val="1"/>
                    <c:pt idx="0">
                      <c:v>ra</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9"/>
              <c:layout/>
              <c:tx>
                <c:strRef>
                  <c:f>Input!$AH$17</c:f>
                  <c:strCache>
                    <c:ptCount val="1"/>
                    <c:pt idx="0">
                      <c:v>rb</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0"/>
              <c:layout/>
              <c:tx>
                <c:strRef>
                  <c:f>Input!$AH$18</c:f>
                  <c:strCache>
                    <c:ptCount val="1"/>
                    <c:pt idx="0">
                      <c:v>ar</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1"/>
              <c:layout/>
              <c:tx>
                <c:strRef>
                  <c:f>Input!$AH$19</c:f>
                  <c:strCache>
                    <c:ptCount val="1"/>
                    <c:pt idx="0">
                      <c:v>ma</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2"/>
              <c:layout/>
              <c:tx>
                <c:strRef>
                  <c:f>Input!$AH$20</c:f>
                  <c:strCache>
                    <c:ptCount val="1"/>
                    <c:pt idx="0">
                      <c:v>fn</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3"/>
              <c:layout/>
              <c:tx>
                <c:strRef>
                  <c:f>Input!$AH$21</c:f>
                  <c:strCache>
                    <c:ptCount val="1"/>
                    <c:pt idx="0">
                      <c:v>pr</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4"/>
              <c:layout/>
              <c:tx>
                <c:strRef>
                  <c:f>Input!$AH$22</c:f>
                  <c:strCache>
                    <c:ptCount val="1"/>
                    <c:pt idx="0">
                      <c:v>ya</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5"/>
              <c:tx>
                <c:strRef>
                  <c:f>Input!$AH$23</c:f>
                  <c:strCache>
                    <c:ptCount val="1"/>
                    <c:pt idx="0">
                      <c:v>ln</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6"/>
              <c:layout/>
              <c:tx>
                <c:strRef>
                  <c:f>Input!$AH$24</c:f>
                  <c:strCache>
                    <c:ptCount val="1"/>
                    <c:pt idx="0">
                      <c:v>ws</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7"/>
              <c:layout/>
              <c:tx>
                <c:strRef>
                  <c:f>Input!$AH$25</c:f>
                  <c:strCache>
                    <c:ptCount val="1"/>
                    <c:pt idx="0">
                      <c:v>mo</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8"/>
              <c:layout/>
              <c:tx>
                <c:strRef>
                  <c:f>Input!$AH$26</c:f>
                  <c:strCache>
                    <c:ptCount val="1"/>
                    <c:pt idx="0">
                      <c:v>MU</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19"/>
              <c:layout/>
              <c:tx>
                <c:strRef>
                  <c:f>Input!$AH$27</c:f>
                  <c:strCache>
                    <c:ptCount val="1"/>
                    <c:pt idx="0">
                      <c:v>wi</c:v>
                    </c:pt>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0"/>
              <c:tx>
                <c:strRef>
                  <c:f>Input!$AH$28</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1"/>
              <c:tx>
                <c:strRef>
                  <c:f>Input!$AH$29</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2"/>
              <c:tx>
                <c:strRef>
                  <c:f>Input!$AH$30</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3"/>
              <c:tx>
                <c:strRef>
                  <c:f>Input!$AH$31</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4"/>
              <c:tx>
                <c:strRef>
                  <c:f>Input!$AH$32</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5"/>
              <c:tx>
                <c:strRef>
                  <c:f>Input!$AH$33</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6"/>
              <c:tx>
                <c:strRef>
                  <c:f>Input!$AH$34</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7"/>
              <c:tx>
                <c:strRef>
                  <c:f>Input!$AH$35</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8"/>
              <c:tx>
                <c:strRef>
                  <c:f>Input!$AH$36</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Lbl>
              <c:idx val="29"/>
              <c:tx>
                <c:strRef>
                  <c:f>Input!$AH$37</c:f>
                  <c:strCache>
                    <c:ptCount val="1"/>
                  </c:strCache>
                </c:strRef>
              </c:tx>
              <c:spPr>
                <a:noFill/>
                <a:ln w="25400">
                  <a:noFill/>
                </a:ln>
              </c:spPr>
              <c:txPr>
                <a:bodyPr/>
                <a:lstStyle/>
                <a:p>
                  <a:pPr>
                    <a:defRPr sz="1100" b="0" i="0" u="none" strike="noStrike" baseline="0">
                      <a:solidFill>
                        <a:srgbClr val="000000"/>
                      </a:solidFill>
                      <a:latin typeface="Arial"/>
                      <a:ea typeface="Arial"/>
                      <a:cs typeface="Arial"/>
                    </a:defRPr>
                  </a:pPr>
                  <a:endParaRPr lang="en-US"/>
                </a:p>
              </c:txPr>
            </c:dLbl>
            <c:delete val="1"/>
          </c:dLbls>
          <c:xVal>
            <c:numRef>
              <c:f>Input!$CY$8:$CY$37</c:f>
              <c:numCache>
                <c:formatCode>0.00</c:formatCode>
                <c:ptCount val="30"/>
                <c:pt idx="0">
                  <c:v>6.4454329422951666</c:v>
                </c:pt>
                <c:pt idx="1">
                  <c:v>3.6390435575811324</c:v>
                </c:pt>
                <c:pt idx="2">
                  <c:v>4.7501225267834002</c:v>
                </c:pt>
                <c:pt idx="3">
                  <c:v>3.466231912289536</c:v>
                </c:pt>
                <c:pt idx="4">
                  <c:v>6.6444385894678382</c:v>
                </c:pt>
                <c:pt idx="5">
                  <c:v>1.5029349925544035</c:v>
                </c:pt>
                <c:pt idx="6">
                  <c:v>6.4521239184490424</c:v>
                </c:pt>
                <c:pt idx="7">
                  <c:v>2.9823408259380271</c:v>
                </c:pt>
                <c:pt idx="8">
                  <c:v>2.5101643384980341</c:v>
                </c:pt>
                <c:pt idx="9">
                  <c:v>3.0766190292830244</c:v>
                </c:pt>
                <c:pt idx="10">
                  <c:v>3.9208187539523749</c:v>
                </c:pt>
                <c:pt idx="11">
                  <c:v>2.1259246495899511</c:v>
                </c:pt>
                <c:pt idx="12">
                  <c:v>2.8061799739838871</c:v>
                </c:pt>
                <c:pt idx="13">
                  <c:v>3.0759583679867211</c:v>
                </c:pt>
                <c:pt idx="14">
                  <c:v>4.2495244655212492</c:v>
                </c:pt>
                <c:pt idx="15">
                  <c:v>-0.14612803567823796</c:v>
                </c:pt>
                <c:pt idx="16">
                  <c:v>1.811032476778299</c:v>
                </c:pt>
                <c:pt idx="17">
                  <c:v>1.9454685851318196</c:v>
                </c:pt>
                <c:pt idx="18">
                  <c:v>3.6056641155967877</c:v>
                </c:pt>
                <c:pt idx="19">
                  <c:v>2.025763853967141</c:v>
                </c:pt>
                <c:pt idx="20">
                  <c:v>-99</c:v>
                </c:pt>
                <c:pt idx="21">
                  <c:v>-99</c:v>
                </c:pt>
                <c:pt idx="22">
                  <c:v>-99</c:v>
                </c:pt>
                <c:pt idx="23">
                  <c:v>-99</c:v>
                </c:pt>
                <c:pt idx="24">
                  <c:v>-99</c:v>
                </c:pt>
                <c:pt idx="25">
                  <c:v>-99</c:v>
                </c:pt>
                <c:pt idx="26">
                  <c:v>-99</c:v>
                </c:pt>
                <c:pt idx="27">
                  <c:v>-99</c:v>
                </c:pt>
                <c:pt idx="28">
                  <c:v>-99</c:v>
                </c:pt>
                <c:pt idx="29">
                  <c:v>-99</c:v>
                </c:pt>
              </c:numCache>
            </c:numRef>
          </c:xVal>
          <c:yVal>
            <c:numRef>
              <c:f>Input!$AT$8:$AT$37</c:f>
              <c:numCache>
                <c:formatCode>General</c:formatCode>
                <c:ptCount val="30"/>
                <c:pt idx="0">
                  <c:v>590</c:v>
                </c:pt>
                <c:pt idx="1">
                  <c:v>320</c:v>
                </c:pt>
                <c:pt idx="2">
                  <c:v>385</c:v>
                </c:pt>
                <c:pt idx="3">
                  <c:v>150</c:v>
                </c:pt>
                <c:pt idx="4">
                  <c:v>890</c:v>
                </c:pt>
                <c:pt idx="5">
                  <c:v>200</c:v>
                </c:pt>
                <c:pt idx="6">
                  <c:v>590</c:v>
                </c:pt>
                <c:pt idx="7">
                  <c:v>112</c:v>
                </c:pt>
                <c:pt idx="8">
                  <c:v>154</c:v>
                </c:pt>
                <c:pt idx="9">
                  <c:v>180</c:v>
                </c:pt>
                <c:pt idx="10">
                  <c:v>135</c:v>
                </c:pt>
                <c:pt idx="11">
                  <c:v>75</c:v>
                </c:pt>
                <c:pt idx="12">
                  <c:v>195</c:v>
                </c:pt>
                <c:pt idx="13">
                  <c:v>150</c:v>
                </c:pt>
                <c:pt idx="14">
                  <c:v>270</c:v>
                </c:pt>
                <c:pt idx="15">
                  <c:v>45</c:v>
                </c:pt>
                <c:pt idx="16">
                  <c:v>176</c:v>
                </c:pt>
                <c:pt idx="17">
                  <c:v>27</c:v>
                </c:pt>
                <c:pt idx="18">
                  <c:v>36</c:v>
                </c:pt>
                <c:pt idx="19">
                  <c:v>0</c:v>
                </c:pt>
                <c:pt idx="20">
                  <c:v>0</c:v>
                </c:pt>
                <c:pt idx="21">
                  <c:v>0</c:v>
                </c:pt>
                <c:pt idx="22">
                  <c:v>0</c:v>
                </c:pt>
                <c:pt idx="23">
                  <c:v>0</c:v>
                </c:pt>
                <c:pt idx="24">
                  <c:v>0</c:v>
                </c:pt>
                <c:pt idx="25">
                  <c:v>0</c:v>
                </c:pt>
                <c:pt idx="26">
                  <c:v>0</c:v>
                </c:pt>
                <c:pt idx="27">
                  <c:v>0</c:v>
                </c:pt>
                <c:pt idx="28">
                  <c:v>0</c:v>
                </c:pt>
                <c:pt idx="29">
                  <c:v>0</c:v>
                </c:pt>
              </c:numCache>
            </c:numRef>
          </c:yVal>
          <c:smooth val="1"/>
        </c:ser>
        <c:ser>
          <c:idx val="15"/>
          <c:order val="15"/>
          <c:tx>
            <c:v>240C</c:v>
          </c:tx>
          <c:spPr>
            <a:ln w="25400">
              <a:solidFill>
                <a:srgbClr val="808080"/>
              </a:solidFill>
            </a:ln>
          </c:spPr>
          <c:marker>
            <c:symbol val="none"/>
          </c:marker>
          <c:xVal>
            <c:numRef>
              <c:f>(Ref!$H$41,Ref!$H$41)</c:f>
              <c:numCache>
                <c:formatCode>0.00</c:formatCode>
                <c:ptCount val="2"/>
                <c:pt idx="0">
                  <c:v>5.4035087719298263</c:v>
                </c:pt>
                <c:pt idx="1">
                  <c:v>5.4035087719298263</c:v>
                </c:pt>
              </c:numCache>
            </c:numRef>
          </c:xVal>
          <c:yVal>
            <c:numRef>
              <c:f>(Ref!$T$41,Ref!$V$41)</c:f>
              <c:numCache>
                <c:formatCode>0</c:formatCode>
                <c:ptCount val="2"/>
                <c:pt idx="0">
                  <c:v>1244.6542687682715</c:v>
                </c:pt>
                <c:pt idx="1">
                  <c:v>434.85361013824428</c:v>
                </c:pt>
              </c:numCache>
            </c:numRef>
          </c:yVal>
          <c:smooth val="1"/>
        </c:ser>
        <c:axId val="96595968"/>
        <c:axId val="96597888"/>
      </c:scatterChart>
      <c:valAx>
        <c:axId val="96595968"/>
        <c:scaling>
          <c:orientation val="minMax"/>
          <c:max val="6"/>
          <c:min val="0"/>
        </c:scaling>
        <c:axPos val="t"/>
        <c:title>
          <c:tx>
            <c:rich>
              <a:bodyPr/>
              <a:lstStyle/>
              <a:p>
                <a:pPr>
                  <a:defRPr sz="1000" b="0" i="0" u="none" strike="noStrike" baseline="0">
                    <a:solidFill>
                      <a:srgbClr val="000000"/>
                    </a:solidFill>
                    <a:latin typeface="Arial"/>
                    <a:ea typeface="Arial"/>
                    <a:cs typeface="Arial"/>
                  </a:defRPr>
                </a:pPr>
                <a:r>
                  <a:rPr lang="en-NZ" sz="1400" b="1" i="0" u="none" strike="noStrike" baseline="0">
                    <a:solidFill>
                      <a:srgbClr val="000000"/>
                    </a:solidFill>
                    <a:latin typeface="Arial"/>
                    <a:cs typeface="Arial"/>
                  </a:rPr>
                  <a:t>log (K</a:t>
                </a:r>
                <a:r>
                  <a:rPr lang="en-NZ" sz="1400" b="1" i="0" u="none" strike="noStrike" baseline="30000">
                    <a:solidFill>
                      <a:srgbClr val="000000"/>
                    </a:solidFill>
                    <a:latin typeface="Arial"/>
                    <a:cs typeface="Arial"/>
                  </a:rPr>
                  <a:t>2</a:t>
                </a:r>
                <a:r>
                  <a:rPr lang="en-NZ" sz="1400" b="1" i="0" u="none" strike="noStrike" baseline="0">
                    <a:solidFill>
                      <a:srgbClr val="000000"/>
                    </a:solidFill>
                    <a:latin typeface="Arial"/>
                    <a:cs typeface="Arial"/>
                  </a:rPr>
                  <a:t>/Mg)</a:t>
                </a:r>
              </a:p>
            </c:rich>
          </c:tx>
          <c:layout>
            <c:manualLayout>
              <c:xMode val="edge"/>
              <c:yMode val="edge"/>
              <c:x val="0.46059933407325193"/>
              <c:y val="1.3050570962479609E-2"/>
            </c:manualLayout>
          </c:layout>
          <c:spPr>
            <a:noFill/>
            <a:ln w="25400">
              <a:noFill/>
            </a:ln>
          </c:spPr>
        </c:title>
        <c:numFmt formatCode="0" sourceLinked="0"/>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6597888"/>
        <c:crosses val="autoZero"/>
        <c:crossBetween val="midCat"/>
        <c:majorUnit val="1"/>
      </c:valAx>
      <c:valAx>
        <c:axId val="96597888"/>
        <c:scaling>
          <c:orientation val="maxMin"/>
          <c:max val="600"/>
          <c:min val="0"/>
        </c:scaling>
        <c:axPos val="l"/>
        <c:title>
          <c:tx>
            <c:rich>
              <a:bodyPr/>
              <a:lstStyle/>
              <a:p>
                <a:pPr>
                  <a:defRPr sz="1000" b="0" i="0" u="none" strike="noStrike" baseline="0">
                    <a:solidFill>
                      <a:srgbClr val="000000"/>
                    </a:solidFill>
                    <a:latin typeface="Arial"/>
                    <a:ea typeface="Arial"/>
                    <a:cs typeface="Arial"/>
                  </a:defRPr>
                </a:pPr>
                <a:r>
                  <a:rPr lang="en-NZ" sz="1400" b="1" i="0" u="none" strike="noStrike" baseline="0">
                    <a:solidFill>
                      <a:srgbClr val="000000"/>
                    </a:solidFill>
                    <a:latin typeface="Arial"/>
                    <a:cs typeface="Arial"/>
                  </a:rPr>
                  <a:t>SiO</a:t>
                </a:r>
                <a:r>
                  <a:rPr lang="en-NZ" sz="1400" b="1" i="0" u="none" strike="noStrike" baseline="-25000">
                    <a:solidFill>
                      <a:srgbClr val="000000"/>
                    </a:solidFill>
                    <a:latin typeface="Arial"/>
                    <a:cs typeface="Arial"/>
                  </a:rPr>
                  <a:t>2</a:t>
                </a:r>
                <a:r>
                  <a:rPr lang="en-NZ" sz="1400" b="1" i="0" u="none" strike="noStrike" baseline="0">
                    <a:solidFill>
                      <a:srgbClr val="000000"/>
                    </a:solidFill>
                    <a:latin typeface="Arial"/>
                    <a:cs typeface="Arial"/>
                  </a:rPr>
                  <a:t> mg/kg</a:t>
                </a:r>
              </a:p>
            </c:rich>
          </c:tx>
          <c:layout>
            <c:manualLayout>
              <c:xMode val="edge"/>
              <c:yMode val="edge"/>
              <c:x val="1.5538290788013319E-2"/>
              <c:y val="0.46655791190864676"/>
            </c:manualLayout>
          </c:layout>
          <c:spPr>
            <a:noFill/>
            <a:ln w="25400">
              <a:noFill/>
            </a:ln>
          </c:spPr>
        </c:title>
        <c:numFmt formatCode="0" sourceLinked="0"/>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6595968"/>
        <c:crosses val="autoZero"/>
        <c:crossBetween val="midCat"/>
      </c:valAx>
      <c:spPr>
        <a:noFill/>
        <a:ln w="3175">
          <a:solidFill>
            <a:srgbClr val="000000"/>
          </a:solidFill>
          <a:prstDash val="solid"/>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4361820199778134E-2"/>
          <c:y val="3.1117397454031179E-2"/>
          <c:w val="0.92563817980022156"/>
          <c:h val="0.95332390381895338"/>
        </c:manualLayout>
      </c:layout>
      <c:scatterChart>
        <c:scatterStyle val="lineMarker"/>
        <c:ser>
          <c:idx val="1"/>
          <c:order val="0"/>
          <c:tx>
            <c:v>A grid</c:v>
          </c:tx>
          <c:spPr>
            <a:ln w="28575">
              <a:noFill/>
            </a:ln>
          </c:spPr>
          <c:marker>
            <c:symbol val="none"/>
          </c:marker>
          <c:dLbls>
            <c:dLbl>
              <c:idx val="0"/>
              <c:layout/>
              <c:tx>
                <c:rich>
                  <a:bodyPr/>
                  <a:lstStyle/>
                  <a:p>
                    <a:r>
                      <a:rPr lang="en-NZ"/>
                      <a:t>10%</a:t>
                    </a:r>
                  </a:p>
                </c:rich>
              </c:tx>
              <c:dLblPos val="l"/>
            </c:dLbl>
            <c:dLbl>
              <c:idx val="1"/>
              <c:delete val="1"/>
            </c:dLbl>
            <c:dLbl>
              <c:idx val="2"/>
              <c:delete val="1"/>
            </c:dLbl>
            <c:dLbl>
              <c:idx val="3"/>
              <c:layout/>
              <c:tx>
                <c:rich>
                  <a:bodyPr/>
                  <a:lstStyle/>
                  <a:p>
                    <a:r>
                      <a:rPr lang="en-NZ"/>
                      <a:t>20%</a:t>
                    </a:r>
                  </a:p>
                </c:rich>
              </c:tx>
              <c:dLblPos val="l"/>
            </c:dLbl>
            <c:dLbl>
              <c:idx val="4"/>
              <c:layout/>
              <c:tx>
                <c:rich>
                  <a:bodyPr/>
                  <a:lstStyle/>
                  <a:p>
                    <a:r>
                      <a:rPr lang="en-NZ"/>
                      <a:t>30%</a:t>
                    </a:r>
                  </a:p>
                </c:rich>
              </c:tx>
              <c:dLblPos val="l"/>
            </c:dLbl>
            <c:dLbl>
              <c:idx val="5"/>
              <c:delete val="1"/>
            </c:dLbl>
            <c:dLbl>
              <c:idx val="6"/>
              <c:delete val="1"/>
            </c:dLbl>
            <c:dLbl>
              <c:idx val="7"/>
              <c:layout/>
              <c:tx>
                <c:rich>
                  <a:bodyPr/>
                  <a:lstStyle/>
                  <a:p>
                    <a:r>
                      <a:rPr lang="en-NZ"/>
                      <a:t>40%</a:t>
                    </a:r>
                  </a:p>
                </c:rich>
              </c:tx>
              <c:dLblPos val="l"/>
            </c:dLbl>
            <c:dLbl>
              <c:idx val="8"/>
              <c:layout/>
              <c:tx>
                <c:rich>
                  <a:bodyPr/>
                  <a:lstStyle/>
                  <a:p>
                    <a:r>
                      <a:rPr lang="en-NZ"/>
                      <a:t>50%</a:t>
                    </a:r>
                  </a:p>
                </c:rich>
              </c:tx>
              <c:dLblPos val="l"/>
            </c:dLbl>
            <c:dLbl>
              <c:idx val="9"/>
              <c:delete val="1"/>
            </c:dLbl>
            <c:dLbl>
              <c:idx val="10"/>
              <c:delete val="1"/>
            </c:dLbl>
            <c:dLbl>
              <c:idx val="11"/>
              <c:layout/>
              <c:tx>
                <c:rich>
                  <a:bodyPr/>
                  <a:lstStyle/>
                  <a:p>
                    <a:r>
                      <a:rPr lang="en-NZ"/>
                      <a:t>60%</a:t>
                    </a:r>
                  </a:p>
                </c:rich>
              </c:tx>
              <c:dLblPos val="l"/>
            </c:dLbl>
            <c:dLbl>
              <c:idx val="12"/>
              <c:layout/>
              <c:tx>
                <c:rich>
                  <a:bodyPr/>
                  <a:lstStyle/>
                  <a:p>
                    <a:r>
                      <a:rPr lang="en-NZ"/>
                      <a:t>70%</a:t>
                    </a:r>
                  </a:p>
                </c:rich>
              </c:tx>
              <c:dLblPos val="l"/>
            </c:dLbl>
            <c:dLbl>
              <c:idx val="13"/>
              <c:delete val="1"/>
            </c:dLbl>
            <c:dLbl>
              <c:idx val="14"/>
              <c:delete val="1"/>
            </c:dLbl>
            <c:dLbl>
              <c:idx val="15"/>
              <c:layout/>
              <c:tx>
                <c:rich>
                  <a:bodyPr/>
                  <a:lstStyle/>
                  <a:p>
                    <a:r>
                      <a:rPr lang="en-NZ"/>
                      <a:t>80%</a:t>
                    </a:r>
                  </a:p>
                </c:rich>
              </c:tx>
              <c:dLblPos val="l"/>
            </c:dLbl>
            <c:dLbl>
              <c:idx val="16"/>
              <c:layout/>
              <c:tx>
                <c:rich>
                  <a:bodyPr/>
                  <a:lstStyle/>
                  <a:p>
                    <a:r>
                      <a:rPr lang="en-NZ"/>
                      <a:t>90%</a:t>
                    </a:r>
                  </a:p>
                </c:rich>
              </c:tx>
              <c:dLblPos val="l"/>
            </c:dLbl>
            <c:dLbl>
              <c:idx val="17"/>
              <c:delete val="1"/>
            </c:dLbl>
            <c:spPr>
              <a:noFill/>
              <a:ln w="25400">
                <a:noFill/>
              </a:ln>
            </c:spPr>
            <c:txPr>
              <a:bodyPr/>
              <a:lstStyle/>
              <a:p>
                <a:pPr>
                  <a:defRPr sz="1200" b="0" i="0" u="none" strike="noStrike" baseline="0">
                    <a:solidFill>
                      <a:srgbClr val="FFFFFF"/>
                    </a:solidFill>
                    <a:latin typeface="Arial"/>
                    <a:ea typeface="Arial"/>
                    <a:cs typeface="Arial"/>
                  </a:defRPr>
                </a:pPr>
                <a:endParaRPr lang="en-US"/>
              </a:p>
            </c:txPr>
            <c:dLblPos val="l"/>
            <c:showVal val="1"/>
          </c:dLbls>
          <c:xVal>
            <c:numRef>
              <c:f>Tgrid!$F$5:$F$22</c:f>
              <c:numCache>
                <c:formatCode>General</c:formatCode>
                <c:ptCount val="18"/>
                <c:pt idx="0">
                  <c:v>5.7740000000000007E-2</c:v>
                </c:pt>
                <c:pt idx="1">
                  <c:v>1.09697</c:v>
                </c:pt>
                <c:pt idx="2">
                  <c:v>1.0392400000000002</c:v>
                </c:pt>
                <c:pt idx="3">
                  <c:v>0.11548000000000001</c:v>
                </c:pt>
                <c:pt idx="4">
                  <c:v>0.17322000000000001</c:v>
                </c:pt>
                <c:pt idx="5">
                  <c:v>0.98150999999999999</c:v>
                </c:pt>
                <c:pt idx="6">
                  <c:v>0.92378000000000005</c:v>
                </c:pt>
                <c:pt idx="7">
                  <c:v>0.23096000000000003</c:v>
                </c:pt>
                <c:pt idx="8">
                  <c:v>0.28870000000000001</c:v>
                </c:pt>
                <c:pt idx="9">
                  <c:v>0.86604999999999999</c:v>
                </c:pt>
                <c:pt idx="10">
                  <c:v>0.80832000000000015</c:v>
                </c:pt>
                <c:pt idx="11">
                  <c:v>0.34644000000000003</c:v>
                </c:pt>
                <c:pt idx="12">
                  <c:v>0.40417999999999998</c:v>
                </c:pt>
                <c:pt idx="13">
                  <c:v>0.75058999999999998</c:v>
                </c:pt>
                <c:pt idx="14">
                  <c:v>0.69286000000000003</c:v>
                </c:pt>
                <c:pt idx="15">
                  <c:v>0.46192000000000005</c:v>
                </c:pt>
                <c:pt idx="16">
                  <c:v>0.51966000000000001</c:v>
                </c:pt>
                <c:pt idx="17">
                  <c:v>0.63512999999999997</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er>
        <c:ser>
          <c:idx val="2"/>
          <c:order val="1"/>
          <c:tx>
            <c:v>B grid</c:v>
          </c:tx>
          <c:spPr>
            <a:ln w="28575">
              <a:noFill/>
            </a:ln>
          </c:spPr>
          <c:marker>
            <c:symbol val="none"/>
          </c:marker>
          <c:dLbls>
            <c:dLbl>
              <c:idx val="0"/>
              <c:layout>
                <c:manualLayout>
                  <c:x val="-2.0834709756730005E-2"/>
                  <c:y val="3.5671036169983773E-2"/>
                </c:manualLayout>
              </c:layout>
              <c:tx>
                <c:rich>
                  <a:bodyPr/>
                  <a:lstStyle/>
                  <a:p>
                    <a:r>
                      <a:rPr lang="en-NZ"/>
                      <a:t>90%</a:t>
                    </a:r>
                  </a:p>
                </c:rich>
              </c:tx>
              <c:dLblPos val="r"/>
            </c:dLbl>
            <c:dLbl>
              <c:idx val="1"/>
              <c:delete val="1"/>
            </c:dLbl>
            <c:dLbl>
              <c:idx val="2"/>
              <c:delete val="1"/>
            </c:dLbl>
            <c:dLbl>
              <c:idx val="3"/>
              <c:layout>
                <c:manualLayout>
                  <c:x val="-2.3263973246407471E-2"/>
                  <c:y val="3.2842181855980888E-2"/>
                </c:manualLayout>
              </c:layout>
              <c:tx>
                <c:rich>
                  <a:bodyPr/>
                  <a:lstStyle/>
                  <a:p>
                    <a:r>
                      <a:rPr lang="en-NZ"/>
                      <a:t>80%</a:t>
                    </a:r>
                  </a:p>
                </c:rich>
              </c:tx>
              <c:dLblPos val="r"/>
            </c:dLbl>
            <c:dLbl>
              <c:idx val="4"/>
              <c:layout>
                <c:manualLayout>
                  <c:x val="-1.9033852732892341E-2"/>
                  <c:y val="3.5671036169983773E-2"/>
                </c:manualLayout>
              </c:layout>
              <c:tx>
                <c:rich>
                  <a:bodyPr/>
                  <a:lstStyle/>
                  <a:p>
                    <a:r>
                      <a:rPr lang="en-NZ"/>
                      <a:t>70%</a:t>
                    </a:r>
                  </a:p>
                </c:rich>
              </c:tx>
              <c:dLblPos val="r"/>
            </c:dLbl>
            <c:dLbl>
              <c:idx val="5"/>
              <c:delete val="1"/>
            </c:dLbl>
            <c:dLbl>
              <c:idx val="6"/>
              <c:delete val="1"/>
            </c:dLbl>
            <c:dLbl>
              <c:idx val="7"/>
              <c:layout>
                <c:manualLayout>
                  <c:x val="-2.0353238309140372E-2"/>
                  <c:y val="3.5671036169983773E-2"/>
                </c:manualLayout>
              </c:layout>
              <c:tx>
                <c:rich>
                  <a:bodyPr/>
                  <a:lstStyle/>
                  <a:p>
                    <a:r>
                      <a:rPr lang="en-NZ"/>
                      <a:t>60%</a:t>
                    </a:r>
                  </a:p>
                </c:rich>
              </c:tx>
              <c:dLblPos val="r"/>
            </c:dLbl>
            <c:dLbl>
              <c:idx val="8"/>
              <c:layout>
                <c:manualLayout>
                  <c:x val="-2.0562745971958771E-2"/>
                  <c:y val="3.5671036169983773E-2"/>
                </c:manualLayout>
              </c:layout>
              <c:tx>
                <c:rich>
                  <a:bodyPr/>
                  <a:lstStyle/>
                  <a:p>
                    <a:r>
                      <a:rPr lang="en-NZ"/>
                      <a:t>50%</a:t>
                    </a:r>
                  </a:p>
                </c:rich>
              </c:tx>
              <c:dLblPos val="r"/>
            </c:dLbl>
            <c:dLbl>
              <c:idx val="9"/>
              <c:delete val="1"/>
            </c:dLbl>
            <c:dLbl>
              <c:idx val="10"/>
              <c:delete val="1"/>
            </c:dLbl>
            <c:dLbl>
              <c:idx val="11"/>
              <c:layout>
                <c:manualLayout>
                  <c:x val="-1.9662375721347797E-2"/>
                  <c:y val="3.5671036169983773E-2"/>
                </c:manualLayout>
              </c:layout>
              <c:tx>
                <c:rich>
                  <a:bodyPr/>
                  <a:lstStyle/>
                  <a:p>
                    <a:r>
                      <a:rPr lang="en-NZ"/>
                      <a:t>40%</a:t>
                    </a:r>
                  </a:p>
                </c:rich>
              </c:tx>
              <c:dLblPos val="r"/>
            </c:dLbl>
            <c:dLbl>
              <c:idx val="12"/>
              <c:layout>
                <c:manualLayout>
                  <c:x val="-1.8761888948121176E-2"/>
                  <c:y val="3.5671036169983773E-2"/>
                </c:manualLayout>
              </c:layout>
              <c:tx>
                <c:rich>
                  <a:bodyPr/>
                  <a:lstStyle/>
                  <a:p>
                    <a:r>
                      <a:rPr lang="en-NZ"/>
                      <a:t>30%</a:t>
                    </a:r>
                  </a:p>
                </c:rich>
              </c:tx>
              <c:dLblPos val="r"/>
            </c:dLbl>
            <c:dLbl>
              <c:idx val="13"/>
              <c:delete val="1"/>
            </c:dLbl>
            <c:dLbl>
              <c:idx val="14"/>
              <c:delete val="1"/>
            </c:dLbl>
            <c:dLbl>
              <c:idx val="15"/>
              <c:layout>
                <c:manualLayout>
                  <c:x val="-1.5641762870651166E-2"/>
                  <c:y val="3.2842181855980888E-2"/>
                </c:manualLayout>
              </c:layout>
              <c:tx>
                <c:rich>
                  <a:bodyPr/>
                  <a:lstStyle/>
                  <a:p>
                    <a:r>
                      <a:rPr lang="en-NZ"/>
                      <a:t>20%</a:t>
                    </a:r>
                  </a:p>
                </c:rich>
              </c:tx>
              <c:dLblPos val="r"/>
            </c:dLbl>
            <c:dLbl>
              <c:idx val="16"/>
              <c:layout>
                <c:manualLayout>
                  <c:x val="-2.0290782187187714E-2"/>
                  <c:y val="3.2842181855980888E-2"/>
                </c:manualLayout>
              </c:layout>
              <c:tx>
                <c:rich>
                  <a:bodyPr/>
                  <a:lstStyle/>
                  <a:p>
                    <a:r>
                      <a:rPr lang="en-NZ"/>
                      <a:t>10%</a:t>
                    </a:r>
                  </a:p>
                </c:rich>
              </c:tx>
              <c:dLblPos val="r"/>
            </c:dLbl>
            <c:dLbl>
              <c:idx val="17"/>
              <c:delete val="1"/>
            </c:dLbl>
            <c:spPr>
              <a:noFill/>
              <a:ln w="25400">
                <a:noFill/>
              </a:ln>
            </c:spPr>
            <c:txPr>
              <a:bodyPr rot="3600000" vert="horz"/>
              <a:lstStyle/>
              <a:p>
                <a:pPr algn="l">
                  <a:defRPr sz="1200" b="0" i="0" u="none" strike="noStrike" baseline="0">
                    <a:solidFill>
                      <a:srgbClr val="FFFFFF"/>
                    </a:solidFill>
                    <a:latin typeface="Arial"/>
                    <a:ea typeface="Arial"/>
                    <a:cs typeface="Arial"/>
                  </a:defRPr>
                </a:pPr>
                <a:endParaRPr lang="en-US"/>
              </a:p>
            </c:txPr>
            <c:dLblPos val="b"/>
            <c:showVal val="1"/>
          </c:dLbls>
          <c:xVal>
            <c:numRef>
              <c:f>Tgrid!$K$5:$K$22</c:f>
              <c:numCache>
                <c:formatCode>General</c:formatCode>
                <c:ptCount val="18"/>
                <c:pt idx="0">
                  <c:v>0.11547000000000002</c:v>
                </c:pt>
                <c:pt idx="1">
                  <c:v>5.7740000000000007E-2</c:v>
                </c:pt>
                <c:pt idx="2">
                  <c:v>0.11548000000000001</c:v>
                </c:pt>
                <c:pt idx="3">
                  <c:v>0.23094000000000003</c:v>
                </c:pt>
                <c:pt idx="4">
                  <c:v>0.34641</c:v>
                </c:pt>
                <c:pt idx="5">
                  <c:v>0.17322000000000001</c:v>
                </c:pt>
                <c:pt idx="6">
                  <c:v>0.23096000000000003</c:v>
                </c:pt>
                <c:pt idx="7">
                  <c:v>0.46188000000000007</c:v>
                </c:pt>
                <c:pt idx="8">
                  <c:v>0.57735000000000003</c:v>
                </c:pt>
                <c:pt idx="9">
                  <c:v>0.28870000000000001</c:v>
                </c:pt>
                <c:pt idx="10">
                  <c:v>0.34644000000000003</c:v>
                </c:pt>
                <c:pt idx="11">
                  <c:v>0.69281999999999999</c:v>
                </c:pt>
                <c:pt idx="12">
                  <c:v>0.80828999999999995</c:v>
                </c:pt>
                <c:pt idx="13">
                  <c:v>0.40417999999999998</c:v>
                </c:pt>
                <c:pt idx="14">
                  <c:v>0.46192000000000005</c:v>
                </c:pt>
                <c:pt idx="15">
                  <c:v>0.92376000000000014</c:v>
                </c:pt>
                <c:pt idx="16">
                  <c:v>1.0392300000000001</c:v>
                </c:pt>
                <c:pt idx="17">
                  <c:v>0.51966000000000001</c:v>
                </c:pt>
              </c:numCache>
            </c:numRef>
          </c:xVal>
          <c:yVal>
            <c:numRef>
              <c:f>Tgrid!$L$5:$L$22</c:f>
              <c:numCache>
                <c:formatCode>0.00</c:formatCode>
                <c:ptCount val="18"/>
                <c:pt idx="0">
                  <c:v>0</c:v>
                </c:pt>
                <c:pt idx="1">
                  <c:v>0.1</c:v>
                </c:pt>
                <c:pt idx="2">
                  <c:v>0.2</c:v>
                </c:pt>
                <c:pt idx="3">
                  <c:v>0</c:v>
                </c:pt>
                <c:pt idx="4">
                  <c:v>0</c:v>
                </c:pt>
                <c:pt idx="5">
                  <c:v>0.3</c:v>
                </c:pt>
                <c:pt idx="6">
                  <c:v>0.4</c:v>
                </c:pt>
                <c:pt idx="7">
                  <c:v>0</c:v>
                </c:pt>
                <c:pt idx="8">
                  <c:v>0</c:v>
                </c:pt>
                <c:pt idx="9">
                  <c:v>0.5</c:v>
                </c:pt>
                <c:pt idx="10">
                  <c:v>0.6</c:v>
                </c:pt>
                <c:pt idx="11">
                  <c:v>0</c:v>
                </c:pt>
                <c:pt idx="12">
                  <c:v>0</c:v>
                </c:pt>
                <c:pt idx="13">
                  <c:v>0.7</c:v>
                </c:pt>
                <c:pt idx="14">
                  <c:v>0.8</c:v>
                </c:pt>
                <c:pt idx="15">
                  <c:v>0</c:v>
                </c:pt>
                <c:pt idx="16">
                  <c:v>0</c:v>
                </c:pt>
                <c:pt idx="17">
                  <c:v>0.9</c:v>
                </c:pt>
              </c:numCache>
            </c:numRef>
          </c:yVal>
        </c:ser>
        <c:ser>
          <c:idx val="3"/>
          <c:order val="2"/>
          <c:tx>
            <c:v>C grid</c:v>
          </c:tx>
          <c:spPr>
            <a:ln w="28575">
              <a:noFill/>
            </a:ln>
          </c:spPr>
          <c:marker>
            <c:symbol val="none"/>
          </c:marker>
          <c:dLbls>
            <c:dLbl>
              <c:idx val="0"/>
              <c:delete val="1"/>
            </c:dLbl>
            <c:dLbl>
              <c:idx val="1"/>
              <c:layout>
                <c:manualLayout>
                  <c:x val="-9.5947052123478982E-3"/>
                  <c:y val="-3.0402833309202699E-2"/>
                </c:manualLayout>
              </c:layout>
              <c:tx>
                <c:rich>
                  <a:bodyPr/>
                  <a:lstStyle/>
                  <a:p>
                    <a:r>
                      <a:rPr lang="en-NZ"/>
                      <a:t>10%</a:t>
                    </a:r>
                  </a:p>
                </c:rich>
              </c:tx>
              <c:dLblPos val="r"/>
            </c:dLbl>
            <c:dLbl>
              <c:idx val="2"/>
              <c:layout>
                <c:manualLayout>
                  <c:x val="-1.1916301805226581E-2"/>
                  <c:y val="-2.9190509602141323E-2"/>
                </c:manualLayout>
              </c:layout>
              <c:tx>
                <c:rich>
                  <a:bodyPr/>
                  <a:lstStyle/>
                  <a:p>
                    <a:r>
                      <a:rPr lang="en-NZ"/>
                      <a:t>20%</a:t>
                    </a:r>
                  </a:p>
                </c:rich>
              </c:tx>
              <c:dLblPos val="r"/>
            </c:dLbl>
            <c:dLbl>
              <c:idx val="3"/>
              <c:delete val="1"/>
            </c:dLbl>
            <c:dLbl>
              <c:idx val="4"/>
              <c:delete val="1"/>
            </c:dLbl>
            <c:dLbl>
              <c:idx val="5"/>
              <c:layout>
                <c:manualLayout>
                  <c:x val="-1.201814257124627E-2"/>
                  <c:y val="-3.5050321680086996E-2"/>
                </c:manualLayout>
              </c:layout>
              <c:tx>
                <c:rich>
                  <a:bodyPr/>
                  <a:lstStyle/>
                  <a:p>
                    <a:r>
                      <a:rPr lang="en-NZ"/>
                      <a:t>30%</a:t>
                    </a:r>
                  </a:p>
                </c:rich>
              </c:tx>
              <c:dLblPos val="r"/>
            </c:dLbl>
            <c:dLbl>
              <c:idx val="6"/>
              <c:layout>
                <c:manualLayout>
                  <c:x val="-1.2119983337265935E-2"/>
                  <c:y val="-3.8081130947740439E-2"/>
                </c:manualLayout>
              </c:layout>
              <c:tx>
                <c:rich>
                  <a:bodyPr/>
                  <a:lstStyle/>
                  <a:p>
                    <a:r>
                      <a:rPr lang="en-NZ"/>
                      <a:t>40%</a:t>
                    </a:r>
                  </a:p>
                </c:rich>
              </c:tx>
              <c:dLblPos val="r"/>
            </c:dLbl>
            <c:dLbl>
              <c:idx val="7"/>
              <c:delete val="1"/>
            </c:dLbl>
            <c:dLbl>
              <c:idx val="8"/>
              <c:delete val="1"/>
            </c:dLbl>
            <c:dLbl>
              <c:idx val="9"/>
              <c:layout>
                <c:manualLayout>
                  <c:x val="-1.5551457843574165E-2"/>
                  <c:y val="-4.3940943025686095E-2"/>
                </c:manualLayout>
              </c:layout>
              <c:tx>
                <c:rich>
                  <a:bodyPr/>
                  <a:lstStyle/>
                  <a:p>
                    <a:r>
                      <a:rPr lang="en-NZ"/>
                      <a:t>50%</a:t>
                    </a:r>
                  </a:p>
                </c:rich>
              </c:tx>
              <c:dLblPos val="r"/>
            </c:dLbl>
            <c:dLbl>
              <c:idx val="10"/>
              <c:layout>
                <c:manualLayout>
                  <c:x val="-1.1213786955875757E-2"/>
                  <c:y val="-4.4143046475626273E-2"/>
                </c:manualLayout>
              </c:layout>
              <c:tx>
                <c:rich>
                  <a:bodyPr/>
                  <a:lstStyle/>
                  <a:p>
                    <a:r>
                      <a:rPr lang="en-NZ"/>
                      <a:t>60%</a:t>
                    </a:r>
                  </a:p>
                </c:rich>
              </c:tx>
              <c:dLblPos val="r"/>
            </c:dLbl>
            <c:dLbl>
              <c:idx val="11"/>
              <c:delete val="1"/>
            </c:dLbl>
            <c:dLbl>
              <c:idx val="12"/>
              <c:delete val="1"/>
            </c:dLbl>
            <c:dLbl>
              <c:idx val="13"/>
              <c:layout>
                <c:manualLayout>
                  <c:x val="-9.0958718950364201E-3"/>
                  <c:y val="-4.1516147115273905E-2"/>
                </c:manualLayout>
              </c:layout>
              <c:tx>
                <c:rich>
                  <a:bodyPr/>
                  <a:lstStyle/>
                  <a:p>
                    <a:r>
                      <a:rPr lang="en-NZ"/>
                      <a:t>70%</a:t>
                    </a:r>
                  </a:p>
                </c:rich>
              </c:tx>
              <c:dLblPos val="r"/>
            </c:dLbl>
            <c:dLbl>
              <c:idx val="14"/>
              <c:layout>
                <c:manualLayout>
                  <c:x val="-1.2527346401344621E-2"/>
                  <c:y val="-4.1718250565213937E-2"/>
                </c:manualLayout>
              </c:layout>
              <c:tx>
                <c:rich>
                  <a:bodyPr/>
                  <a:lstStyle/>
                  <a:p>
                    <a:r>
                      <a:rPr lang="en-NZ"/>
                      <a:t>80%</a:t>
                    </a:r>
                  </a:p>
                </c:rich>
              </c:tx>
              <c:dLblPos val="r"/>
            </c:dLbl>
            <c:dLbl>
              <c:idx val="15"/>
              <c:delete val="1"/>
            </c:dLbl>
            <c:dLbl>
              <c:idx val="16"/>
              <c:delete val="1"/>
            </c:dLbl>
            <c:dLbl>
              <c:idx val="17"/>
              <c:layout>
                <c:manualLayout>
                  <c:x val="-1.262918716736428E-2"/>
                  <c:y val="-4.6163635486158303E-2"/>
                </c:manualLayout>
              </c:layout>
              <c:tx>
                <c:rich>
                  <a:bodyPr/>
                  <a:lstStyle/>
                  <a:p>
                    <a:r>
                      <a:rPr lang="en-NZ"/>
                      <a:t>90%</a:t>
                    </a:r>
                  </a:p>
                </c:rich>
              </c:tx>
              <c:dLblPos val="r"/>
            </c:dLbl>
            <c:spPr>
              <a:noFill/>
              <a:ln w="25400">
                <a:noFill/>
              </a:ln>
            </c:spPr>
            <c:txPr>
              <a:bodyPr rot="-3600000" vert="horz"/>
              <a:lstStyle/>
              <a:p>
                <a:pPr algn="l">
                  <a:defRPr sz="1200" b="0" i="0" u="none" strike="noStrike" baseline="0">
                    <a:solidFill>
                      <a:srgbClr val="FFFFFF"/>
                    </a:solidFill>
                    <a:latin typeface="Arial"/>
                    <a:ea typeface="Arial"/>
                    <a:cs typeface="Arial"/>
                  </a:defRPr>
                </a:pPr>
                <a:endParaRPr lang="en-US"/>
              </a:p>
            </c:txPr>
            <c:dLblPos val="r"/>
            <c:showVal val="1"/>
          </c:dLbls>
          <c:xVal>
            <c:numRef>
              <c:f>Tgrid!$P$5:$P$22</c:f>
              <c:numCache>
                <c:formatCode>General</c:formatCode>
                <c:ptCount val="18"/>
                <c:pt idx="0">
                  <c:v>0.11547000000000002</c:v>
                </c:pt>
                <c:pt idx="1">
                  <c:v>0.63512999999999997</c:v>
                </c:pt>
                <c:pt idx="2">
                  <c:v>0.69286000000000003</c:v>
                </c:pt>
                <c:pt idx="3">
                  <c:v>0.23094000000000003</c:v>
                </c:pt>
                <c:pt idx="4">
                  <c:v>0.34641</c:v>
                </c:pt>
                <c:pt idx="5">
                  <c:v>0.75058999999999998</c:v>
                </c:pt>
                <c:pt idx="6">
                  <c:v>0.80832000000000015</c:v>
                </c:pt>
                <c:pt idx="7">
                  <c:v>0.46188000000000007</c:v>
                </c:pt>
                <c:pt idx="8">
                  <c:v>0.57735000000000003</c:v>
                </c:pt>
                <c:pt idx="9">
                  <c:v>0.86604999999999999</c:v>
                </c:pt>
                <c:pt idx="10">
                  <c:v>0.92378000000000005</c:v>
                </c:pt>
                <c:pt idx="11">
                  <c:v>0.69281999999999999</c:v>
                </c:pt>
                <c:pt idx="12">
                  <c:v>0.80828999999999995</c:v>
                </c:pt>
                <c:pt idx="13">
                  <c:v>0.98150999999999999</c:v>
                </c:pt>
                <c:pt idx="14">
                  <c:v>1.0392400000000002</c:v>
                </c:pt>
                <c:pt idx="15">
                  <c:v>0.92376000000000014</c:v>
                </c:pt>
                <c:pt idx="16">
                  <c:v>1.0392300000000001</c:v>
                </c:pt>
                <c:pt idx="17">
                  <c:v>1.09697</c:v>
                </c:pt>
              </c:numCache>
            </c:numRef>
          </c:xVal>
          <c:yVal>
            <c:numRef>
              <c:f>Tgrid!$Q$5:$Q$22</c:f>
              <c:numCache>
                <c:formatCode>0.00</c:formatCode>
                <c:ptCount val="18"/>
                <c:pt idx="0">
                  <c:v>0</c:v>
                </c:pt>
                <c:pt idx="1">
                  <c:v>0.9</c:v>
                </c:pt>
                <c:pt idx="2">
                  <c:v>0.8</c:v>
                </c:pt>
                <c:pt idx="3">
                  <c:v>0</c:v>
                </c:pt>
                <c:pt idx="4">
                  <c:v>0</c:v>
                </c:pt>
                <c:pt idx="5">
                  <c:v>0.7</c:v>
                </c:pt>
                <c:pt idx="6">
                  <c:v>0.6</c:v>
                </c:pt>
                <c:pt idx="7">
                  <c:v>0</c:v>
                </c:pt>
                <c:pt idx="8">
                  <c:v>0</c:v>
                </c:pt>
                <c:pt idx="9">
                  <c:v>0.5</c:v>
                </c:pt>
                <c:pt idx="10">
                  <c:v>0.4</c:v>
                </c:pt>
                <c:pt idx="11">
                  <c:v>0</c:v>
                </c:pt>
                <c:pt idx="12">
                  <c:v>0</c:v>
                </c:pt>
                <c:pt idx="13">
                  <c:v>0.3</c:v>
                </c:pt>
                <c:pt idx="14">
                  <c:v>0.2</c:v>
                </c:pt>
                <c:pt idx="15">
                  <c:v>0</c:v>
                </c:pt>
                <c:pt idx="16">
                  <c:v>0</c:v>
                </c:pt>
                <c:pt idx="17">
                  <c:v>0.1</c:v>
                </c:pt>
              </c:numCache>
            </c:numRef>
          </c:yVal>
        </c:ser>
        <c:ser>
          <c:idx val="0"/>
          <c:order val="3"/>
          <c:tx>
            <c:v>border</c:v>
          </c:tx>
          <c:spPr>
            <a:ln w="38100">
              <a:solidFill>
                <a:srgbClr val="000000"/>
              </a:solidFill>
              <a:prstDash val="solid"/>
            </a:ln>
          </c:spPr>
          <c:marker>
            <c:symbol val="none"/>
          </c:marker>
          <c:dLbls>
            <c:dLbl>
              <c:idx val="0"/>
              <c:delete val="1"/>
            </c:dLbl>
            <c:dLbl>
              <c:idx val="1"/>
              <c:layout/>
              <c:tx>
                <c:strRef>
                  <c:f>Input!$CS$7</c:f>
                  <c:strCache>
                    <c:ptCount val="1"/>
                    <c:pt idx="0">
                      <c:v>Na</c:v>
                    </c:pt>
                  </c:strCache>
                </c:strRef>
              </c:tx>
              <c:dLblPos val="t"/>
            </c:dLbl>
            <c:dLbl>
              <c:idx val="2"/>
              <c:layout>
                <c:manualLayout>
                  <c:x val="2.5749167591565185E-3"/>
                  <c:y val="-6.2908968062161527E-3"/>
                </c:manualLayout>
              </c:layout>
              <c:tx>
                <c:rich>
                  <a:bodyPr/>
                  <a:lstStyle/>
                  <a:p>
                    <a:r>
                      <a:rPr lang="en-US"/>
                      <a:t>1000</a:t>
                    </a:r>
                  </a:p>
                  <a:p>
                    <a:r>
                      <a:rPr lang="en-US"/>
                      <a:t> Mg^0.5</a:t>
                    </a:r>
                  </a:p>
                </c:rich>
              </c:tx>
              <c:dLblPos val="r"/>
            </c:dLbl>
            <c:dLbl>
              <c:idx val="3"/>
              <c:layout>
                <c:manualLayout>
                  <c:x val="-7.2789464025099074E-2"/>
                  <c:y val="-4.8764696492147033E-3"/>
                </c:manualLayout>
              </c:layout>
              <c:tx>
                <c:strRef>
                  <c:f>Input!$CT$7</c:f>
                  <c:strCache>
                    <c:ptCount val="1"/>
                    <c:pt idx="0">
                      <c:v>10 K</c:v>
                    </c:pt>
                  </c:strCache>
                </c:strRef>
              </c:tx>
              <c:dLblPos val="r"/>
            </c:dLbl>
            <c:spPr>
              <a:noFill/>
              <a:ln w="25400">
                <a:noFill/>
              </a:ln>
            </c:spPr>
            <c:txPr>
              <a:bodyPr/>
              <a:lstStyle/>
              <a:p>
                <a:pPr>
                  <a:defRPr sz="1600" b="1" i="0" u="none" strike="noStrike" baseline="0">
                    <a:solidFill>
                      <a:srgbClr val="000000"/>
                    </a:solidFill>
                    <a:latin typeface="Arial"/>
                    <a:ea typeface="Arial"/>
                    <a:cs typeface="Arial"/>
                  </a:defRPr>
                </a:pPr>
                <a:endParaRPr lang="en-US"/>
              </a:p>
            </c:txPr>
            <c:showVal val="1"/>
          </c:dLbls>
          <c:xVal>
            <c:numRef>
              <c:f>Tgrid!$A$5:$A$8</c:f>
              <c:numCache>
                <c:formatCode>General</c:formatCode>
                <c:ptCount val="4"/>
                <c:pt idx="0">
                  <c:v>0</c:v>
                </c:pt>
                <c:pt idx="1">
                  <c:v>0.57740000000000002</c:v>
                </c:pt>
                <c:pt idx="2">
                  <c:v>1.1547000000000001</c:v>
                </c:pt>
                <c:pt idx="3">
                  <c:v>0</c:v>
                </c:pt>
              </c:numCache>
            </c:numRef>
          </c:xVal>
          <c:yVal>
            <c:numRef>
              <c:f>Tgrid!$B$5:$B$8</c:f>
              <c:numCache>
                <c:formatCode>General</c:formatCode>
                <c:ptCount val="4"/>
                <c:pt idx="0">
                  <c:v>0</c:v>
                </c:pt>
                <c:pt idx="1">
                  <c:v>1</c:v>
                </c:pt>
                <c:pt idx="2">
                  <c:v>0</c:v>
                </c:pt>
                <c:pt idx="3">
                  <c:v>0</c:v>
                </c:pt>
              </c:numCache>
            </c:numRef>
          </c:yVal>
        </c:ser>
        <c:ser>
          <c:idx val="5"/>
          <c:order val="4"/>
          <c:tx>
            <c:v>Equilibration line</c:v>
          </c:tx>
          <c:spPr>
            <a:ln w="25400">
              <a:solidFill>
                <a:srgbClr val="808080"/>
              </a:solidFill>
              <a:prstDash val="solid"/>
            </a:ln>
          </c:spPr>
          <c:marker>
            <c:symbol val="none"/>
          </c:marker>
          <c:dLbls>
            <c:dLbl>
              <c:idx val="0"/>
              <c:layout>
                <c:manualLayout>
                  <c:x val="-1.2927485063257183E-2"/>
                  <c:y val="-3.642955521648901E-2"/>
                </c:manualLayout>
              </c:layout>
              <c:tx>
                <c:strRef>
                  <c:f>Ref!$B$32</c:f>
                  <c:strCache>
                    <c:ptCount val="1"/>
                    <c:pt idx="0">
                      <c:v>60</c:v>
                    </c:pt>
                  </c:strCache>
                </c:strRef>
              </c:tx>
              <c:dLblPos val="r"/>
            </c:dLbl>
            <c:dLbl>
              <c:idx val="1"/>
              <c:layout>
                <c:manualLayout>
                  <c:x val="-9.5669728298390568E-3"/>
                  <c:y val="-1.9978987775042915E-2"/>
                </c:manualLayout>
              </c:layout>
              <c:tx>
                <c:strRef>
                  <c:f>Ref!$B$33</c:f>
                  <c:strCache>
                    <c:ptCount val="1"/>
                    <c:pt idx="0">
                      <c:v>80</c:v>
                    </c:pt>
                  </c:strCache>
                </c:strRef>
              </c:tx>
              <c:dLblPos val="r"/>
            </c:dLbl>
            <c:dLbl>
              <c:idx val="2"/>
              <c:layout>
                <c:manualLayout>
                  <c:x val="-2.1248248519434586E-2"/>
                  <c:y val="-2.1454298410718546E-2"/>
                </c:manualLayout>
              </c:layout>
              <c:tx>
                <c:strRef>
                  <c:f>Ref!$B$34</c:f>
                  <c:strCache>
                    <c:ptCount val="1"/>
                    <c:pt idx="0">
                      <c:v>100</c:v>
                    </c:pt>
                  </c:strCache>
                </c:strRef>
              </c:tx>
              <c:dLblPos val="r"/>
            </c:dLbl>
            <c:dLbl>
              <c:idx val="3"/>
              <c:layout>
                <c:manualLayout>
                  <c:x val="-3.0289354785146976E-2"/>
                  <c:y val="-2.1048012562786166E-2"/>
                </c:manualLayout>
              </c:layout>
              <c:tx>
                <c:strRef>
                  <c:f>Ref!$B$35</c:f>
                  <c:strCache>
                    <c:ptCount val="1"/>
                    <c:pt idx="0">
                      <c:v>120</c:v>
                    </c:pt>
                  </c:strCache>
                </c:strRef>
              </c:tx>
              <c:dLblPos val="r"/>
            </c:dLbl>
            <c:dLbl>
              <c:idx val="4"/>
              <c:layout>
                <c:manualLayout>
                  <c:x val="-3.2445256218666486E-2"/>
                  <c:y val="-2.0046256594163411E-2"/>
                </c:manualLayout>
              </c:layout>
              <c:tx>
                <c:strRef>
                  <c:f>Ref!$B$36</c:f>
                  <c:strCache>
                    <c:ptCount val="1"/>
                    <c:pt idx="0">
                      <c:v>140</c:v>
                    </c:pt>
                  </c:strCache>
                </c:strRef>
              </c:tx>
              <c:dLblPos val="r"/>
            </c:dLbl>
            <c:dLbl>
              <c:idx val="5"/>
              <c:layout>
                <c:manualLayout>
                  <c:x val="-4.6024219225648984E-2"/>
                  <c:y val="-1.387579027869042E-2"/>
                </c:manualLayout>
              </c:layout>
              <c:tx>
                <c:strRef>
                  <c:f>Ref!$B$37</c:f>
                  <c:strCache>
                    <c:ptCount val="1"/>
                    <c:pt idx="0">
                      <c:v>160</c:v>
                    </c:pt>
                  </c:strCache>
                </c:strRef>
              </c:tx>
              <c:dLblPos val="r"/>
            </c:dLbl>
            <c:dLbl>
              <c:idx val="6"/>
              <c:layout>
                <c:manualLayout>
                  <c:x val="-4.8642482397802382E-2"/>
                  <c:y val="-1.2084628035356985E-2"/>
                </c:manualLayout>
              </c:layout>
              <c:tx>
                <c:strRef>
                  <c:f>Ref!$B$38</c:f>
                  <c:strCache>
                    <c:ptCount val="1"/>
                    <c:pt idx="0">
                      <c:v>180</c:v>
                    </c:pt>
                  </c:strCache>
                </c:strRef>
              </c:tx>
              <c:dLblPos val="r"/>
            </c:dLbl>
            <c:dLbl>
              <c:idx val="7"/>
              <c:layout>
                <c:manualLayout>
                  <c:x val="-4.6967003708332213E-2"/>
                  <c:y val="-9.1014860766167084E-3"/>
                </c:manualLayout>
              </c:layout>
              <c:tx>
                <c:strRef>
                  <c:f>Ref!$B$39</c:f>
                  <c:strCache>
                    <c:ptCount val="1"/>
                    <c:pt idx="0">
                      <c:v>200</c:v>
                    </c:pt>
                  </c:strCache>
                </c:strRef>
              </c:tx>
              <c:dLblPos val="r"/>
            </c:dLbl>
            <c:dLbl>
              <c:idx val="8"/>
              <c:layout>
                <c:manualLayout>
                  <c:x val="-4.7599954556179908E-2"/>
                  <c:y val="-1.1731206866468401E-2"/>
                </c:manualLayout>
              </c:layout>
              <c:tx>
                <c:strRef>
                  <c:f>Ref!$B$40</c:f>
                  <c:strCache>
                    <c:ptCount val="1"/>
                    <c:pt idx="0">
                      <c:v>220</c:v>
                    </c:pt>
                  </c:strCache>
                </c:strRef>
              </c:tx>
              <c:dLblPos val="r"/>
            </c:dLbl>
            <c:dLbl>
              <c:idx val="9"/>
              <c:layout>
                <c:manualLayout>
                  <c:x val="-4.6884389173883795E-2"/>
                  <c:y val="-1.0022608560068621E-2"/>
                </c:manualLayout>
              </c:layout>
              <c:tx>
                <c:strRef>
                  <c:f>Ref!$B$41</c:f>
                  <c:strCache>
                    <c:ptCount val="1"/>
                    <c:pt idx="0">
                      <c:v>240</c:v>
                    </c:pt>
                  </c:strCache>
                </c:strRef>
              </c:tx>
              <c:dLblPos val="r"/>
            </c:dLbl>
            <c:dLbl>
              <c:idx val="10"/>
              <c:layout>
                <c:manualLayout>
                  <c:x val="-4.7465603980412649E-2"/>
                  <c:y val="-1.0161155598124486E-2"/>
                </c:manualLayout>
              </c:layout>
              <c:tx>
                <c:strRef>
                  <c:f>Ref!$B$42</c:f>
                  <c:strCache>
                    <c:ptCount val="1"/>
                    <c:pt idx="0">
                      <c:v>260</c:v>
                    </c:pt>
                  </c:strCache>
                </c:strRef>
              </c:tx>
              <c:dLblPos val="r"/>
            </c:dLbl>
            <c:dLbl>
              <c:idx val="11"/>
              <c:layout>
                <c:manualLayout>
                  <c:x val="-5.2765751672827793E-2"/>
                  <c:y val="-9.1302943567697289E-3"/>
                </c:manualLayout>
              </c:layout>
              <c:tx>
                <c:strRef>
                  <c:f>Ref!$B$43</c:f>
                  <c:strCache>
                    <c:ptCount val="1"/>
                    <c:pt idx="0">
                      <c:v>280</c:v>
                    </c:pt>
                  </c:strCache>
                </c:strRef>
              </c:tx>
              <c:dLblPos val="r"/>
            </c:dLbl>
            <c:dLbl>
              <c:idx val="12"/>
              <c:layout>
                <c:manualLayout>
                  <c:x val="-4.9310390030325189E-2"/>
                  <c:y val="-8.7984051498512291E-3"/>
                </c:manualLayout>
              </c:layout>
              <c:tx>
                <c:strRef>
                  <c:f>Ref!$B$44</c:f>
                  <c:strCache>
                    <c:ptCount val="1"/>
                    <c:pt idx="0">
                      <c:v>300</c:v>
                    </c:pt>
                  </c:strCache>
                </c:strRef>
              </c:tx>
              <c:dLblPos val="r"/>
            </c:dLbl>
            <c:dLbl>
              <c:idx val="13"/>
              <c:layout>
                <c:manualLayout>
                  <c:x val="-4.7891261095137881E-2"/>
                  <c:y val="-8.7054464726562582E-3"/>
                </c:manualLayout>
              </c:layout>
              <c:tx>
                <c:strRef>
                  <c:f>Ref!$B$45</c:f>
                  <c:strCache>
                    <c:ptCount val="1"/>
                    <c:pt idx="0">
                      <c:v>320</c:v>
                    </c:pt>
                  </c:strCache>
                </c:strRef>
              </c:tx>
              <c:dLblPos val="r"/>
            </c:dLbl>
            <c:dLbl>
              <c:idx val="14"/>
              <c:layout>
                <c:manualLayout>
                  <c:x val="-4.924269039067132E-2"/>
                  <c:y val="-4.4917157632523557E-3"/>
                </c:manualLayout>
              </c:layout>
              <c:tx>
                <c:rich>
                  <a:bodyPr/>
                  <a:lstStyle/>
                  <a:p>
                    <a:r>
                      <a:rPr lang="en-NZ"/>
                      <a:t>340</a:t>
                    </a:r>
                  </a:p>
                </c:rich>
              </c:tx>
              <c:dLblPos val="r"/>
            </c:dLbl>
            <c:dLbl>
              <c:idx val="15"/>
              <c:delete val="1"/>
            </c:dLbl>
            <c:dLbl>
              <c:idx val="16"/>
              <c:delete val="1"/>
            </c:dLbl>
            <c:dLbl>
              <c:idx val="17"/>
              <c:delete val="1"/>
            </c:dLbl>
            <c:dLbl>
              <c:idx val="18"/>
              <c:delete val="1"/>
            </c:dLbl>
            <c:spPr>
              <a:noFill/>
              <a:ln w="25400">
                <a:noFill/>
              </a:ln>
            </c:spPr>
            <c:txPr>
              <a:bodyPr/>
              <a:lstStyle/>
              <a:p>
                <a:pPr>
                  <a:defRPr sz="1400" b="1" i="0" u="none" strike="noStrike" baseline="0">
                    <a:solidFill>
                      <a:srgbClr val="969696"/>
                    </a:solidFill>
                    <a:latin typeface="Arial"/>
                    <a:ea typeface="Arial"/>
                    <a:cs typeface="Arial"/>
                  </a:defRPr>
                </a:pPr>
                <a:endParaRPr lang="en-US"/>
              </a:p>
            </c:txPr>
            <c:dLblPos val="l"/>
            <c:showVal val="1"/>
          </c:dLbls>
          <c:xVal>
            <c:numRef>
              <c:f>Ref!$AN$32:$AN$50</c:f>
              <c:numCache>
                <c:formatCode>0.000</c:formatCode>
                <c:ptCount val="19"/>
                <c:pt idx="0">
                  <c:v>0.9171498147198196</c:v>
                </c:pt>
                <c:pt idx="1">
                  <c:v>0.85954254516431061</c:v>
                </c:pt>
                <c:pt idx="2">
                  <c:v>0.79915841952166744</c:v>
                </c:pt>
                <c:pt idx="3">
                  <c:v>0.7361291883260157</c:v>
                </c:pt>
                <c:pt idx="4">
                  <c:v>0.67079112163549437</c:v>
                </c:pt>
                <c:pt idx="5">
                  <c:v>0.60409494109712225</c:v>
                </c:pt>
                <c:pt idx="6">
                  <c:v>0.53763749805554217</c:v>
                </c:pt>
                <c:pt idx="7">
                  <c:v>0.47335047425979726</c:v>
                </c:pt>
                <c:pt idx="8">
                  <c:v>0.41305373224475372</c:v>
                </c:pt>
                <c:pt idx="9">
                  <c:v>0.35809973118058736</c:v>
                </c:pt>
                <c:pt idx="10">
                  <c:v>0.30922427347380538</c:v>
                </c:pt>
                <c:pt idx="11">
                  <c:v>0.26658726377408248</c:v>
                </c:pt>
                <c:pt idx="12">
                  <c:v>0.22991901120695982</c:v>
                </c:pt>
                <c:pt idx="13">
                  <c:v>0.19868904907255372</c:v>
                </c:pt>
                <c:pt idx="14">
                  <c:v>0.17224815623346354</c:v>
                </c:pt>
                <c:pt idx="15">
                  <c:v>0.13109550146160109</c:v>
                </c:pt>
                <c:pt idx="16">
                  <c:v>0.10172442892211928</c:v>
                </c:pt>
                <c:pt idx="17">
                  <c:v>5.1008475361819447E-2</c:v>
                </c:pt>
                <c:pt idx="18">
                  <c:v>0</c:v>
                </c:pt>
              </c:numCache>
            </c:numRef>
          </c:xVal>
          <c:yVal>
            <c:numRef>
              <c:f>Ref!$AO$32:$AO$50</c:f>
              <c:numCache>
                <c:formatCode>0.000</c:formatCode>
                <c:ptCount val="19"/>
                <c:pt idx="0">
                  <c:v>0.38266370734539784</c:v>
                </c:pt>
                <c:pt idx="1">
                  <c:v>0.45251951830257164</c:v>
                </c:pt>
                <c:pt idx="2">
                  <c:v>0.50851321609254307</c:v>
                </c:pt>
                <c:pt idx="3">
                  <c:v>0.54649858163342147</c:v>
                </c:pt>
                <c:pt idx="4">
                  <c:v>0.5645868805227473</c:v>
                </c:pt>
                <c:pt idx="5">
                  <c:v>0.56326268002400914</c:v>
                </c:pt>
                <c:pt idx="6">
                  <c:v>0.54512154608911634</c:v>
                </c:pt>
                <c:pt idx="7">
                  <c:v>0.51419093393156023</c:v>
                </c:pt>
                <c:pt idx="8">
                  <c:v>0.4750174254513152</c:v>
                </c:pt>
                <c:pt idx="9">
                  <c:v>0.43182927973265017</c:v>
                </c:pt>
                <c:pt idx="10">
                  <c:v>0.38800559207221957</c:v>
                </c:pt>
                <c:pt idx="11">
                  <c:v>0.34589943314298421</c:v>
                </c:pt>
                <c:pt idx="12">
                  <c:v>0.30692092911833335</c:v>
                </c:pt>
                <c:pt idx="13">
                  <c:v>0.27174583175858663</c:v>
                </c:pt>
                <c:pt idx="14">
                  <c:v>0.24054507825546234</c:v>
                </c:pt>
                <c:pt idx="15">
                  <c:v>0.18934527129758802</c:v>
                </c:pt>
                <c:pt idx="16">
                  <c:v>0.15074970869021823</c:v>
                </c:pt>
                <c:pt idx="17">
                  <c:v>7.9589276603966932E-2</c:v>
                </c:pt>
                <c:pt idx="18">
                  <c:v>0</c:v>
                </c:pt>
              </c:numCache>
            </c:numRef>
          </c:yVal>
          <c:smooth val="1"/>
        </c:ser>
        <c:ser>
          <c:idx val="6"/>
          <c:order val="5"/>
          <c:tx>
            <c:v>immature waters</c:v>
          </c:tx>
          <c:spPr>
            <a:ln w="25400">
              <a:solidFill>
                <a:srgbClr val="808080"/>
              </a:solidFill>
              <a:prstDash val="solid"/>
            </a:ln>
          </c:spPr>
          <c:marker>
            <c:symbol val="none"/>
          </c:marker>
          <c:xVal>
            <c:numRef>
              <c:f>Ref!$AS$31:$AS$50</c:f>
              <c:numCache>
                <c:formatCode>0.000</c:formatCode>
                <c:ptCount val="20"/>
                <c:pt idx="0">
                  <c:v>1.1341606610179338</c:v>
                </c:pt>
                <c:pt idx="1">
                  <c:v>1.1247579334986173</c:v>
                </c:pt>
                <c:pt idx="2">
                  <c:v>1.1122815123748109</c:v>
                </c:pt>
                <c:pt idx="3">
                  <c:v>1.0957852825924117</c:v>
                </c:pt>
                <c:pt idx="4">
                  <c:v>1.0740301574525846</c:v>
                </c:pt>
                <c:pt idx="5">
                  <c:v>1.0455628552042115</c:v>
                </c:pt>
                <c:pt idx="6">
                  <c:v>1.0089339351956852</c:v>
                </c:pt>
                <c:pt idx="7">
                  <c:v>0.96305205690973783</c:v>
                </c:pt>
                <c:pt idx="8">
                  <c:v>0.90760001647247579</c:v>
                </c:pt>
                <c:pt idx="9">
                  <c:v>0.84336359670852135</c:v>
                </c:pt>
                <c:pt idx="10">
                  <c:v>0.7723052149165287</c:v>
                </c:pt>
                <c:pt idx="11">
                  <c:v>0.69729815413659402</c:v>
                </c:pt>
                <c:pt idx="12">
                  <c:v>0.62159598844691955</c:v>
                </c:pt>
                <c:pt idx="13">
                  <c:v>0.54823990383549837</c:v>
                </c:pt>
                <c:pt idx="14">
                  <c:v>0.47961269447337357</c:v>
                </c:pt>
                <c:pt idx="15">
                  <c:v>0.41724341948175275</c:v>
                </c:pt>
                <c:pt idx="16">
                  <c:v>0.31346610138629116</c:v>
                </c:pt>
                <c:pt idx="17">
                  <c:v>0.23604780938123918</c:v>
                </c:pt>
                <c:pt idx="18">
                  <c:v>0.10389603939018321</c:v>
                </c:pt>
                <c:pt idx="19">
                  <c:v>0</c:v>
                </c:pt>
              </c:numCache>
            </c:numRef>
          </c:xVal>
          <c:yVal>
            <c:numRef>
              <c:f>Ref!$AT$31:$AT$50</c:f>
              <c:numCache>
                <c:formatCode>0.000</c:formatCode>
                <c:ptCount val="20"/>
                <c:pt idx="0">
                  <c:v>3.4185088359894172E-2</c:v>
                </c:pt>
                <c:pt idx="1">
                  <c:v>4.8232933009450939E-2</c:v>
                </c:pt>
                <c:pt idx="2">
                  <c:v>6.5033741390540162E-2</c:v>
                </c:pt>
                <c:pt idx="3">
                  <c:v>8.4262753132307425E-2</c:v>
                </c:pt>
                <c:pt idx="4">
                  <c:v>0.10532496128060537</c:v>
                </c:pt>
                <c:pt idx="5">
                  <c:v>0.12733265059666909</c:v>
                </c:pt>
                <c:pt idx="6">
                  <c:v>0.14911701770744962</c:v>
                </c:pt>
                <c:pt idx="7">
                  <c:v>0.1693044427638325</c:v>
                </c:pt>
                <c:pt idx="8">
                  <c:v>0.1864778157238158</c:v>
                </c:pt>
                <c:pt idx="9">
                  <c:v>0.19940802397403351</c:v>
                </c:pt>
                <c:pt idx="10">
                  <c:v>0.20729250425793086</c:v>
                </c:pt>
                <c:pt idx="11">
                  <c:v>0.20991078566897028</c:v>
                </c:pt>
                <c:pt idx="12">
                  <c:v>0.20763172047963263</c:v>
                </c:pt>
                <c:pt idx="13">
                  <c:v>0.20127500288574654</c:v>
                </c:pt>
                <c:pt idx="14">
                  <c:v>0.19189336813770325</c:v>
                </c:pt>
                <c:pt idx="15">
                  <c:v>0.18056004678120552</c:v>
                </c:pt>
                <c:pt idx="16">
                  <c:v>0.15561055171717295</c:v>
                </c:pt>
                <c:pt idx="17">
                  <c:v>0.13151924311182928</c:v>
                </c:pt>
                <c:pt idx="18">
                  <c:v>7.5775454654266466E-2</c:v>
                </c:pt>
                <c:pt idx="19">
                  <c:v>0</c:v>
                </c:pt>
              </c:numCache>
            </c:numRef>
          </c:yVal>
          <c:smooth val="1"/>
        </c:ser>
        <c:ser>
          <c:idx val="7"/>
          <c:order val="6"/>
          <c:tx>
            <c:v>60</c:v>
          </c:tx>
          <c:spPr>
            <a:ln w="12700">
              <a:solidFill>
                <a:srgbClr val="808080"/>
              </a:solidFill>
              <a:prstDash val="solid"/>
            </a:ln>
          </c:spPr>
          <c:marker>
            <c:symbol val="none"/>
          </c:marker>
          <c:xVal>
            <c:numRef>
              <c:f>(Ref!$AN$32,Ref!$AS$32)</c:f>
              <c:numCache>
                <c:formatCode>0.000</c:formatCode>
                <c:ptCount val="2"/>
                <c:pt idx="0">
                  <c:v>0.9171498147198196</c:v>
                </c:pt>
                <c:pt idx="1">
                  <c:v>1.1247579334986173</c:v>
                </c:pt>
              </c:numCache>
            </c:numRef>
          </c:xVal>
          <c:yVal>
            <c:numRef>
              <c:f>(Ref!$AO$32,Ref!$AT$32)</c:f>
              <c:numCache>
                <c:formatCode>0.000</c:formatCode>
                <c:ptCount val="2"/>
                <c:pt idx="0">
                  <c:v>0.38266370734539784</c:v>
                </c:pt>
                <c:pt idx="1">
                  <c:v>4.8232933009450939E-2</c:v>
                </c:pt>
              </c:numCache>
            </c:numRef>
          </c:yVal>
        </c:ser>
        <c:ser>
          <c:idx val="8"/>
          <c:order val="7"/>
          <c:tx>
            <c:v>80</c:v>
          </c:tx>
          <c:spPr>
            <a:ln w="25400">
              <a:solidFill>
                <a:srgbClr val="808080"/>
              </a:solidFill>
              <a:prstDash val="solid"/>
            </a:ln>
          </c:spPr>
          <c:marker>
            <c:symbol val="none"/>
          </c:marker>
          <c:dPt>
            <c:idx val="1"/>
            <c:spPr>
              <a:ln w="12700">
                <a:solidFill>
                  <a:srgbClr val="808080"/>
                </a:solidFill>
                <a:prstDash val="solid"/>
              </a:ln>
            </c:spPr>
          </c:dPt>
          <c:xVal>
            <c:numRef>
              <c:f>(Ref!$AN$33,Ref!$AS$33)</c:f>
              <c:numCache>
                <c:formatCode>0.000</c:formatCode>
                <c:ptCount val="2"/>
                <c:pt idx="0">
                  <c:v>0.85954254516431061</c:v>
                </c:pt>
                <c:pt idx="1">
                  <c:v>1.1122815123748109</c:v>
                </c:pt>
              </c:numCache>
            </c:numRef>
          </c:xVal>
          <c:yVal>
            <c:numRef>
              <c:f>(Ref!$AO$33,Ref!$AT$33)</c:f>
              <c:numCache>
                <c:formatCode>0.000</c:formatCode>
                <c:ptCount val="2"/>
                <c:pt idx="0">
                  <c:v>0.45251951830257164</c:v>
                </c:pt>
                <c:pt idx="1">
                  <c:v>6.5033741390540162E-2</c:v>
                </c:pt>
              </c:numCache>
            </c:numRef>
          </c:yVal>
        </c:ser>
        <c:ser>
          <c:idx val="9"/>
          <c:order val="8"/>
          <c:tx>
            <c:v>100</c:v>
          </c:tx>
          <c:spPr>
            <a:ln w="12700">
              <a:solidFill>
                <a:srgbClr val="808080"/>
              </a:solidFill>
              <a:prstDash val="solid"/>
            </a:ln>
          </c:spPr>
          <c:marker>
            <c:symbol val="none"/>
          </c:marker>
          <c:xVal>
            <c:numRef>
              <c:f>(Ref!$AN$34,Ref!$AS$34)</c:f>
              <c:numCache>
                <c:formatCode>0.000</c:formatCode>
                <c:ptCount val="2"/>
                <c:pt idx="0">
                  <c:v>0.79915841952166744</c:v>
                </c:pt>
                <c:pt idx="1">
                  <c:v>1.0957852825924117</c:v>
                </c:pt>
              </c:numCache>
            </c:numRef>
          </c:xVal>
          <c:yVal>
            <c:numRef>
              <c:f>(Ref!$AO$34,Ref!$AT$34)</c:f>
              <c:numCache>
                <c:formatCode>0.000</c:formatCode>
                <c:ptCount val="2"/>
                <c:pt idx="0">
                  <c:v>0.50851321609254307</c:v>
                </c:pt>
                <c:pt idx="1">
                  <c:v>8.4262753132307425E-2</c:v>
                </c:pt>
              </c:numCache>
            </c:numRef>
          </c:yVal>
        </c:ser>
        <c:ser>
          <c:idx val="10"/>
          <c:order val="9"/>
          <c:tx>
            <c:v>120</c:v>
          </c:tx>
          <c:spPr>
            <a:ln w="12700">
              <a:solidFill>
                <a:srgbClr val="808080"/>
              </a:solidFill>
              <a:prstDash val="solid"/>
            </a:ln>
          </c:spPr>
          <c:marker>
            <c:symbol val="none"/>
          </c:marker>
          <c:xVal>
            <c:numRef>
              <c:f>(Ref!$AN$35,Ref!$AS$35)</c:f>
              <c:numCache>
                <c:formatCode>0.000</c:formatCode>
                <c:ptCount val="2"/>
                <c:pt idx="0">
                  <c:v>0.7361291883260157</c:v>
                </c:pt>
                <c:pt idx="1">
                  <c:v>1.0740301574525846</c:v>
                </c:pt>
              </c:numCache>
            </c:numRef>
          </c:xVal>
          <c:yVal>
            <c:numRef>
              <c:f>(Ref!$AO$35,Ref!$AT$35)</c:f>
              <c:numCache>
                <c:formatCode>0.000</c:formatCode>
                <c:ptCount val="2"/>
                <c:pt idx="0">
                  <c:v>0.54649858163342147</c:v>
                </c:pt>
                <c:pt idx="1">
                  <c:v>0.10532496128060537</c:v>
                </c:pt>
              </c:numCache>
            </c:numRef>
          </c:yVal>
        </c:ser>
        <c:ser>
          <c:idx val="11"/>
          <c:order val="10"/>
          <c:tx>
            <c:v>140</c:v>
          </c:tx>
          <c:spPr>
            <a:ln w="12700">
              <a:solidFill>
                <a:srgbClr val="808080"/>
              </a:solidFill>
              <a:prstDash val="solid"/>
            </a:ln>
          </c:spPr>
          <c:marker>
            <c:symbol val="none"/>
          </c:marker>
          <c:xVal>
            <c:numRef>
              <c:f>(Ref!$AN$36,Ref!$AS$36)</c:f>
              <c:numCache>
                <c:formatCode>0.000</c:formatCode>
                <c:ptCount val="2"/>
                <c:pt idx="0">
                  <c:v>0.67079112163549437</c:v>
                </c:pt>
                <c:pt idx="1">
                  <c:v>1.0455628552042115</c:v>
                </c:pt>
              </c:numCache>
            </c:numRef>
          </c:xVal>
          <c:yVal>
            <c:numRef>
              <c:f>(Ref!$AO$36,Ref!$AT$36)</c:f>
              <c:numCache>
                <c:formatCode>0.000</c:formatCode>
                <c:ptCount val="2"/>
                <c:pt idx="0">
                  <c:v>0.5645868805227473</c:v>
                </c:pt>
                <c:pt idx="1">
                  <c:v>0.12733265059666909</c:v>
                </c:pt>
              </c:numCache>
            </c:numRef>
          </c:yVal>
        </c:ser>
        <c:ser>
          <c:idx val="12"/>
          <c:order val="11"/>
          <c:tx>
            <c:v>160</c:v>
          </c:tx>
          <c:spPr>
            <a:ln w="12700">
              <a:solidFill>
                <a:srgbClr val="808080"/>
              </a:solidFill>
              <a:prstDash val="solid"/>
            </a:ln>
          </c:spPr>
          <c:marker>
            <c:symbol val="none"/>
          </c:marker>
          <c:xVal>
            <c:numRef>
              <c:f>(Ref!$AN$37,Ref!$AS$37)</c:f>
              <c:numCache>
                <c:formatCode>0.000</c:formatCode>
                <c:ptCount val="2"/>
                <c:pt idx="0">
                  <c:v>0.60409494109712225</c:v>
                </c:pt>
                <c:pt idx="1">
                  <c:v>1.0089339351956852</c:v>
                </c:pt>
              </c:numCache>
            </c:numRef>
          </c:xVal>
          <c:yVal>
            <c:numRef>
              <c:f>(Ref!$AO$37,Ref!$AT$37)</c:f>
              <c:numCache>
                <c:formatCode>0.000</c:formatCode>
                <c:ptCount val="2"/>
                <c:pt idx="0">
                  <c:v>0.56326268002400914</c:v>
                </c:pt>
                <c:pt idx="1">
                  <c:v>0.14911701770744962</c:v>
                </c:pt>
              </c:numCache>
            </c:numRef>
          </c:yVal>
        </c:ser>
        <c:ser>
          <c:idx val="13"/>
          <c:order val="12"/>
          <c:tx>
            <c:v>180</c:v>
          </c:tx>
          <c:spPr>
            <a:ln w="12700">
              <a:solidFill>
                <a:srgbClr val="808080"/>
              </a:solidFill>
              <a:prstDash val="solid"/>
            </a:ln>
          </c:spPr>
          <c:marker>
            <c:symbol val="none"/>
          </c:marker>
          <c:xVal>
            <c:numRef>
              <c:f>(Ref!$AN$38,Ref!$AS$38)</c:f>
              <c:numCache>
                <c:formatCode>0.000</c:formatCode>
                <c:ptCount val="2"/>
                <c:pt idx="0">
                  <c:v>0.53763749805554217</c:v>
                </c:pt>
                <c:pt idx="1">
                  <c:v>0.96305205690973783</c:v>
                </c:pt>
              </c:numCache>
            </c:numRef>
          </c:xVal>
          <c:yVal>
            <c:numRef>
              <c:f>(Ref!$AO$38,Ref!$AT$38)</c:f>
              <c:numCache>
                <c:formatCode>0.000</c:formatCode>
                <c:ptCount val="2"/>
                <c:pt idx="0">
                  <c:v>0.54512154608911634</c:v>
                </c:pt>
                <c:pt idx="1">
                  <c:v>0.1693044427638325</c:v>
                </c:pt>
              </c:numCache>
            </c:numRef>
          </c:yVal>
        </c:ser>
        <c:ser>
          <c:idx val="14"/>
          <c:order val="13"/>
          <c:tx>
            <c:v>200</c:v>
          </c:tx>
          <c:spPr>
            <a:ln w="12700">
              <a:solidFill>
                <a:srgbClr val="808080"/>
              </a:solidFill>
              <a:prstDash val="solid"/>
            </a:ln>
          </c:spPr>
          <c:marker>
            <c:symbol val="none"/>
          </c:marker>
          <c:xVal>
            <c:numRef>
              <c:f>(Ref!$AN$39,Ref!$AS$39)</c:f>
              <c:numCache>
                <c:formatCode>0.000</c:formatCode>
                <c:ptCount val="2"/>
                <c:pt idx="0">
                  <c:v>0.47335047425979726</c:v>
                </c:pt>
                <c:pt idx="1">
                  <c:v>0.90760001647247579</c:v>
                </c:pt>
              </c:numCache>
            </c:numRef>
          </c:xVal>
          <c:yVal>
            <c:numRef>
              <c:f>(Ref!$AO$39,Ref!$AT$39)</c:f>
              <c:numCache>
                <c:formatCode>0.000</c:formatCode>
                <c:ptCount val="2"/>
                <c:pt idx="0">
                  <c:v>0.51419093393156023</c:v>
                </c:pt>
                <c:pt idx="1">
                  <c:v>0.1864778157238158</c:v>
                </c:pt>
              </c:numCache>
            </c:numRef>
          </c:yVal>
        </c:ser>
        <c:ser>
          <c:idx val="15"/>
          <c:order val="14"/>
          <c:tx>
            <c:v>220</c:v>
          </c:tx>
          <c:spPr>
            <a:ln w="12700">
              <a:solidFill>
                <a:srgbClr val="808080"/>
              </a:solidFill>
              <a:prstDash val="solid"/>
            </a:ln>
          </c:spPr>
          <c:marker>
            <c:symbol val="none"/>
          </c:marker>
          <c:xVal>
            <c:numRef>
              <c:f>(Ref!$AN$40,Ref!$AS$40)</c:f>
              <c:numCache>
                <c:formatCode>0.000</c:formatCode>
                <c:ptCount val="2"/>
                <c:pt idx="0">
                  <c:v>0.41305373224475372</c:v>
                </c:pt>
                <c:pt idx="1">
                  <c:v>0.84336359670852135</c:v>
                </c:pt>
              </c:numCache>
            </c:numRef>
          </c:xVal>
          <c:yVal>
            <c:numRef>
              <c:f>(Ref!$AO$40,Ref!$AT$40)</c:f>
              <c:numCache>
                <c:formatCode>0.000</c:formatCode>
                <c:ptCount val="2"/>
                <c:pt idx="0">
                  <c:v>0.4750174254513152</c:v>
                </c:pt>
                <c:pt idx="1">
                  <c:v>0.19940802397403351</c:v>
                </c:pt>
              </c:numCache>
            </c:numRef>
          </c:yVal>
        </c:ser>
        <c:ser>
          <c:idx val="16"/>
          <c:order val="15"/>
          <c:tx>
            <c:v>240</c:v>
          </c:tx>
          <c:spPr>
            <a:ln w="12700">
              <a:solidFill>
                <a:srgbClr val="808080"/>
              </a:solidFill>
              <a:prstDash val="solid"/>
            </a:ln>
          </c:spPr>
          <c:marker>
            <c:symbol val="none"/>
          </c:marker>
          <c:xVal>
            <c:numRef>
              <c:f>(Ref!$AN$41,Ref!$AS$41)</c:f>
              <c:numCache>
                <c:formatCode>0.000</c:formatCode>
                <c:ptCount val="2"/>
                <c:pt idx="0">
                  <c:v>0.35809973118058736</c:v>
                </c:pt>
                <c:pt idx="1">
                  <c:v>0.7723052149165287</c:v>
                </c:pt>
              </c:numCache>
            </c:numRef>
          </c:xVal>
          <c:yVal>
            <c:numRef>
              <c:f>(Ref!$AO$41,Ref!$AT$41)</c:f>
              <c:numCache>
                <c:formatCode>0.000</c:formatCode>
                <c:ptCount val="2"/>
                <c:pt idx="0">
                  <c:v>0.43182927973265017</c:v>
                </c:pt>
                <c:pt idx="1">
                  <c:v>0.20729250425793086</c:v>
                </c:pt>
              </c:numCache>
            </c:numRef>
          </c:yVal>
        </c:ser>
        <c:ser>
          <c:idx val="17"/>
          <c:order val="16"/>
          <c:tx>
            <c:v>260</c:v>
          </c:tx>
          <c:spPr>
            <a:ln w="12700">
              <a:solidFill>
                <a:srgbClr val="808080"/>
              </a:solidFill>
              <a:prstDash val="solid"/>
            </a:ln>
          </c:spPr>
          <c:marker>
            <c:symbol val="none"/>
          </c:marker>
          <c:xVal>
            <c:numRef>
              <c:f>(Ref!$AN$42,Ref!$AS$42)</c:f>
              <c:numCache>
                <c:formatCode>0.000</c:formatCode>
                <c:ptCount val="2"/>
                <c:pt idx="0">
                  <c:v>0.30922427347380538</c:v>
                </c:pt>
                <c:pt idx="1">
                  <c:v>0.69729815413659402</c:v>
                </c:pt>
              </c:numCache>
            </c:numRef>
          </c:xVal>
          <c:yVal>
            <c:numRef>
              <c:f>(Ref!$AO$42,Ref!$AT$42)</c:f>
              <c:numCache>
                <c:formatCode>0.000</c:formatCode>
                <c:ptCount val="2"/>
                <c:pt idx="0">
                  <c:v>0.38800559207221957</c:v>
                </c:pt>
                <c:pt idx="1">
                  <c:v>0.20991078566897028</c:v>
                </c:pt>
              </c:numCache>
            </c:numRef>
          </c:yVal>
        </c:ser>
        <c:ser>
          <c:idx val="18"/>
          <c:order val="17"/>
          <c:tx>
            <c:v>280</c:v>
          </c:tx>
          <c:spPr>
            <a:ln w="12700">
              <a:solidFill>
                <a:srgbClr val="808080"/>
              </a:solidFill>
              <a:prstDash val="solid"/>
            </a:ln>
          </c:spPr>
          <c:marker>
            <c:symbol val="none"/>
          </c:marker>
          <c:xVal>
            <c:numRef>
              <c:f>(Ref!$AN$43,Ref!$AS$43)</c:f>
              <c:numCache>
                <c:formatCode>0.000</c:formatCode>
                <c:ptCount val="2"/>
                <c:pt idx="0">
                  <c:v>0.26658726377408248</c:v>
                </c:pt>
                <c:pt idx="1">
                  <c:v>0.62159598844691955</c:v>
                </c:pt>
              </c:numCache>
            </c:numRef>
          </c:xVal>
          <c:yVal>
            <c:numRef>
              <c:f>(Ref!$AO$43,Ref!$AT$43)</c:f>
              <c:numCache>
                <c:formatCode>0.000</c:formatCode>
                <c:ptCount val="2"/>
                <c:pt idx="0">
                  <c:v>0.34589943314298421</c:v>
                </c:pt>
                <c:pt idx="1">
                  <c:v>0.20763172047963263</c:v>
                </c:pt>
              </c:numCache>
            </c:numRef>
          </c:yVal>
        </c:ser>
        <c:ser>
          <c:idx val="19"/>
          <c:order val="18"/>
          <c:tx>
            <c:v>300</c:v>
          </c:tx>
          <c:spPr>
            <a:ln w="12700">
              <a:solidFill>
                <a:srgbClr val="808080"/>
              </a:solidFill>
              <a:prstDash val="solid"/>
            </a:ln>
          </c:spPr>
          <c:marker>
            <c:symbol val="none"/>
          </c:marker>
          <c:xVal>
            <c:numRef>
              <c:f>(Ref!$AN$44,Ref!$AS$44)</c:f>
              <c:numCache>
                <c:formatCode>0.000</c:formatCode>
                <c:ptCount val="2"/>
                <c:pt idx="0">
                  <c:v>0.22991901120695982</c:v>
                </c:pt>
                <c:pt idx="1">
                  <c:v>0.54823990383549837</c:v>
                </c:pt>
              </c:numCache>
            </c:numRef>
          </c:xVal>
          <c:yVal>
            <c:numRef>
              <c:f>(Ref!$AO$44,Ref!$AT$44)</c:f>
              <c:numCache>
                <c:formatCode>0.000</c:formatCode>
                <c:ptCount val="2"/>
                <c:pt idx="0">
                  <c:v>0.30692092911833335</c:v>
                </c:pt>
                <c:pt idx="1">
                  <c:v>0.20127500288574654</c:v>
                </c:pt>
              </c:numCache>
            </c:numRef>
          </c:yVal>
        </c:ser>
        <c:ser>
          <c:idx val="20"/>
          <c:order val="19"/>
          <c:tx>
            <c:v>320</c:v>
          </c:tx>
          <c:spPr>
            <a:ln w="12700">
              <a:solidFill>
                <a:srgbClr val="808080"/>
              </a:solidFill>
              <a:prstDash val="solid"/>
            </a:ln>
          </c:spPr>
          <c:marker>
            <c:symbol val="none"/>
          </c:marker>
          <c:xVal>
            <c:numRef>
              <c:f>(Ref!$AN$45,Ref!$AS$45)</c:f>
              <c:numCache>
                <c:formatCode>0.000</c:formatCode>
                <c:ptCount val="2"/>
                <c:pt idx="0">
                  <c:v>0.19868904907255372</c:v>
                </c:pt>
                <c:pt idx="1">
                  <c:v>0.47961269447337357</c:v>
                </c:pt>
              </c:numCache>
            </c:numRef>
          </c:xVal>
          <c:yVal>
            <c:numRef>
              <c:f>(Ref!$AO$45,Ref!$AT$45)</c:f>
              <c:numCache>
                <c:formatCode>0.000</c:formatCode>
                <c:ptCount val="2"/>
                <c:pt idx="0">
                  <c:v>0.27174583175858663</c:v>
                </c:pt>
                <c:pt idx="1">
                  <c:v>0.19189336813770325</c:v>
                </c:pt>
              </c:numCache>
            </c:numRef>
          </c:yVal>
        </c:ser>
        <c:ser>
          <c:idx val="21"/>
          <c:order val="20"/>
          <c:tx>
            <c:v>340</c:v>
          </c:tx>
          <c:spPr>
            <a:ln w="12700">
              <a:solidFill>
                <a:srgbClr val="969696"/>
              </a:solidFill>
              <a:prstDash val="solid"/>
            </a:ln>
          </c:spPr>
          <c:marker>
            <c:symbol val="none"/>
          </c:marker>
          <c:xVal>
            <c:numRef>
              <c:f>(Ref!$AN$46,Ref!$AS$46)</c:f>
              <c:numCache>
                <c:formatCode>0.000</c:formatCode>
                <c:ptCount val="2"/>
                <c:pt idx="0">
                  <c:v>0.17224815623346354</c:v>
                </c:pt>
                <c:pt idx="1">
                  <c:v>0.41724341948175275</c:v>
                </c:pt>
              </c:numCache>
            </c:numRef>
          </c:xVal>
          <c:yVal>
            <c:numRef>
              <c:f>(Ref!$AO$46,Ref!$AT$46)</c:f>
              <c:numCache>
                <c:formatCode>0.000</c:formatCode>
                <c:ptCount val="2"/>
                <c:pt idx="0">
                  <c:v>0.24054507825546234</c:v>
                </c:pt>
                <c:pt idx="1">
                  <c:v>0.18056004678120552</c:v>
                </c:pt>
              </c:numCache>
            </c:numRef>
          </c:yVal>
        </c:ser>
        <c:ser>
          <c:idx val="22"/>
          <c:order val="21"/>
          <c:tx>
            <c:v>rocks</c:v>
          </c:tx>
          <c:spPr>
            <a:ln w="28575">
              <a:noFill/>
            </a:ln>
          </c:spPr>
          <c:marker>
            <c:symbol val="square"/>
            <c:size val="7"/>
            <c:spPr>
              <a:solidFill>
                <a:srgbClr val="C0C0C0"/>
              </a:solidFill>
              <a:ln>
                <a:solidFill>
                  <a:srgbClr val="FF00FF"/>
                </a:solidFill>
                <a:prstDash val="solid"/>
              </a:ln>
            </c:spPr>
          </c:marker>
          <c:dLbls>
            <c:dLbl>
              <c:idx val="0"/>
              <c:layout/>
              <c:tx>
                <c:strRef>
                  <c:f>Ref!$B$4</c:f>
                  <c:strCache>
                    <c:ptCount val="1"/>
                    <c:pt idx="0">
                      <c:v>Granite</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1"/>
              <c:layout/>
              <c:tx>
                <c:strRef>
                  <c:f>Ref!$B$5</c:f>
                  <c:strCache>
                    <c:ptCount val="1"/>
                    <c:pt idx="0">
                      <c:v>Diorite</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2"/>
              <c:layout/>
              <c:tx>
                <c:strRef>
                  <c:f>Ref!$B$6</c:f>
                  <c:strCache>
                    <c:ptCount val="1"/>
                    <c:pt idx="0">
                      <c:v>Basalt</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3"/>
              <c:layout/>
              <c:tx>
                <c:strRef>
                  <c:f>Ref!$B$7</c:f>
                  <c:strCache>
                    <c:ptCount val="1"/>
                    <c:pt idx="0">
                      <c:v>Ultramafic</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4"/>
              <c:layout/>
              <c:tx>
                <c:strRef>
                  <c:f>Ref!$B$8</c:f>
                  <c:strCache>
                    <c:ptCount val="1"/>
                    <c:pt idx="0">
                      <c:v>Limestone</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5"/>
              <c:layout/>
              <c:tx>
                <c:strRef>
                  <c:f>Ref!$B$9</c:f>
                  <c:strCache>
                    <c:ptCount val="1"/>
                    <c:pt idx="0">
                      <c:v>Sandstone</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6"/>
              <c:layout/>
              <c:tx>
                <c:strRef>
                  <c:f>Ref!$B$10</c:f>
                  <c:strCache>
                    <c:ptCount val="1"/>
                    <c:pt idx="0">
                      <c:v>Shale</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Lbl>
              <c:idx val="7"/>
              <c:layout/>
              <c:tx>
                <c:strRef>
                  <c:f>Ref!$B$11</c:f>
                  <c:strCache>
                    <c:ptCount val="1"/>
                    <c:pt idx="0">
                      <c:v>Seawater</c:v>
                    </c:pt>
                  </c:strCache>
                </c:strRef>
              </c:tx>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dLbl>
            <c:delete val="1"/>
          </c:dLbls>
          <c:xVal>
            <c:numRef>
              <c:f>Ref!$AN$4:$AN$11</c:f>
              <c:numCache>
                <c:formatCode>0.000</c:formatCode>
                <c:ptCount val="8"/>
                <c:pt idx="0">
                  <c:v>0.20144487957326287</c:v>
                </c:pt>
                <c:pt idx="1">
                  <c:v>0.54673213401621101</c:v>
                </c:pt>
                <c:pt idx="2">
                  <c:v>0.62303879107825022</c:v>
                </c:pt>
                <c:pt idx="3">
                  <c:v>0.97869223311108189</c:v>
                </c:pt>
                <c:pt idx="4">
                  <c:v>1.041845931228605</c:v>
                </c:pt>
                <c:pt idx="5">
                  <c:v>0.30465565971534431</c:v>
                </c:pt>
                <c:pt idx="6">
                  <c:v>0.37773392173277914</c:v>
                </c:pt>
                <c:pt idx="7">
                  <c:v>0.94511493513023836</c:v>
                </c:pt>
              </c:numCache>
            </c:numRef>
          </c:xVal>
          <c:yVal>
            <c:numRef>
              <c:f>Ref!$AO$4:$AO$11</c:f>
              <c:numCache>
                <c:formatCode>0.000</c:formatCode>
                <c:ptCount val="8"/>
                <c:pt idx="0">
                  <c:v>6.2793227412750161E-2</c:v>
                </c:pt>
                <c:pt idx="1">
                  <c:v>8.1002979945878226E-2</c:v>
                </c:pt>
                <c:pt idx="2">
                  <c:v>8.1708043344425246E-2</c:v>
                </c:pt>
                <c:pt idx="3">
                  <c:v>7.4354922158444293E-3</c:v>
                </c:pt>
                <c:pt idx="4">
                  <c:v>3.2044155672305377E-3</c:v>
                </c:pt>
                <c:pt idx="5">
                  <c:v>8.4274665002873034E-2</c:v>
                </c:pt>
                <c:pt idx="6">
                  <c:v>2.091834967388621E-2</c:v>
                </c:pt>
                <c:pt idx="7">
                  <c:v>0.21110976270303922</c:v>
                </c:pt>
              </c:numCache>
            </c:numRef>
          </c:yVal>
        </c:ser>
        <c:ser>
          <c:idx val="4"/>
          <c:order val="22"/>
          <c:tx>
            <c:v>data</c:v>
          </c:tx>
          <c:spPr>
            <a:ln w="28575">
              <a:noFill/>
            </a:ln>
          </c:spPr>
          <c:marker>
            <c:symbol val="diamond"/>
            <c:size val="10"/>
            <c:spPr>
              <a:noFill/>
              <a:ln>
                <a:solidFill>
                  <a:srgbClr val="800080"/>
                </a:solidFill>
                <a:prstDash val="solid"/>
              </a:ln>
            </c:spPr>
          </c:marker>
          <c:dLbls>
            <c:dLbl>
              <c:idx val="0"/>
              <c:layout/>
              <c:tx>
                <c:strRef>
                  <c:f>Input!$AH$8</c:f>
                  <c:strCache>
                    <c:ptCount val="1"/>
                    <c:pt idx="0">
                      <c:v>WK</c:v>
                    </c:pt>
                  </c:strCache>
                </c:strRef>
              </c:tx>
              <c:dLblPos val="t"/>
            </c:dLbl>
            <c:dLbl>
              <c:idx val="1"/>
              <c:layout/>
              <c:tx>
                <c:strRef>
                  <c:f>Input!$AH$9</c:f>
                  <c:strCache>
                    <c:ptCount val="1"/>
                    <c:pt idx="0">
                      <c:v>wk</c:v>
                    </c:pt>
                  </c:strCache>
                </c:strRef>
              </c:tx>
              <c:dLblPos val="t"/>
            </c:dLbl>
            <c:dLbl>
              <c:idx val="2"/>
              <c:layout/>
              <c:tx>
                <c:strRef>
                  <c:f>Input!$AH$10</c:f>
                  <c:strCache>
                    <c:ptCount val="1"/>
                    <c:pt idx="0">
                      <c:v>NG</c:v>
                    </c:pt>
                  </c:strCache>
                </c:strRef>
              </c:tx>
              <c:dLblPos val="t"/>
            </c:dLbl>
            <c:dLbl>
              <c:idx val="3"/>
              <c:layout/>
              <c:tx>
                <c:strRef>
                  <c:f>Input!$AH$11</c:f>
                  <c:strCache>
                    <c:ptCount val="1"/>
                    <c:pt idx="0">
                      <c:v>ng</c:v>
                    </c:pt>
                  </c:strCache>
                </c:strRef>
              </c:tx>
              <c:dLblPos val="t"/>
            </c:dLbl>
            <c:dLbl>
              <c:idx val="4"/>
              <c:layout/>
              <c:tx>
                <c:strRef>
                  <c:f>Input!$AH$12</c:f>
                  <c:strCache>
                    <c:ptCount val="1"/>
                    <c:pt idx="0">
                      <c:v>ZU</c:v>
                    </c:pt>
                  </c:strCache>
                </c:strRef>
              </c:tx>
              <c:dLblPos val="t"/>
            </c:dLbl>
            <c:dLbl>
              <c:idx val="5"/>
              <c:layout/>
              <c:tx>
                <c:strRef>
                  <c:f>Input!$AH$13</c:f>
                  <c:strCache>
                    <c:ptCount val="1"/>
                    <c:pt idx="0">
                      <c:v>zu</c:v>
                    </c:pt>
                  </c:strCache>
                </c:strRef>
              </c:tx>
              <c:dLblPos val="t"/>
            </c:dLbl>
            <c:dLbl>
              <c:idx val="6"/>
              <c:layout/>
              <c:tx>
                <c:strRef>
                  <c:f>Input!$AH$14</c:f>
                  <c:strCache>
                    <c:ptCount val="1"/>
                    <c:pt idx="0">
                      <c:v>MV</c:v>
                    </c:pt>
                  </c:strCache>
                </c:strRef>
              </c:tx>
              <c:dLblPos val="t"/>
            </c:dLbl>
            <c:dLbl>
              <c:idx val="7"/>
              <c:layout/>
              <c:tx>
                <c:strRef>
                  <c:f>Input!$AH$15</c:f>
                  <c:strCache>
                    <c:ptCount val="1"/>
                    <c:pt idx="0">
                      <c:v>mv</c:v>
                    </c:pt>
                  </c:strCache>
                </c:strRef>
              </c:tx>
              <c:dLblPos val="t"/>
            </c:dLbl>
            <c:dLbl>
              <c:idx val="8"/>
              <c:layout/>
              <c:tx>
                <c:strRef>
                  <c:f>Input!$AH$16</c:f>
                  <c:strCache>
                    <c:ptCount val="1"/>
                    <c:pt idx="0">
                      <c:v>ra</c:v>
                    </c:pt>
                  </c:strCache>
                </c:strRef>
              </c:tx>
              <c:dLblPos val="t"/>
            </c:dLbl>
            <c:dLbl>
              <c:idx val="9"/>
              <c:layout/>
              <c:tx>
                <c:strRef>
                  <c:f>Input!$AH$17</c:f>
                  <c:strCache>
                    <c:ptCount val="1"/>
                    <c:pt idx="0">
                      <c:v>rb</c:v>
                    </c:pt>
                  </c:strCache>
                </c:strRef>
              </c:tx>
              <c:dLblPos val="t"/>
            </c:dLbl>
            <c:dLbl>
              <c:idx val="10"/>
              <c:layout/>
              <c:tx>
                <c:strRef>
                  <c:f>Input!$AH$18</c:f>
                  <c:strCache>
                    <c:ptCount val="1"/>
                    <c:pt idx="0">
                      <c:v>ar</c:v>
                    </c:pt>
                  </c:strCache>
                </c:strRef>
              </c:tx>
              <c:dLblPos val="t"/>
            </c:dLbl>
            <c:dLbl>
              <c:idx val="11"/>
              <c:layout/>
              <c:tx>
                <c:strRef>
                  <c:f>Input!$AH$19</c:f>
                  <c:strCache>
                    <c:ptCount val="1"/>
                    <c:pt idx="0">
                      <c:v>ma</c:v>
                    </c:pt>
                  </c:strCache>
                </c:strRef>
              </c:tx>
              <c:dLblPos val="t"/>
            </c:dLbl>
            <c:dLbl>
              <c:idx val="12"/>
              <c:layout/>
              <c:tx>
                <c:strRef>
                  <c:f>Input!$AH$20</c:f>
                  <c:strCache>
                    <c:ptCount val="1"/>
                    <c:pt idx="0">
                      <c:v>fn</c:v>
                    </c:pt>
                  </c:strCache>
                </c:strRef>
              </c:tx>
              <c:dLblPos val="t"/>
            </c:dLbl>
            <c:dLbl>
              <c:idx val="13"/>
              <c:layout/>
              <c:tx>
                <c:strRef>
                  <c:f>Input!$AH$21</c:f>
                  <c:strCache>
                    <c:ptCount val="1"/>
                    <c:pt idx="0">
                      <c:v>pr</c:v>
                    </c:pt>
                  </c:strCache>
                </c:strRef>
              </c:tx>
              <c:dLblPos val="t"/>
            </c:dLbl>
            <c:dLbl>
              <c:idx val="14"/>
              <c:layout/>
              <c:tx>
                <c:strRef>
                  <c:f>Input!$AH$22</c:f>
                  <c:strCache>
                    <c:ptCount val="1"/>
                    <c:pt idx="0">
                      <c:v>ya</c:v>
                    </c:pt>
                  </c:strCache>
                </c:strRef>
              </c:tx>
              <c:dLblPos val="t"/>
            </c:dLbl>
            <c:dLbl>
              <c:idx val="15"/>
              <c:layout/>
              <c:tx>
                <c:strRef>
                  <c:f>Input!$AH$23</c:f>
                  <c:strCache>
                    <c:ptCount val="1"/>
                    <c:pt idx="0">
                      <c:v>ln</c:v>
                    </c:pt>
                  </c:strCache>
                </c:strRef>
              </c:tx>
              <c:dLblPos val="t"/>
            </c:dLbl>
            <c:dLbl>
              <c:idx val="16"/>
              <c:layout/>
              <c:tx>
                <c:strRef>
                  <c:f>Input!$AH$24</c:f>
                  <c:strCache>
                    <c:ptCount val="1"/>
                    <c:pt idx="0">
                      <c:v>ws</c:v>
                    </c:pt>
                  </c:strCache>
                </c:strRef>
              </c:tx>
              <c:dLblPos val="t"/>
            </c:dLbl>
            <c:dLbl>
              <c:idx val="17"/>
              <c:layout/>
              <c:tx>
                <c:strRef>
                  <c:f>Input!$AH$25</c:f>
                  <c:strCache>
                    <c:ptCount val="1"/>
                    <c:pt idx="0">
                      <c:v>mo</c:v>
                    </c:pt>
                  </c:strCache>
                </c:strRef>
              </c:tx>
              <c:dLblPos val="t"/>
            </c:dLbl>
            <c:dLbl>
              <c:idx val="18"/>
              <c:layout/>
              <c:tx>
                <c:strRef>
                  <c:f>Input!$AH$26</c:f>
                  <c:strCache>
                    <c:ptCount val="1"/>
                    <c:pt idx="0">
                      <c:v>MU</c:v>
                    </c:pt>
                  </c:strCache>
                </c:strRef>
              </c:tx>
              <c:dLblPos val="t"/>
            </c:dLbl>
            <c:dLbl>
              <c:idx val="19"/>
              <c:layout/>
              <c:tx>
                <c:strRef>
                  <c:f>Input!$AH$27</c:f>
                  <c:strCache>
                    <c:ptCount val="1"/>
                    <c:pt idx="0">
                      <c:v>wi</c:v>
                    </c:pt>
                  </c:strCache>
                </c:strRef>
              </c:tx>
              <c:dLblPos val="t"/>
            </c:dLbl>
            <c:dLbl>
              <c:idx val="20"/>
              <c:tx>
                <c:strRef>
                  <c:f>Input!$AH$28</c:f>
                  <c:strCache>
                    <c:ptCount val="1"/>
                  </c:strCache>
                </c:strRef>
              </c:tx>
              <c:dLblPos val="t"/>
            </c:dLbl>
            <c:dLbl>
              <c:idx val="21"/>
              <c:tx>
                <c:strRef>
                  <c:f>Input!$AH$29</c:f>
                  <c:strCache>
                    <c:ptCount val="1"/>
                  </c:strCache>
                </c:strRef>
              </c:tx>
              <c:dLblPos val="t"/>
            </c:dLbl>
            <c:dLbl>
              <c:idx val="22"/>
              <c:tx>
                <c:strRef>
                  <c:f>Input!$AH$30</c:f>
                  <c:strCache>
                    <c:ptCount val="1"/>
                  </c:strCache>
                </c:strRef>
              </c:tx>
              <c:dLblPos val="t"/>
            </c:dLbl>
            <c:dLbl>
              <c:idx val="23"/>
              <c:tx>
                <c:strRef>
                  <c:f>Input!$AH$31</c:f>
                  <c:strCache>
                    <c:ptCount val="1"/>
                  </c:strCache>
                </c:strRef>
              </c:tx>
              <c:dLblPos val="t"/>
            </c:dLbl>
            <c:dLbl>
              <c:idx val="24"/>
              <c:tx>
                <c:strRef>
                  <c:f>Input!$AH$32</c:f>
                  <c:strCache>
                    <c:ptCount val="1"/>
                  </c:strCache>
                </c:strRef>
              </c:tx>
              <c:dLblPos val="t"/>
            </c:dLbl>
            <c:dLbl>
              <c:idx val="25"/>
              <c:tx>
                <c:strRef>
                  <c:f>Input!$AH$33</c:f>
                  <c:strCache>
                    <c:ptCount val="1"/>
                  </c:strCache>
                </c:strRef>
              </c:tx>
              <c:dLblPos val="t"/>
            </c:dLbl>
            <c:dLbl>
              <c:idx val="26"/>
              <c:tx>
                <c:strRef>
                  <c:f>Input!$AH$34</c:f>
                  <c:strCache>
                    <c:ptCount val="1"/>
                  </c:strCache>
                </c:strRef>
              </c:tx>
              <c:dLblPos val="t"/>
            </c:dLbl>
            <c:dLbl>
              <c:idx val="27"/>
              <c:tx>
                <c:strRef>
                  <c:f>Input!$AH$35</c:f>
                  <c:strCache>
                    <c:ptCount val="1"/>
                  </c:strCache>
                </c:strRef>
              </c:tx>
              <c:dLblPos val="t"/>
            </c:dLbl>
            <c:dLbl>
              <c:idx val="28"/>
              <c:tx>
                <c:strRef>
                  <c:f>Input!$AH$36</c:f>
                  <c:strCache>
                    <c:ptCount val="1"/>
                  </c:strCache>
                </c:strRef>
              </c:tx>
              <c:dLblPos val="t"/>
            </c:dLbl>
            <c:dLbl>
              <c:idx val="29"/>
              <c:tx>
                <c:strRef>
                  <c:f>Input!$AH$37</c:f>
                  <c:strCache>
                    <c:ptCount val="1"/>
                  </c:strCache>
                </c:strRef>
              </c:tx>
              <c:dLblPos val="t"/>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Val val="1"/>
          </c:dLbls>
          <c:xVal>
            <c:numRef>
              <c:f>Input!$CV$8:$CV$37</c:f>
              <c:numCache>
                <c:formatCode>0.000</c:formatCode>
                <c:ptCount val="30"/>
                <c:pt idx="0">
                  <c:v>0.26905714285714288</c:v>
                </c:pt>
                <c:pt idx="1">
                  <c:v>0.66519795588003916</c:v>
                </c:pt>
                <c:pt idx="2">
                  <c:v>0.44869373290612469</c:v>
                </c:pt>
                <c:pt idx="3">
                  <c:v>0.69211269622778704</c:v>
                </c:pt>
                <c:pt idx="4">
                  <c:v>0.21987368421052633</c:v>
                </c:pt>
                <c:pt idx="5">
                  <c:v>1.0743741651357546</c:v>
                </c:pt>
                <c:pt idx="6">
                  <c:v>0.28961371843699568</c:v>
                </c:pt>
                <c:pt idx="7">
                  <c:v>0.76869562410134717</c:v>
                </c:pt>
                <c:pt idx="8">
                  <c:v>0.97112014483722886</c:v>
                </c:pt>
                <c:pt idx="9">
                  <c:v>0.81130366931310516</c:v>
                </c:pt>
                <c:pt idx="10">
                  <c:v>0.59309000885506724</c:v>
                </c:pt>
                <c:pt idx="11">
                  <c:v>1.0149673770339467</c:v>
                </c:pt>
                <c:pt idx="12">
                  <c:v>0.84053968155285963</c:v>
                </c:pt>
                <c:pt idx="13">
                  <c:v>0.81669537880812226</c:v>
                </c:pt>
                <c:pt idx="14">
                  <c:v>0.53606827522405598</c:v>
                </c:pt>
                <c:pt idx="15">
                  <c:v>1.1435992452186299</c:v>
                </c:pt>
                <c:pt idx="16">
                  <c:v>1.0288099208978174</c:v>
                </c:pt>
                <c:pt idx="17">
                  <c:v>0.86121673143868649</c:v>
                </c:pt>
                <c:pt idx="18">
                  <c:v>0.65332237980600927</c:v>
                </c:pt>
                <c:pt idx="19">
                  <c:v>1.0093199442185012</c:v>
                </c:pt>
                <c:pt idx="20">
                  <c:v>0</c:v>
                </c:pt>
                <c:pt idx="21">
                  <c:v>0</c:v>
                </c:pt>
                <c:pt idx="22">
                  <c:v>0</c:v>
                </c:pt>
                <c:pt idx="23">
                  <c:v>0</c:v>
                </c:pt>
                <c:pt idx="24">
                  <c:v>0</c:v>
                </c:pt>
                <c:pt idx="25">
                  <c:v>0</c:v>
                </c:pt>
                <c:pt idx="26">
                  <c:v>0</c:v>
                </c:pt>
                <c:pt idx="27">
                  <c:v>0</c:v>
                </c:pt>
                <c:pt idx="28">
                  <c:v>0</c:v>
                </c:pt>
                <c:pt idx="29">
                  <c:v>0</c:v>
                </c:pt>
              </c:numCache>
            </c:numRef>
          </c:xVal>
          <c:yVal>
            <c:numRef>
              <c:f>Input!$CW$8:$CW$37</c:f>
              <c:numCache>
                <c:formatCode>0.000</c:formatCode>
                <c:ptCount val="30"/>
                <c:pt idx="0">
                  <c:v>0.39795918367346939</c:v>
                </c:pt>
                <c:pt idx="1">
                  <c:v>0.25731229100712066</c:v>
                </c:pt>
                <c:pt idx="2">
                  <c:v>0.45215673898282399</c:v>
                </c:pt>
                <c:pt idx="3">
                  <c:v>0.33294112665922182</c:v>
                </c:pt>
                <c:pt idx="4">
                  <c:v>0.31888544891640869</c:v>
                </c:pt>
                <c:pt idx="5">
                  <c:v>3.6174222446688623E-2</c:v>
                </c:pt>
                <c:pt idx="6">
                  <c:v>0.4386139361572543</c:v>
                </c:pt>
                <c:pt idx="7">
                  <c:v>0.37103237214665979</c:v>
                </c:pt>
                <c:pt idx="8">
                  <c:v>1.8704200263148001E-2</c:v>
                </c:pt>
                <c:pt idx="9">
                  <c:v>0.16720033917030785</c:v>
                </c:pt>
                <c:pt idx="10">
                  <c:v>0.40223137254734737</c:v>
                </c:pt>
                <c:pt idx="11">
                  <c:v>4.3876405662455896E-2</c:v>
                </c:pt>
                <c:pt idx="12">
                  <c:v>0.23541772170508529</c:v>
                </c:pt>
                <c:pt idx="13">
                  <c:v>0.14851147106054796</c:v>
                </c:pt>
                <c:pt idx="14">
                  <c:v>0.49848441945092947</c:v>
                </c:pt>
                <c:pt idx="15">
                  <c:v>2.5079083616949258E-3</c:v>
                </c:pt>
                <c:pt idx="16">
                  <c:v>8.1236232392497887E-2</c:v>
                </c:pt>
                <c:pt idx="17">
                  <c:v>0.40644803947548702</c:v>
                </c:pt>
                <c:pt idx="18">
                  <c:v>0.41054826538468703</c:v>
                </c:pt>
                <c:pt idx="19">
                  <c:v>7.9968456403467461E-2</c:v>
                </c:pt>
                <c:pt idx="20">
                  <c:v>-1</c:v>
                </c:pt>
                <c:pt idx="21">
                  <c:v>-1</c:v>
                </c:pt>
                <c:pt idx="22">
                  <c:v>-1</c:v>
                </c:pt>
                <c:pt idx="23">
                  <c:v>-1</c:v>
                </c:pt>
                <c:pt idx="24">
                  <c:v>-1</c:v>
                </c:pt>
                <c:pt idx="25">
                  <c:v>-1</c:v>
                </c:pt>
                <c:pt idx="26">
                  <c:v>-1</c:v>
                </c:pt>
                <c:pt idx="27">
                  <c:v>-1</c:v>
                </c:pt>
                <c:pt idx="28">
                  <c:v>-1</c:v>
                </c:pt>
                <c:pt idx="29">
                  <c:v>-1</c:v>
                </c:pt>
              </c:numCache>
            </c:numRef>
          </c:yVal>
        </c:ser>
        <c:axId val="98493952"/>
        <c:axId val="98495488"/>
      </c:scatterChart>
      <c:valAx>
        <c:axId val="98493952"/>
        <c:scaling>
          <c:orientation val="minMax"/>
          <c:max val="1.4"/>
          <c:min val="-0.2"/>
        </c:scaling>
        <c:delete val="1"/>
        <c:axPos val="b"/>
        <c:numFmt formatCode="General" sourceLinked="1"/>
        <c:tickLblPos val="none"/>
        <c:crossAx val="98495488"/>
        <c:crosses val="autoZero"/>
        <c:crossBetween val="midCat"/>
      </c:valAx>
      <c:valAx>
        <c:axId val="98495488"/>
        <c:scaling>
          <c:orientation val="minMax"/>
          <c:max val="1.2"/>
          <c:min val="-0.2"/>
        </c:scaling>
        <c:delete val="1"/>
        <c:axPos val="l"/>
        <c:numFmt formatCode="_(* #,##0.00_);_(* \(#,##0.00\);_(* &quot;-&quot;??_);_(@_)" sourceLinked="1"/>
        <c:tickLblPos val="none"/>
        <c:crossAx val="98493952"/>
        <c:crosses val="autoZero"/>
        <c:crossBetween val="midCat"/>
      </c:valAx>
      <c:spPr>
        <a:noFill/>
        <a:ln w="25400">
          <a:noFill/>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2208657047724751E-2"/>
          <c:y val="1.9801980198019837E-2"/>
          <c:w val="0.97669256381797998"/>
          <c:h val="0.9660537482319651"/>
        </c:manualLayout>
      </c:layout>
      <c:scatterChart>
        <c:scatterStyle val="lineMarker"/>
        <c:ser>
          <c:idx val="1"/>
          <c:order val="0"/>
          <c:tx>
            <c:v>A grid</c:v>
          </c:tx>
          <c:spPr>
            <a:ln w="3175">
              <a:solidFill>
                <a:srgbClr val="808080"/>
              </a:solidFill>
              <a:prstDash val="sysDash"/>
            </a:ln>
          </c:spPr>
          <c:marker>
            <c:symbol val="none"/>
          </c:marker>
          <c:dLbls>
            <c:dLbl>
              <c:idx val="0"/>
              <c:layout/>
              <c:tx>
                <c:rich>
                  <a:bodyPr/>
                  <a:lstStyle/>
                  <a:p>
                    <a:r>
                      <a:rPr lang="en-NZ"/>
                      <a:t>10%</a:t>
                    </a:r>
                  </a:p>
                </c:rich>
              </c:tx>
              <c:dLblPos val="l"/>
            </c:dLbl>
            <c:dLbl>
              <c:idx val="1"/>
              <c:delete val="1"/>
            </c:dLbl>
            <c:dLbl>
              <c:idx val="2"/>
              <c:delete val="1"/>
            </c:dLbl>
            <c:dLbl>
              <c:idx val="3"/>
              <c:layout/>
              <c:tx>
                <c:rich>
                  <a:bodyPr/>
                  <a:lstStyle/>
                  <a:p>
                    <a:r>
                      <a:rPr lang="en-NZ"/>
                      <a:t>20%</a:t>
                    </a:r>
                  </a:p>
                </c:rich>
              </c:tx>
              <c:dLblPos val="l"/>
            </c:dLbl>
            <c:dLbl>
              <c:idx val="4"/>
              <c:layout/>
              <c:tx>
                <c:rich>
                  <a:bodyPr/>
                  <a:lstStyle/>
                  <a:p>
                    <a:r>
                      <a:rPr lang="en-NZ"/>
                      <a:t>30%</a:t>
                    </a:r>
                  </a:p>
                </c:rich>
              </c:tx>
              <c:dLblPos val="l"/>
            </c:dLbl>
            <c:dLbl>
              <c:idx val="5"/>
              <c:delete val="1"/>
            </c:dLbl>
            <c:dLbl>
              <c:idx val="6"/>
              <c:delete val="1"/>
            </c:dLbl>
            <c:dLbl>
              <c:idx val="7"/>
              <c:layout/>
              <c:tx>
                <c:rich>
                  <a:bodyPr/>
                  <a:lstStyle/>
                  <a:p>
                    <a:r>
                      <a:rPr lang="en-NZ"/>
                      <a:t>40%</a:t>
                    </a:r>
                  </a:p>
                </c:rich>
              </c:tx>
              <c:dLblPos val="l"/>
            </c:dLbl>
            <c:dLbl>
              <c:idx val="8"/>
              <c:layout/>
              <c:tx>
                <c:rich>
                  <a:bodyPr/>
                  <a:lstStyle/>
                  <a:p>
                    <a:r>
                      <a:rPr lang="en-NZ"/>
                      <a:t>50%</a:t>
                    </a:r>
                  </a:p>
                </c:rich>
              </c:tx>
              <c:dLblPos val="l"/>
            </c:dLbl>
            <c:dLbl>
              <c:idx val="9"/>
              <c:delete val="1"/>
            </c:dLbl>
            <c:dLbl>
              <c:idx val="10"/>
              <c:delete val="1"/>
            </c:dLbl>
            <c:dLbl>
              <c:idx val="11"/>
              <c:layout/>
              <c:tx>
                <c:rich>
                  <a:bodyPr/>
                  <a:lstStyle/>
                  <a:p>
                    <a:r>
                      <a:rPr lang="en-NZ"/>
                      <a:t>60%</a:t>
                    </a:r>
                  </a:p>
                </c:rich>
              </c:tx>
              <c:dLblPos val="l"/>
            </c:dLbl>
            <c:dLbl>
              <c:idx val="12"/>
              <c:layout/>
              <c:tx>
                <c:rich>
                  <a:bodyPr/>
                  <a:lstStyle/>
                  <a:p>
                    <a:r>
                      <a:rPr lang="en-NZ"/>
                      <a:t>70%</a:t>
                    </a:r>
                  </a:p>
                </c:rich>
              </c:tx>
              <c:dLblPos val="l"/>
            </c:dLbl>
            <c:dLbl>
              <c:idx val="13"/>
              <c:delete val="1"/>
            </c:dLbl>
            <c:dLbl>
              <c:idx val="14"/>
              <c:delete val="1"/>
            </c:dLbl>
            <c:dLbl>
              <c:idx val="15"/>
              <c:layout/>
              <c:tx>
                <c:rich>
                  <a:bodyPr/>
                  <a:lstStyle/>
                  <a:p>
                    <a:r>
                      <a:rPr lang="en-NZ"/>
                      <a:t>80%</a:t>
                    </a:r>
                  </a:p>
                </c:rich>
              </c:tx>
              <c:dLblPos val="l"/>
            </c:dLbl>
            <c:dLbl>
              <c:idx val="16"/>
              <c:layout/>
              <c:tx>
                <c:rich>
                  <a:bodyPr/>
                  <a:lstStyle/>
                  <a:p>
                    <a:r>
                      <a:rPr lang="en-NZ"/>
                      <a:t>90%</a:t>
                    </a:r>
                  </a:p>
                </c:rich>
              </c:tx>
              <c:dLblPos val="l"/>
            </c:dLbl>
            <c:dLbl>
              <c:idx val="17"/>
              <c:delete val="1"/>
            </c:dLbl>
            <c:spPr>
              <a:noFill/>
              <a:ln w="25400">
                <a:noFill/>
              </a:ln>
            </c:spPr>
            <c:txPr>
              <a:bodyPr/>
              <a:lstStyle/>
              <a:p>
                <a:pPr>
                  <a:defRPr sz="1200" b="0" i="0" u="none" strike="noStrike" baseline="0">
                    <a:solidFill>
                      <a:srgbClr val="808080"/>
                    </a:solidFill>
                    <a:latin typeface="Arial"/>
                    <a:ea typeface="Arial"/>
                    <a:cs typeface="Arial"/>
                  </a:defRPr>
                </a:pPr>
                <a:endParaRPr lang="en-US"/>
              </a:p>
            </c:txPr>
            <c:dLblPos val="l"/>
            <c:showVal val="1"/>
          </c:dLbls>
          <c:xVal>
            <c:numRef>
              <c:f>Tgrid!$F$5:$F$22</c:f>
              <c:numCache>
                <c:formatCode>General</c:formatCode>
                <c:ptCount val="18"/>
                <c:pt idx="0">
                  <c:v>5.7740000000000007E-2</c:v>
                </c:pt>
                <c:pt idx="1">
                  <c:v>1.09697</c:v>
                </c:pt>
                <c:pt idx="2">
                  <c:v>1.0392400000000002</c:v>
                </c:pt>
                <c:pt idx="3">
                  <c:v>0.11548000000000001</c:v>
                </c:pt>
                <c:pt idx="4">
                  <c:v>0.17322000000000001</c:v>
                </c:pt>
                <c:pt idx="5">
                  <c:v>0.98150999999999999</c:v>
                </c:pt>
                <c:pt idx="6">
                  <c:v>0.92378000000000005</c:v>
                </c:pt>
                <c:pt idx="7">
                  <c:v>0.23096000000000003</c:v>
                </c:pt>
                <c:pt idx="8">
                  <c:v>0.28870000000000001</c:v>
                </c:pt>
                <c:pt idx="9">
                  <c:v>0.86604999999999999</c:v>
                </c:pt>
                <c:pt idx="10">
                  <c:v>0.80832000000000015</c:v>
                </c:pt>
                <c:pt idx="11">
                  <c:v>0.34644000000000003</c:v>
                </c:pt>
                <c:pt idx="12">
                  <c:v>0.40417999999999998</c:v>
                </c:pt>
                <c:pt idx="13">
                  <c:v>0.75058999999999998</c:v>
                </c:pt>
                <c:pt idx="14">
                  <c:v>0.69286000000000003</c:v>
                </c:pt>
                <c:pt idx="15">
                  <c:v>0.46192000000000005</c:v>
                </c:pt>
                <c:pt idx="16">
                  <c:v>0.51966000000000001</c:v>
                </c:pt>
                <c:pt idx="17">
                  <c:v>0.63512999999999997</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er>
        <c:ser>
          <c:idx val="2"/>
          <c:order val="1"/>
          <c:tx>
            <c:v>B grid</c:v>
          </c:tx>
          <c:spPr>
            <a:ln w="3175">
              <a:solidFill>
                <a:srgbClr val="808080"/>
              </a:solidFill>
              <a:prstDash val="sysDash"/>
            </a:ln>
          </c:spPr>
          <c:marker>
            <c:symbol val="none"/>
          </c:marker>
          <c:dLbls>
            <c:dLbl>
              <c:idx val="0"/>
              <c:layout>
                <c:manualLayout>
                  <c:x val="-2.0912080773477115E-2"/>
                  <c:y val="3.6075243069863913E-2"/>
                </c:manualLayout>
              </c:layout>
              <c:tx>
                <c:rich>
                  <a:bodyPr/>
                  <a:lstStyle/>
                  <a:p>
                    <a:r>
                      <a:rPr lang="en-NZ"/>
                      <a:t>90%</a:t>
                    </a:r>
                  </a:p>
                </c:rich>
              </c:tx>
              <c:dLblPos val="r"/>
            </c:dLbl>
            <c:dLbl>
              <c:idx val="1"/>
              <c:delete val="1"/>
            </c:dLbl>
            <c:dLbl>
              <c:idx val="2"/>
              <c:delete val="1"/>
            </c:dLbl>
            <c:dLbl>
              <c:idx val="3"/>
              <c:layout>
                <c:manualLayout>
                  <c:x val="-2.4806150063650511E-2"/>
                  <c:y val="3.3246388755861001E-2"/>
                </c:manualLayout>
              </c:layout>
              <c:tx>
                <c:rich>
                  <a:bodyPr/>
                  <a:lstStyle/>
                  <a:p>
                    <a:r>
                      <a:rPr lang="en-NZ"/>
                      <a:t>80%</a:t>
                    </a:r>
                  </a:p>
                </c:rich>
              </c:tx>
              <c:dLblPos val="r"/>
            </c:dLbl>
            <c:dLbl>
              <c:idx val="4"/>
              <c:layout>
                <c:manualLayout>
                  <c:x val="-1.9821079523772114E-2"/>
                  <c:y val="3.6075243069863913E-2"/>
                </c:manualLayout>
              </c:layout>
              <c:tx>
                <c:rich>
                  <a:bodyPr/>
                  <a:lstStyle/>
                  <a:p>
                    <a:r>
                      <a:rPr lang="en-NZ"/>
                      <a:t>70%</a:t>
                    </a:r>
                  </a:p>
                </c:rich>
              </c:tx>
              <c:dLblPos val="r"/>
            </c:dLbl>
            <c:dLbl>
              <c:idx val="5"/>
              <c:delete val="1"/>
            </c:dLbl>
            <c:dLbl>
              <c:idx val="6"/>
              <c:delete val="1"/>
            </c:dLbl>
            <c:dLbl>
              <c:idx val="7"/>
              <c:layout>
                <c:manualLayout>
                  <c:x val="-2.1495392987086456E-2"/>
                  <c:y val="3.6075243069863913E-2"/>
                </c:manualLayout>
              </c:layout>
              <c:tx>
                <c:rich>
                  <a:bodyPr/>
                  <a:lstStyle/>
                  <a:p>
                    <a:r>
                      <a:rPr lang="en-NZ"/>
                      <a:t>60%</a:t>
                    </a:r>
                  </a:p>
                </c:rich>
              </c:tx>
              <c:dLblPos val="r"/>
            </c:dLbl>
            <c:dLbl>
              <c:idx val="8"/>
              <c:layout>
                <c:manualLayout>
                  <c:x val="-2.0949834100926112E-2"/>
                  <c:y val="3.6075243069863913E-2"/>
                </c:manualLayout>
              </c:layout>
              <c:tx>
                <c:rich>
                  <a:bodyPr/>
                  <a:lstStyle/>
                  <a:p>
                    <a:r>
                      <a:rPr lang="en-NZ"/>
                      <a:t>50%</a:t>
                    </a:r>
                  </a:p>
                </c:rich>
              </c:tx>
              <c:dLblPos val="r"/>
            </c:dLbl>
            <c:dLbl>
              <c:idx val="9"/>
              <c:delete val="1"/>
            </c:dLbl>
            <c:dLbl>
              <c:idx val="10"/>
              <c:delete val="1"/>
            </c:dLbl>
            <c:dLbl>
              <c:idx val="11"/>
              <c:layout>
                <c:manualLayout>
                  <c:x val="-2.040439173738133E-2"/>
                  <c:y val="3.6075243069863913E-2"/>
                </c:manualLayout>
              </c:layout>
              <c:tx>
                <c:rich>
                  <a:bodyPr/>
                  <a:lstStyle/>
                  <a:p>
                    <a:r>
                      <a:rPr lang="en-NZ"/>
                      <a:t>40%</a:t>
                    </a:r>
                  </a:p>
                </c:rich>
              </c:tx>
              <c:dLblPos val="r"/>
            </c:dLbl>
            <c:dLbl>
              <c:idx val="12"/>
              <c:layout>
                <c:manualLayout>
                  <c:x val="-1.9858832851220965E-2"/>
                  <c:y val="3.6075243069863913E-2"/>
                </c:manualLayout>
              </c:layout>
              <c:tx>
                <c:rich>
                  <a:bodyPr/>
                  <a:lstStyle/>
                  <a:p>
                    <a:r>
                      <a:rPr lang="en-NZ"/>
                      <a:t>30%</a:t>
                    </a:r>
                  </a:p>
                </c:rich>
              </c:tx>
              <c:dLblPos val="r"/>
            </c:dLbl>
            <c:dLbl>
              <c:idx val="13"/>
              <c:delete val="1"/>
            </c:dLbl>
            <c:dLbl>
              <c:idx val="14"/>
              <c:delete val="1"/>
            </c:dLbl>
            <c:dLbl>
              <c:idx val="15"/>
              <c:layout>
                <c:manualLayout>
                  <c:x val="-1.7093634660817241E-2"/>
                  <c:y val="3.3246388755861001E-2"/>
                </c:manualLayout>
              </c:layout>
              <c:tx>
                <c:rich>
                  <a:bodyPr/>
                  <a:lstStyle/>
                  <a:p>
                    <a:r>
                      <a:rPr lang="en-NZ"/>
                      <a:t>20%</a:t>
                    </a:r>
                  </a:p>
                </c:rich>
              </c:tx>
              <c:dLblPos val="r"/>
            </c:dLbl>
            <c:dLbl>
              <c:idx val="16"/>
              <c:layout>
                <c:manualLayout>
                  <c:x val="-2.0987587428375077E-2"/>
                  <c:y val="3.3246388755861001E-2"/>
                </c:manualLayout>
              </c:layout>
              <c:tx>
                <c:rich>
                  <a:bodyPr/>
                  <a:lstStyle/>
                  <a:p>
                    <a:r>
                      <a:rPr lang="en-NZ"/>
                      <a:t>10%</a:t>
                    </a:r>
                  </a:p>
                </c:rich>
              </c:tx>
              <c:dLblPos val="r"/>
            </c:dLbl>
            <c:dLbl>
              <c:idx val="17"/>
              <c:delete val="1"/>
            </c:dLbl>
            <c:spPr>
              <a:noFill/>
              <a:ln w="25400">
                <a:noFill/>
              </a:ln>
            </c:spPr>
            <c:txPr>
              <a:bodyPr rot="3600000" vert="horz"/>
              <a:lstStyle/>
              <a:p>
                <a:pPr algn="l">
                  <a:defRPr sz="1200" b="0" i="0" u="none" strike="noStrike" baseline="0">
                    <a:solidFill>
                      <a:srgbClr val="808080"/>
                    </a:solidFill>
                    <a:latin typeface="Arial"/>
                    <a:ea typeface="Arial"/>
                    <a:cs typeface="Arial"/>
                  </a:defRPr>
                </a:pPr>
                <a:endParaRPr lang="en-US"/>
              </a:p>
            </c:txPr>
            <c:dLblPos val="b"/>
            <c:showVal val="1"/>
          </c:dLbls>
          <c:xVal>
            <c:numRef>
              <c:f>Tgrid!$K$5:$K$22</c:f>
              <c:numCache>
                <c:formatCode>General</c:formatCode>
                <c:ptCount val="18"/>
                <c:pt idx="0">
                  <c:v>0.11547000000000002</c:v>
                </c:pt>
                <c:pt idx="1">
                  <c:v>5.7740000000000007E-2</c:v>
                </c:pt>
                <c:pt idx="2">
                  <c:v>0.11548000000000001</c:v>
                </c:pt>
                <c:pt idx="3">
                  <c:v>0.23094000000000003</c:v>
                </c:pt>
                <c:pt idx="4">
                  <c:v>0.34641</c:v>
                </c:pt>
                <c:pt idx="5">
                  <c:v>0.17322000000000001</c:v>
                </c:pt>
                <c:pt idx="6">
                  <c:v>0.23096000000000003</c:v>
                </c:pt>
                <c:pt idx="7">
                  <c:v>0.46188000000000007</c:v>
                </c:pt>
                <c:pt idx="8">
                  <c:v>0.57735000000000003</c:v>
                </c:pt>
                <c:pt idx="9">
                  <c:v>0.28870000000000001</c:v>
                </c:pt>
                <c:pt idx="10">
                  <c:v>0.34644000000000003</c:v>
                </c:pt>
                <c:pt idx="11">
                  <c:v>0.69281999999999999</c:v>
                </c:pt>
                <c:pt idx="12">
                  <c:v>0.80828999999999995</c:v>
                </c:pt>
                <c:pt idx="13">
                  <c:v>0.40417999999999998</c:v>
                </c:pt>
                <c:pt idx="14">
                  <c:v>0.46192000000000005</c:v>
                </c:pt>
                <c:pt idx="15">
                  <c:v>0.92376000000000014</c:v>
                </c:pt>
                <c:pt idx="16">
                  <c:v>1.0392300000000001</c:v>
                </c:pt>
                <c:pt idx="17">
                  <c:v>0.51966000000000001</c:v>
                </c:pt>
              </c:numCache>
            </c:numRef>
          </c:xVal>
          <c:yVal>
            <c:numRef>
              <c:f>Tgrid!$L$5:$L$22</c:f>
              <c:numCache>
                <c:formatCode>0.00</c:formatCode>
                <c:ptCount val="18"/>
                <c:pt idx="0">
                  <c:v>0</c:v>
                </c:pt>
                <c:pt idx="1">
                  <c:v>0.1</c:v>
                </c:pt>
                <c:pt idx="2">
                  <c:v>0.2</c:v>
                </c:pt>
                <c:pt idx="3">
                  <c:v>0</c:v>
                </c:pt>
                <c:pt idx="4">
                  <c:v>0</c:v>
                </c:pt>
                <c:pt idx="5">
                  <c:v>0.3</c:v>
                </c:pt>
                <c:pt idx="6">
                  <c:v>0.4</c:v>
                </c:pt>
                <c:pt idx="7">
                  <c:v>0</c:v>
                </c:pt>
                <c:pt idx="8">
                  <c:v>0</c:v>
                </c:pt>
                <c:pt idx="9">
                  <c:v>0.5</c:v>
                </c:pt>
                <c:pt idx="10">
                  <c:v>0.6</c:v>
                </c:pt>
                <c:pt idx="11">
                  <c:v>0</c:v>
                </c:pt>
                <c:pt idx="12">
                  <c:v>0</c:v>
                </c:pt>
                <c:pt idx="13">
                  <c:v>0.7</c:v>
                </c:pt>
                <c:pt idx="14">
                  <c:v>0.8</c:v>
                </c:pt>
                <c:pt idx="15">
                  <c:v>0</c:v>
                </c:pt>
                <c:pt idx="16">
                  <c:v>0</c:v>
                </c:pt>
                <c:pt idx="17">
                  <c:v>0.9</c:v>
                </c:pt>
              </c:numCache>
            </c:numRef>
          </c:yVal>
        </c:ser>
        <c:ser>
          <c:idx val="3"/>
          <c:order val="2"/>
          <c:tx>
            <c:v>C grid</c:v>
          </c:tx>
          <c:spPr>
            <a:ln w="3175">
              <a:solidFill>
                <a:srgbClr val="808080"/>
              </a:solidFill>
              <a:prstDash val="sysDash"/>
            </a:ln>
          </c:spPr>
          <c:marker>
            <c:symbol val="none"/>
          </c:marker>
          <c:dLbls>
            <c:dLbl>
              <c:idx val="0"/>
              <c:delete val="1"/>
            </c:dLbl>
            <c:dLbl>
              <c:idx val="1"/>
              <c:layout>
                <c:manualLayout>
                  <c:x val="-1.0715652774257784E-2"/>
                  <c:y val="-3.17162829893788E-2"/>
                </c:manualLayout>
              </c:layout>
              <c:tx>
                <c:rich>
                  <a:bodyPr/>
                  <a:lstStyle/>
                  <a:p>
                    <a:r>
                      <a:rPr lang="en-NZ"/>
                      <a:t>10%</a:t>
                    </a:r>
                  </a:p>
                </c:rich>
              </c:tx>
              <c:dLblPos val="r"/>
            </c:dLbl>
            <c:dLbl>
              <c:idx val="2"/>
              <c:layout>
                <c:manualLayout>
                  <c:x val="-1.2659599570031457E-2"/>
                  <c:y val="-3.1413202062613589E-2"/>
                </c:manualLayout>
              </c:layout>
              <c:tx>
                <c:rich>
                  <a:bodyPr/>
                  <a:lstStyle/>
                  <a:p>
                    <a:r>
                      <a:rPr lang="en-NZ"/>
                      <a:t>20%</a:t>
                    </a:r>
                  </a:p>
                </c:rich>
              </c:tx>
              <c:dLblPos val="r"/>
            </c:dLbl>
            <c:dLbl>
              <c:idx val="3"/>
              <c:delete val="1"/>
            </c:dLbl>
            <c:dLbl>
              <c:idx val="4"/>
              <c:delete val="1"/>
            </c:dLbl>
            <c:dLbl>
              <c:idx val="5"/>
              <c:layout>
                <c:manualLayout>
                  <c:x val="-1.2383790538946168E-2"/>
                  <c:y val="-3.6767829763853802E-2"/>
                </c:manualLayout>
              </c:layout>
              <c:tx>
                <c:rich>
                  <a:bodyPr/>
                  <a:lstStyle/>
                  <a:p>
                    <a:r>
                      <a:rPr lang="en-NZ"/>
                      <a:t>30%</a:t>
                    </a:r>
                  </a:p>
                </c:rich>
              </c:tx>
              <c:dLblPos val="r"/>
            </c:dLbl>
            <c:dLbl>
              <c:idx val="6"/>
              <c:layout>
                <c:manualLayout>
                  <c:x val="-1.2107981507860884E-2"/>
                  <c:y val="-3.9293603151091226E-2"/>
                </c:manualLayout>
              </c:layout>
              <c:tx>
                <c:rich>
                  <a:bodyPr/>
                  <a:lstStyle/>
                  <a:p>
                    <a:r>
                      <a:rPr lang="en-NZ"/>
                      <a:t>40%</a:t>
                    </a:r>
                  </a:p>
                </c:rich>
              </c:tx>
              <c:dLblPos val="r"/>
            </c:dLbl>
            <c:dLbl>
              <c:idx val="7"/>
              <c:delete val="1"/>
            </c:dLbl>
            <c:dLbl>
              <c:idx val="8"/>
              <c:delete val="1"/>
            </c:dLbl>
            <c:dLbl>
              <c:idx val="9"/>
              <c:layout>
                <c:manualLayout>
                  <c:x val="-1.7381562043923163E-2"/>
                  <c:y val="-4.3233655199040703E-2"/>
                </c:manualLayout>
              </c:layout>
              <c:tx>
                <c:rich>
                  <a:bodyPr/>
                  <a:lstStyle/>
                  <a:p>
                    <a:r>
                      <a:rPr lang="en-NZ"/>
                      <a:t>50%</a:t>
                    </a:r>
                  </a:p>
                </c:rich>
              </c:tx>
              <c:dLblPos val="r"/>
            </c:dLbl>
            <c:dLbl>
              <c:idx val="10"/>
              <c:layout>
                <c:manualLayout>
                  <c:x val="-1.2666241359119737E-2"/>
                  <c:y val="-4.4345001429276824E-2"/>
                </c:manualLayout>
              </c:layout>
              <c:tx>
                <c:rich>
                  <a:bodyPr/>
                  <a:lstStyle/>
                  <a:p>
                    <a:r>
                      <a:rPr lang="en-NZ"/>
                      <a:t>60%</a:t>
                    </a:r>
                  </a:p>
                </c:rich>
              </c:tx>
              <c:dLblPos val="r"/>
            </c:dLbl>
            <c:dLbl>
              <c:idx val="11"/>
              <c:delete val="1"/>
            </c:dLbl>
            <c:dLbl>
              <c:idx val="12"/>
              <c:delete val="1"/>
            </c:dLbl>
            <c:dLbl>
              <c:idx val="13"/>
              <c:layout>
                <c:manualLayout>
                  <c:x val="-1.0170793023790958E-2"/>
                  <c:y val="-4.1213066188508549E-2"/>
                </c:manualLayout>
              </c:layout>
              <c:tx>
                <c:rich>
                  <a:bodyPr/>
                  <a:lstStyle/>
                  <a:p>
                    <a:r>
                      <a:rPr lang="en-NZ"/>
                      <a:t>70%</a:t>
                    </a:r>
                  </a:p>
                </c:rich>
              </c:tx>
              <c:dLblPos val="r"/>
            </c:dLbl>
            <c:dLbl>
              <c:idx val="14"/>
              <c:layout>
                <c:manualLayout>
                  <c:x val="-1.2114739819564745E-2"/>
                  <c:y val="-4.0909985261743283E-2"/>
                </c:manualLayout>
              </c:layout>
              <c:tx>
                <c:rich>
                  <a:bodyPr/>
                  <a:lstStyle/>
                  <a:p>
                    <a:r>
                      <a:rPr lang="en-NZ"/>
                      <a:t>80%</a:t>
                    </a:r>
                  </a:p>
                </c:rich>
              </c:tx>
              <c:dLblPos val="r"/>
            </c:dLbl>
            <c:dLbl>
              <c:idx val="15"/>
              <c:delete val="1"/>
            </c:dLbl>
            <c:dLbl>
              <c:idx val="16"/>
              <c:delete val="1"/>
            </c:dLbl>
            <c:dLbl>
              <c:idx val="17"/>
              <c:layout>
                <c:manualLayout>
                  <c:x val="-1.2948808701908902E-2"/>
                  <c:y val="-4.6264612962983585E-2"/>
                </c:manualLayout>
              </c:layout>
              <c:tx>
                <c:rich>
                  <a:bodyPr/>
                  <a:lstStyle/>
                  <a:p>
                    <a:r>
                      <a:rPr lang="en-NZ"/>
                      <a:t>90%</a:t>
                    </a:r>
                  </a:p>
                </c:rich>
              </c:tx>
              <c:dLblPos val="r"/>
            </c:dLbl>
            <c:spPr>
              <a:noFill/>
              <a:ln w="25400">
                <a:noFill/>
              </a:ln>
            </c:spPr>
            <c:txPr>
              <a:bodyPr rot="-3600000" vert="horz"/>
              <a:lstStyle/>
              <a:p>
                <a:pPr algn="l">
                  <a:defRPr sz="1200" b="0" i="0" u="none" strike="noStrike" baseline="0">
                    <a:solidFill>
                      <a:srgbClr val="808080"/>
                    </a:solidFill>
                    <a:latin typeface="Arial"/>
                    <a:ea typeface="Arial"/>
                    <a:cs typeface="Arial"/>
                  </a:defRPr>
                </a:pPr>
                <a:endParaRPr lang="en-US"/>
              </a:p>
            </c:txPr>
            <c:dLblPos val="r"/>
            <c:showVal val="1"/>
          </c:dLbls>
          <c:xVal>
            <c:numRef>
              <c:f>Tgrid!$P$5:$P$22</c:f>
              <c:numCache>
                <c:formatCode>General</c:formatCode>
                <c:ptCount val="18"/>
                <c:pt idx="0">
                  <c:v>0.11547000000000002</c:v>
                </c:pt>
                <c:pt idx="1">
                  <c:v>0.63512999999999997</c:v>
                </c:pt>
                <c:pt idx="2">
                  <c:v>0.69286000000000003</c:v>
                </c:pt>
                <c:pt idx="3">
                  <c:v>0.23094000000000003</c:v>
                </c:pt>
                <c:pt idx="4">
                  <c:v>0.34641</c:v>
                </c:pt>
                <c:pt idx="5">
                  <c:v>0.75058999999999998</c:v>
                </c:pt>
                <c:pt idx="6">
                  <c:v>0.80832000000000015</c:v>
                </c:pt>
                <c:pt idx="7">
                  <c:v>0.46188000000000007</c:v>
                </c:pt>
                <c:pt idx="8">
                  <c:v>0.57735000000000003</c:v>
                </c:pt>
                <c:pt idx="9">
                  <c:v>0.86604999999999999</c:v>
                </c:pt>
                <c:pt idx="10">
                  <c:v>0.92378000000000005</c:v>
                </c:pt>
                <c:pt idx="11">
                  <c:v>0.69281999999999999</c:v>
                </c:pt>
                <c:pt idx="12">
                  <c:v>0.80828999999999995</c:v>
                </c:pt>
                <c:pt idx="13">
                  <c:v>0.98150999999999999</c:v>
                </c:pt>
                <c:pt idx="14">
                  <c:v>1.0392400000000002</c:v>
                </c:pt>
                <c:pt idx="15">
                  <c:v>0.92376000000000014</c:v>
                </c:pt>
                <c:pt idx="16">
                  <c:v>1.0392300000000001</c:v>
                </c:pt>
                <c:pt idx="17">
                  <c:v>1.09697</c:v>
                </c:pt>
              </c:numCache>
            </c:numRef>
          </c:xVal>
          <c:yVal>
            <c:numRef>
              <c:f>Tgrid!$Q$5:$Q$22</c:f>
              <c:numCache>
                <c:formatCode>0.00</c:formatCode>
                <c:ptCount val="18"/>
                <c:pt idx="0">
                  <c:v>0</c:v>
                </c:pt>
                <c:pt idx="1">
                  <c:v>0.9</c:v>
                </c:pt>
                <c:pt idx="2">
                  <c:v>0.8</c:v>
                </c:pt>
                <c:pt idx="3">
                  <c:v>0</c:v>
                </c:pt>
                <c:pt idx="4">
                  <c:v>0</c:v>
                </c:pt>
                <c:pt idx="5">
                  <c:v>0.7</c:v>
                </c:pt>
                <c:pt idx="6">
                  <c:v>0.6</c:v>
                </c:pt>
                <c:pt idx="7">
                  <c:v>0</c:v>
                </c:pt>
                <c:pt idx="8">
                  <c:v>0</c:v>
                </c:pt>
                <c:pt idx="9">
                  <c:v>0.5</c:v>
                </c:pt>
                <c:pt idx="10">
                  <c:v>0.4</c:v>
                </c:pt>
                <c:pt idx="11">
                  <c:v>0</c:v>
                </c:pt>
                <c:pt idx="12">
                  <c:v>0</c:v>
                </c:pt>
                <c:pt idx="13">
                  <c:v>0.3</c:v>
                </c:pt>
                <c:pt idx="14">
                  <c:v>0.2</c:v>
                </c:pt>
                <c:pt idx="15">
                  <c:v>0</c:v>
                </c:pt>
                <c:pt idx="16">
                  <c:v>0</c:v>
                </c:pt>
                <c:pt idx="17">
                  <c:v>0.1</c:v>
                </c:pt>
              </c:numCache>
            </c:numRef>
          </c:yVal>
        </c:ser>
        <c:ser>
          <c:idx val="0"/>
          <c:order val="3"/>
          <c:tx>
            <c:v>border</c:v>
          </c:tx>
          <c:spPr>
            <a:ln w="38100">
              <a:solidFill>
                <a:srgbClr val="000000"/>
              </a:solidFill>
              <a:prstDash val="solid"/>
            </a:ln>
          </c:spPr>
          <c:marker>
            <c:symbol val="none"/>
          </c:marker>
          <c:dLbls>
            <c:dLbl>
              <c:idx val="0"/>
              <c:delete val="1"/>
            </c:dLbl>
            <c:dLbl>
              <c:idx val="1"/>
              <c:layout/>
              <c:tx>
                <c:strRef>
                  <c:f>Input!$CN$7</c:f>
                  <c:strCache>
                    <c:ptCount val="1"/>
                    <c:pt idx="0">
                      <c:v>Li</c:v>
                    </c:pt>
                  </c:strCache>
                </c:strRef>
              </c:tx>
              <c:dLblPos val="t"/>
            </c:dLbl>
            <c:dLbl>
              <c:idx val="2"/>
              <c:layout/>
              <c:tx>
                <c:strRef>
                  <c:f>Input!$CP$7</c:f>
                  <c:strCache>
                    <c:ptCount val="1"/>
                    <c:pt idx="0">
                      <c:v>10 Cs</c:v>
                    </c:pt>
                  </c:strCache>
                </c:strRef>
              </c:tx>
            </c:dLbl>
            <c:dLbl>
              <c:idx val="3"/>
              <c:layout/>
              <c:tx>
                <c:strRef>
                  <c:f>Input!$CO$7</c:f>
                  <c:strCache>
                    <c:ptCount val="1"/>
                    <c:pt idx="0">
                      <c:v>4 Rb</c:v>
                    </c:pt>
                  </c:strCache>
                </c:strRef>
              </c:tx>
              <c:dLblPos val="l"/>
            </c:dLbl>
            <c:spPr>
              <a:noFill/>
              <a:ln w="25400">
                <a:noFill/>
              </a:ln>
            </c:spPr>
            <c:txPr>
              <a:bodyPr/>
              <a:lstStyle/>
              <a:p>
                <a:pPr>
                  <a:defRPr sz="1600" b="1" i="0" u="none" strike="noStrike" baseline="0">
                    <a:solidFill>
                      <a:srgbClr val="000000"/>
                    </a:solidFill>
                    <a:latin typeface="Arial"/>
                    <a:ea typeface="Arial"/>
                    <a:cs typeface="Arial"/>
                  </a:defRPr>
                </a:pPr>
                <a:endParaRPr lang="en-US"/>
              </a:p>
            </c:txPr>
            <c:showVal val="1"/>
          </c:dLbls>
          <c:xVal>
            <c:numRef>
              <c:f>Tgrid!$A$5:$A$8</c:f>
              <c:numCache>
                <c:formatCode>General</c:formatCode>
                <c:ptCount val="4"/>
                <c:pt idx="0">
                  <c:v>0</c:v>
                </c:pt>
                <c:pt idx="1">
                  <c:v>0.57740000000000002</c:v>
                </c:pt>
                <c:pt idx="2">
                  <c:v>1.1547000000000001</c:v>
                </c:pt>
                <c:pt idx="3">
                  <c:v>0</c:v>
                </c:pt>
              </c:numCache>
            </c:numRef>
          </c:xVal>
          <c:yVal>
            <c:numRef>
              <c:f>Tgrid!$B$5:$B$8</c:f>
              <c:numCache>
                <c:formatCode>General</c:formatCode>
                <c:ptCount val="4"/>
                <c:pt idx="0">
                  <c:v>0</c:v>
                </c:pt>
                <c:pt idx="1">
                  <c:v>1</c:v>
                </c:pt>
                <c:pt idx="2">
                  <c:v>0</c:v>
                </c:pt>
                <c:pt idx="3">
                  <c:v>0</c:v>
                </c:pt>
              </c:numCache>
            </c:numRef>
          </c:yVal>
        </c:ser>
        <c:ser>
          <c:idx val="4"/>
          <c:order val="4"/>
          <c:tx>
            <c:v>data</c:v>
          </c:tx>
          <c:spPr>
            <a:ln w="28575">
              <a:noFill/>
            </a:ln>
          </c:spPr>
          <c:marker>
            <c:symbol val="triangle"/>
            <c:size val="6"/>
            <c:spPr>
              <a:solidFill>
                <a:srgbClr val="660066"/>
              </a:solidFill>
              <a:ln>
                <a:solidFill>
                  <a:srgbClr val="660066"/>
                </a:solidFill>
                <a:prstDash val="solid"/>
              </a:ln>
            </c:spPr>
          </c:marker>
          <c:dLbls>
            <c:dLbl>
              <c:idx val="0"/>
              <c:layout/>
              <c:tx>
                <c:strRef>
                  <c:f>Input!$AH$8</c:f>
                  <c:strCache>
                    <c:ptCount val="1"/>
                    <c:pt idx="0">
                      <c:v>WK</c:v>
                    </c:pt>
                  </c:strCache>
                </c:strRef>
              </c:tx>
              <c:dLblPos val="t"/>
            </c:dLbl>
            <c:dLbl>
              <c:idx val="1"/>
              <c:layout/>
              <c:tx>
                <c:strRef>
                  <c:f>Input!$AH$9</c:f>
                  <c:strCache>
                    <c:ptCount val="1"/>
                    <c:pt idx="0">
                      <c:v>wk</c:v>
                    </c:pt>
                  </c:strCache>
                </c:strRef>
              </c:tx>
              <c:dLblPos val="t"/>
            </c:dLbl>
            <c:dLbl>
              <c:idx val="2"/>
              <c:layout/>
              <c:tx>
                <c:strRef>
                  <c:f>Input!$AH$10</c:f>
                  <c:strCache>
                    <c:ptCount val="1"/>
                    <c:pt idx="0">
                      <c:v>NG</c:v>
                    </c:pt>
                  </c:strCache>
                </c:strRef>
              </c:tx>
              <c:dLblPos val="t"/>
            </c:dLbl>
            <c:dLbl>
              <c:idx val="3"/>
              <c:layout/>
              <c:tx>
                <c:strRef>
                  <c:f>Input!$AH$11</c:f>
                  <c:strCache>
                    <c:ptCount val="1"/>
                    <c:pt idx="0">
                      <c:v>ng</c:v>
                    </c:pt>
                  </c:strCache>
                </c:strRef>
              </c:tx>
              <c:dLblPos val="t"/>
            </c:dLbl>
            <c:dLbl>
              <c:idx val="4"/>
              <c:layout/>
              <c:tx>
                <c:strRef>
                  <c:f>Input!$AH$12</c:f>
                  <c:strCache>
                    <c:ptCount val="1"/>
                    <c:pt idx="0">
                      <c:v>ZU</c:v>
                    </c:pt>
                  </c:strCache>
                </c:strRef>
              </c:tx>
              <c:dLblPos val="t"/>
            </c:dLbl>
            <c:dLbl>
              <c:idx val="5"/>
              <c:layout/>
              <c:tx>
                <c:strRef>
                  <c:f>Input!$AH$13</c:f>
                  <c:strCache>
                    <c:ptCount val="1"/>
                    <c:pt idx="0">
                      <c:v>zu</c:v>
                    </c:pt>
                  </c:strCache>
                </c:strRef>
              </c:tx>
              <c:dLblPos val="t"/>
            </c:dLbl>
            <c:dLbl>
              <c:idx val="6"/>
              <c:layout/>
              <c:tx>
                <c:strRef>
                  <c:f>Input!$AH$14</c:f>
                  <c:strCache>
                    <c:ptCount val="1"/>
                    <c:pt idx="0">
                      <c:v>MV</c:v>
                    </c:pt>
                  </c:strCache>
                </c:strRef>
              </c:tx>
              <c:dLblPos val="t"/>
            </c:dLbl>
            <c:dLbl>
              <c:idx val="7"/>
              <c:layout/>
              <c:tx>
                <c:strRef>
                  <c:f>Input!$AH$15</c:f>
                  <c:strCache>
                    <c:ptCount val="1"/>
                    <c:pt idx="0">
                      <c:v>mv</c:v>
                    </c:pt>
                  </c:strCache>
                </c:strRef>
              </c:tx>
              <c:dLblPos val="t"/>
            </c:dLbl>
            <c:dLbl>
              <c:idx val="8"/>
              <c:layout/>
              <c:tx>
                <c:strRef>
                  <c:f>Input!$AH$16</c:f>
                  <c:strCache>
                    <c:ptCount val="1"/>
                    <c:pt idx="0">
                      <c:v>ra</c:v>
                    </c:pt>
                  </c:strCache>
                </c:strRef>
              </c:tx>
              <c:dLblPos val="t"/>
            </c:dLbl>
            <c:dLbl>
              <c:idx val="9"/>
              <c:layout/>
              <c:tx>
                <c:strRef>
                  <c:f>Input!$AH$17</c:f>
                  <c:strCache>
                    <c:ptCount val="1"/>
                    <c:pt idx="0">
                      <c:v>rb</c:v>
                    </c:pt>
                  </c:strCache>
                </c:strRef>
              </c:tx>
              <c:dLblPos val="t"/>
            </c:dLbl>
            <c:dLbl>
              <c:idx val="10"/>
              <c:layout/>
              <c:tx>
                <c:strRef>
                  <c:f>Input!$AH$18</c:f>
                  <c:strCache>
                    <c:ptCount val="1"/>
                    <c:pt idx="0">
                      <c:v>ar</c:v>
                    </c:pt>
                  </c:strCache>
                </c:strRef>
              </c:tx>
              <c:dLblPos val="t"/>
            </c:dLbl>
            <c:dLbl>
              <c:idx val="11"/>
              <c:layout/>
              <c:tx>
                <c:strRef>
                  <c:f>Input!$AH$19</c:f>
                  <c:strCache>
                    <c:ptCount val="1"/>
                    <c:pt idx="0">
                      <c:v>ma</c:v>
                    </c:pt>
                  </c:strCache>
                </c:strRef>
              </c:tx>
              <c:dLblPos val="t"/>
            </c:dLbl>
            <c:dLbl>
              <c:idx val="12"/>
              <c:layout/>
              <c:tx>
                <c:strRef>
                  <c:f>Input!$AH$20</c:f>
                  <c:strCache>
                    <c:ptCount val="1"/>
                    <c:pt idx="0">
                      <c:v>fn</c:v>
                    </c:pt>
                  </c:strCache>
                </c:strRef>
              </c:tx>
              <c:dLblPos val="t"/>
            </c:dLbl>
            <c:dLbl>
              <c:idx val="13"/>
              <c:layout/>
              <c:tx>
                <c:strRef>
                  <c:f>Input!$AH$21</c:f>
                  <c:strCache>
                    <c:ptCount val="1"/>
                    <c:pt idx="0">
                      <c:v>pr</c:v>
                    </c:pt>
                  </c:strCache>
                </c:strRef>
              </c:tx>
              <c:dLblPos val="t"/>
            </c:dLbl>
            <c:dLbl>
              <c:idx val="14"/>
              <c:layout/>
              <c:tx>
                <c:strRef>
                  <c:f>Input!$AH$22</c:f>
                  <c:strCache>
                    <c:ptCount val="1"/>
                    <c:pt idx="0">
                      <c:v>ya</c:v>
                    </c:pt>
                  </c:strCache>
                </c:strRef>
              </c:tx>
              <c:dLblPos val="t"/>
            </c:dLbl>
            <c:dLbl>
              <c:idx val="15"/>
              <c:layout/>
              <c:tx>
                <c:strRef>
                  <c:f>Input!$AH$23</c:f>
                  <c:strCache>
                    <c:ptCount val="1"/>
                    <c:pt idx="0">
                      <c:v>ln</c:v>
                    </c:pt>
                  </c:strCache>
                </c:strRef>
              </c:tx>
              <c:dLblPos val="t"/>
            </c:dLbl>
            <c:dLbl>
              <c:idx val="16"/>
              <c:layout/>
              <c:tx>
                <c:strRef>
                  <c:f>Input!$AH$24</c:f>
                  <c:strCache>
                    <c:ptCount val="1"/>
                    <c:pt idx="0">
                      <c:v>ws</c:v>
                    </c:pt>
                  </c:strCache>
                </c:strRef>
              </c:tx>
              <c:dLblPos val="t"/>
            </c:dLbl>
            <c:dLbl>
              <c:idx val="17"/>
              <c:layout/>
              <c:tx>
                <c:strRef>
                  <c:f>Input!$AH$25</c:f>
                  <c:strCache>
                    <c:ptCount val="1"/>
                    <c:pt idx="0">
                      <c:v>mo</c:v>
                    </c:pt>
                  </c:strCache>
                </c:strRef>
              </c:tx>
              <c:dLblPos val="t"/>
            </c:dLbl>
            <c:dLbl>
              <c:idx val="18"/>
              <c:layout/>
              <c:tx>
                <c:strRef>
                  <c:f>Input!$AH$26</c:f>
                  <c:strCache>
                    <c:ptCount val="1"/>
                    <c:pt idx="0">
                      <c:v>MU</c:v>
                    </c:pt>
                  </c:strCache>
                </c:strRef>
              </c:tx>
              <c:dLblPos val="t"/>
            </c:dLbl>
            <c:dLbl>
              <c:idx val="19"/>
              <c:layout/>
              <c:tx>
                <c:strRef>
                  <c:f>Input!$AH$27</c:f>
                  <c:strCache>
                    <c:ptCount val="1"/>
                    <c:pt idx="0">
                      <c:v>wi</c:v>
                    </c:pt>
                  </c:strCache>
                </c:strRef>
              </c:tx>
              <c:dLblPos val="t"/>
            </c:dLbl>
            <c:dLbl>
              <c:idx val="20"/>
              <c:tx>
                <c:strRef>
                  <c:f>Input!$AH$28</c:f>
                  <c:strCache>
                    <c:ptCount val="1"/>
                  </c:strCache>
                </c:strRef>
              </c:tx>
              <c:dLblPos val="t"/>
            </c:dLbl>
            <c:dLbl>
              <c:idx val="21"/>
              <c:tx>
                <c:strRef>
                  <c:f>Input!$AH$29</c:f>
                  <c:strCache>
                    <c:ptCount val="1"/>
                  </c:strCache>
                </c:strRef>
              </c:tx>
              <c:dLblPos val="t"/>
            </c:dLbl>
            <c:dLbl>
              <c:idx val="22"/>
              <c:tx>
                <c:strRef>
                  <c:f>Input!$AH$30</c:f>
                  <c:strCache>
                    <c:ptCount val="1"/>
                  </c:strCache>
                </c:strRef>
              </c:tx>
              <c:dLblPos val="t"/>
            </c:dLbl>
            <c:dLbl>
              <c:idx val="23"/>
              <c:tx>
                <c:strRef>
                  <c:f>Input!$AH$31</c:f>
                  <c:strCache>
                    <c:ptCount val="1"/>
                  </c:strCache>
                </c:strRef>
              </c:tx>
              <c:dLblPos val="t"/>
            </c:dLbl>
            <c:dLbl>
              <c:idx val="24"/>
              <c:tx>
                <c:strRef>
                  <c:f>Input!$AH$32</c:f>
                  <c:strCache>
                    <c:ptCount val="1"/>
                  </c:strCache>
                </c:strRef>
              </c:tx>
              <c:dLblPos val="t"/>
            </c:dLbl>
            <c:dLbl>
              <c:idx val="25"/>
              <c:tx>
                <c:strRef>
                  <c:f>Input!$AH$33</c:f>
                  <c:strCache>
                    <c:ptCount val="1"/>
                  </c:strCache>
                </c:strRef>
              </c:tx>
              <c:dLblPos val="t"/>
            </c:dLbl>
            <c:dLbl>
              <c:idx val="26"/>
              <c:tx>
                <c:strRef>
                  <c:f>Input!$AH$34</c:f>
                  <c:strCache>
                    <c:ptCount val="1"/>
                  </c:strCache>
                </c:strRef>
              </c:tx>
              <c:dLblPos val="t"/>
            </c:dLbl>
            <c:dLbl>
              <c:idx val="27"/>
              <c:tx>
                <c:strRef>
                  <c:f>Input!$AH$35</c:f>
                  <c:strCache>
                    <c:ptCount val="1"/>
                  </c:strCache>
                </c:strRef>
              </c:tx>
              <c:dLblPos val="t"/>
            </c:dLbl>
            <c:dLbl>
              <c:idx val="28"/>
              <c:tx>
                <c:strRef>
                  <c:f>Input!$AH$36</c:f>
                  <c:strCache>
                    <c:ptCount val="1"/>
                  </c:strCache>
                </c:strRef>
              </c:tx>
              <c:dLblPos val="t"/>
            </c:dLbl>
            <c:dLbl>
              <c:idx val="29"/>
              <c:tx>
                <c:strRef>
                  <c:f>Input!$AH$37</c:f>
                  <c:strCache>
                    <c:ptCount val="1"/>
                  </c:strCache>
                </c:strRef>
              </c:tx>
              <c:dLblPos val="t"/>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Val val="1"/>
          </c:dLbls>
          <c:xVal>
            <c:numRef>
              <c:f>Input!$CQ$8:$CQ$37</c:f>
              <c:numCache>
                <c:formatCode>0.000</c:formatCode>
                <c:ptCount val="30"/>
                <c:pt idx="0">
                  <c:v>0.7410678481012658</c:v>
                </c:pt>
                <c:pt idx="1">
                  <c:v>0.72977628635346747</c:v>
                </c:pt>
                <c:pt idx="2">
                  <c:v>0.76295459183673464</c:v>
                </c:pt>
                <c:pt idx="3">
                  <c:v>0.73651252847380411</c:v>
                </c:pt>
                <c:pt idx="4">
                  <c:v>0.77789747899159667</c:v>
                </c:pt>
                <c:pt idx="5">
                  <c:v>0.51551785714285714</c:v>
                </c:pt>
                <c:pt idx="6">
                  <c:v>0.64272830188679242</c:v>
                </c:pt>
                <c:pt idx="7">
                  <c:v>0.63470567375886522</c:v>
                </c:pt>
                <c:pt idx="8">
                  <c:v>0.29133027522935778</c:v>
                </c:pt>
                <c:pt idx="9">
                  <c:v>0.76415522875816988</c:v>
                </c:pt>
                <c:pt idx="10">
                  <c:v>0.85776024590163924</c:v>
                </c:pt>
                <c:pt idx="11">
                  <c:v>0.72170624999999999</c:v>
                </c:pt>
                <c:pt idx="12">
                  <c:v>0.91011576354679802</c:v>
                </c:pt>
                <c:pt idx="13">
                  <c:v>0.36723498233215546</c:v>
                </c:pt>
                <c:pt idx="14">
                  <c:v>0.17245714285714289</c:v>
                </c:pt>
                <c:pt idx="15">
                  <c:v>0.48113888888888884</c:v>
                </c:pt>
                <c:pt idx="16">
                  <c:v>0.63023591549295777</c:v>
                </c:pt>
                <c:pt idx="17">
                  <c:v>0.53615634920634925</c:v>
                </c:pt>
                <c:pt idx="18">
                  <c:v>0.41469613259668514</c:v>
                </c:pt>
                <c:pt idx="19">
                  <c:v>0.20752241992882559</c:v>
                </c:pt>
                <c:pt idx="20">
                  <c:v>0</c:v>
                </c:pt>
                <c:pt idx="21">
                  <c:v>0</c:v>
                </c:pt>
                <c:pt idx="22">
                  <c:v>0</c:v>
                </c:pt>
                <c:pt idx="23">
                  <c:v>0</c:v>
                </c:pt>
                <c:pt idx="24">
                  <c:v>0</c:v>
                </c:pt>
                <c:pt idx="25">
                  <c:v>0</c:v>
                </c:pt>
                <c:pt idx="26">
                  <c:v>0</c:v>
                </c:pt>
                <c:pt idx="27">
                  <c:v>0</c:v>
                </c:pt>
                <c:pt idx="28">
                  <c:v>0</c:v>
                </c:pt>
                <c:pt idx="29">
                  <c:v>0</c:v>
                </c:pt>
              </c:numCache>
            </c:numRef>
          </c:xVal>
          <c:yVal>
            <c:numRef>
              <c:f>Input!$CR$8:$CR$37</c:f>
              <c:numCache>
                <c:formatCode>0.000</c:formatCode>
                <c:ptCount val="30"/>
                <c:pt idx="0">
                  <c:v>0.27088607594936709</c:v>
                </c:pt>
                <c:pt idx="1">
                  <c:v>0.32438478747203575</c:v>
                </c:pt>
                <c:pt idx="2">
                  <c:v>0.55612244897959184</c:v>
                </c:pt>
                <c:pt idx="3">
                  <c:v>0.592255125284738</c:v>
                </c:pt>
                <c:pt idx="4">
                  <c:v>0.22689075630252098</c:v>
                </c:pt>
                <c:pt idx="5">
                  <c:v>0.5357142857142857</c:v>
                </c:pt>
                <c:pt idx="6">
                  <c:v>0.35849056603773582</c:v>
                </c:pt>
                <c:pt idx="7">
                  <c:v>0.60283687943262398</c:v>
                </c:pt>
                <c:pt idx="8">
                  <c:v>0.13761467889908255</c:v>
                </c:pt>
                <c:pt idx="9">
                  <c:v>0.31045751633986929</c:v>
                </c:pt>
                <c:pt idx="10">
                  <c:v>0.33811475409836056</c:v>
                </c:pt>
                <c:pt idx="11">
                  <c:v>0.37499999999999994</c:v>
                </c:pt>
                <c:pt idx="12">
                  <c:v>0.14778325123152708</c:v>
                </c:pt>
                <c:pt idx="13">
                  <c:v>0.31802120141342755</c:v>
                </c:pt>
                <c:pt idx="14">
                  <c:v>3.896103896103896E-2</c:v>
                </c:pt>
                <c:pt idx="15">
                  <c:v>0.27777777777777773</c:v>
                </c:pt>
                <c:pt idx="16">
                  <c:v>0.59859154929577452</c:v>
                </c:pt>
                <c:pt idx="17">
                  <c:v>0.91269841269841268</c:v>
                </c:pt>
                <c:pt idx="18">
                  <c:v>0.49723756906077354</c:v>
                </c:pt>
                <c:pt idx="19">
                  <c:v>0.10320284697508895</c:v>
                </c:pt>
                <c:pt idx="20">
                  <c:v>-1</c:v>
                </c:pt>
                <c:pt idx="21">
                  <c:v>-1</c:v>
                </c:pt>
                <c:pt idx="22">
                  <c:v>-1</c:v>
                </c:pt>
                <c:pt idx="23">
                  <c:v>-1</c:v>
                </c:pt>
                <c:pt idx="24">
                  <c:v>-1</c:v>
                </c:pt>
                <c:pt idx="25">
                  <c:v>-1</c:v>
                </c:pt>
                <c:pt idx="26">
                  <c:v>-1</c:v>
                </c:pt>
                <c:pt idx="27">
                  <c:v>-1</c:v>
                </c:pt>
                <c:pt idx="28">
                  <c:v>-1</c:v>
                </c:pt>
                <c:pt idx="29">
                  <c:v>-1</c:v>
                </c:pt>
              </c:numCache>
            </c:numRef>
          </c:yVal>
        </c:ser>
        <c:axId val="99512320"/>
        <c:axId val="99513856"/>
      </c:scatterChart>
      <c:valAx>
        <c:axId val="99512320"/>
        <c:scaling>
          <c:orientation val="minMax"/>
          <c:max val="1.4"/>
          <c:min val="-0.2"/>
        </c:scaling>
        <c:delete val="1"/>
        <c:axPos val="b"/>
        <c:numFmt formatCode="General" sourceLinked="1"/>
        <c:tickLblPos val="none"/>
        <c:crossAx val="99513856"/>
        <c:crosses val="autoZero"/>
        <c:crossBetween val="midCat"/>
      </c:valAx>
      <c:valAx>
        <c:axId val="99513856"/>
        <c:scaling>
          <c:orientation val="minMax"/>
          <c:max val="1.2"/>
          <c:min val="-0.2"/>
        </c:scaling>
        <c:delete val="1"/>
        <c:axPos val="l"/>
        <c:numFmt formatCode="_(* #,##0.00_);_(* \(#,##0.00\);_(* &quot;-&quot;??_);_(@_)" sourceLinked="1"/>
        <c:tickLblPos val="none"/>
        <c:crossAx val="99512320"/>
        <c:crosses val="autoZero"/>
        <c:crossBetween val="midCat"/>
      </c:valAx>
      <c:spPr>
        <a:noFill/>
        <a:ln w="25400">
          <a:noFill/>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2208657047724751E-2"/>
          <c:y val="1.9801980198019833E-2"/>
          <c:w val="0.97669256381797998"/>
          <c:h val="0.96605374823196521"/>
        </c:manualLayout>
      </c:layout>
      <c:scatterChart>
        <c:scatterStyle val="lineMarker"/>
        <c:ser>
          <c:idx val="1"/>
          <c:order val="0"/>
          <c:tx>
            <c:v>A grid</c:v>
          </c:tx>
          <c:spPr>
            <a:ln w="3175">
              <a:solidFill>
                <a:srgbClr val="808080"/>
              </a:solidFill>
              <a:prstDash val="sysDash"/>
            </a:ln>
          </c:spPr>
          <c:marker>
            <c:symbol val="none"/>
          </c:marker>
          <c:dLbls>
            <c:dLbl>
              <c:idx val="0"/>
              <c:layout/>
              <c:tx>
                <c:rich>
                  <a:bodyPr/>
                  <a:lstStyle/>
                  <a:p>
                    <a:r>
                      <a:rPr lang="en-NZ"/>
                      <a:t>10%</a:t>
                    </a:r>
                  </a:p>
                </c:rich>
              </c:tx>
              <c:dLblPos val="l"/>
            </c:dLbl>
            <c:dLbl>
              <c:idx val="1"/>
              <c:delete val="1"/>
            </c:dLbl>
            <c:dLbl>
              <c:idx val="2"/>
              <c:delete val="1"/>
            </c:dLbl>
            <c:dLbl>
              <c:idx val="3"/>
              <c:layout/>
              <c:tx>
                <c:rich>
                  <a:bodyPr/>
                  <a:lstStyle/>
                  <a:p>
                    <a:r>
                      <a:rPr lang="en-NZ"/>
                      <a:t>20%</a:t>
                    </a:r>
                  </a:p>
                </c:rich>
              </c:tx>
              <c:dLblPos val="l"/>
            </c:dLbl>
            <c:dLbl>
              <c:idx val="4"/>
              <c:layout/>
              <c:tx>
                <c:rich>
                  <a:bodyPr/>
                  <a:lstStyle/>
                  <a:p>
                    <a:r>
                      <a:rPr lang="en-NZ"/>
                      <a:t>30%</a:t>
                    </a:r>
                  </a:p>
                </c:rich>
              </c:tx>
              <c:dLblPos val="l"/>
            </c:dLbl>
            <c:dLbl>
              <c:idx val="5"/>
              <c:delete val="1"/>
            </c:dLbl>
            <c:dLbl>
              <c:idx val="6"/>
              <c:delete val="1"/>
            </c:dLbl>
            <c:dLbl>
              <c:idx val="7"/>
              <c:layout/>
              <c:tx>
                <c:rich>
                  <a:bodyPr/>
                  <a:lstStyle/>
                  <a:p>
                    <a:r>
                      <a:rPr lang="en-NZ"/>
                      <a:t>40%</a:t>
                    </a:r>
                  </a:p>
                </c:rich>
              </c:tx>
              <c:dLblPos val="l"/>
            </c:dLbl>
            <c:dLbl>
              <c:idx val="8"/>
              <c:layout/>
              <c:tx>
                <c:rich>
                  <a:bodyPr/>
                  <a:lstStyle/>
                  <a:p>
                    <a:r>
                      <a:rPr lang="en-NZ"/>
                      <a:t>50%</a:t>
                    </a:r>
                  </a:p>
                </c:rich>
              </c:tx>
              <c:dLblPos val="l"/>
            </c:dLbl>
            <c:dLbl>
              <c:idx val="9"/>
              <c:delete val="1"/>
            </c:dLbl>
            <c:dLbl>
              <c:idx val="10"/>
              <c:delete val="1"/>
            </c:dLbl>
            <c:dLbl>
              <c:idx val="11"/>
              <c:layout/>
              <c:tx>
                <c:rich>
                  <a:bodyPr/>
                  <a:lstStyle/>
                  <a:p>
                    <a:r>
                      <a:rPr lang="en-NZ"/>
                      <a:t>60%</a:t>
                    </a:r>
                  </a:p>
                </c:rich>
              </c:tx>
              <c:dLblPos val="l"/>
            </c:dLbl>
            <c:dLbl>
              <c:idx val="12"/>
              <c:layout/>
              <c:tx>
                <c:rich>
                  <a:bodyPr/>
                  <a:lstStyle/>
                  <a:p>
                    <a:r>
                      <a:rPr lang="en-NZ"/>
                      <a:t>70%</a:t>
                    </a:r>
                  </a:p>
                </c:rich>
              </c:tx>
              <c:dLblPos val="l"/>
            </c:dLbl>
            <c:dLbl>
              <c:idx val="13"/>
              <c:delete val="1"/>
            </c:dLbl>
            <c:dLbl>
              <c:idx val="14"/>
              <c:delete val="1"/>
            </c:dLbl>
            <c:dLbl>
              <c:idx val="15"/>
              <c:layout/>
              <c:tx>
                <c:rich>
                  <a:bodyPr/>
                  <a:lstStyle/>
                  <a:p>
                    <a:r>
                      <a:rPr lang="en-NZ"/>
                      <a:t>80%</a:t>
                    </a:r>
                  </a:p>
                </c:rich>
              </c:tx>
              <c:dLblPos val="l"/>
            </c:dLbl>
            <c:dLbl>
              <c:idx val="16"/>
              <c:layout/>
              <c:tx>
                <c:rich>
                  <a:bodyPr/>
                  <a:lstStyle/>
                  <a:p>
                    <a:r>
                      <a:rPr lang="en-NZ"/>
                      <a:t>90%</a:t>
                    </a:r>
                  </a:p>
                </c:rich>
              </c:tx>
              <c:dLblPos val="l"/>
            </c:dLbl>
            <c:dLbl>
              <c:idx val="17"/>
              <c:delete val="1"/>
            </c:dLbl>
            <c:spPr>
              <a:noFill/>
              <a:ln w="25400">
                <a:noFill/>
              </a:ln>
            </c:spPr>
            <c:txPr>
              <a:bodyPr/>
              <a:lstStyle/>
              <a:p>
                <a:pPr>
                  <a:defRPr sz="1200" b="0" i="0" u="none" strike="noStrike" baseline="0">
                    <a:solidFill>
                      <a:srgbClr val="808080"/>
                    </a:solidFill>
                    <a:latin typeface="Arial"/>
                    <a:ea typeface="Arial"/>
                    <a:cs typeface="Arial"/>
                  </a:defRPr>
                </a:pPr>
                <a:endParaRPr lang="en-US"/>
              </a:p>
            </c:txPr>
            <c:dLblPos val="l"/>
            <c:showVal val="1"/>
          </c:dLbls>
          <c:xVal>
            <c:numRef>
              <c:f>Tgrid!$F$5:$F$22</c:f>
              <c:numCache>
                <c:formatCode>General</c:formatCode>
                <c:ptCount val="18"/>
                <c:pt idx="0">
                  <c:v>5.7740000000000007E-2</c:v>
                </c:pt>
                <c:pt idx="1">
                  <c:v>1.09697</c:v>
                </c:pt>
                <c:pt idx="2">
                  <c:v>1.0392400000000002</c:v>
                </c:pt>
                <c:pt idx="3">
                  <c:v>0.11548000000000001</c:v>
                </c:pt>
                <c:pt idx="4">
                  <c:v>0.17322000000000001</c:v>
                </c:pt>
                <c:pt idx="5">
                  <c:v>0.98150999999999999</c:v>
                </c:pt>
                <c:pt idx="6">
                  <c:v>0.92378000000000005</c:v>
                </c:pt>
                <c:pt idx="7">
                  <c:v>0.23096000000000003</c:v>
                </c:pt>
                <c:pt idx="8">
                  <c:v>0.28870000000000001</c:v>
                </c:pt>
                <c:pt idx="9">
                  <c:v>0.86604999999999999</c:v>
                </c:pt>
                <c:pt idx="10">
                  <c:v>0.80832000000000015</c:v>
                </c:pt>
                <c:pt idx="11">
                  <c:v>0.34644000000000003</c:v>
                </c:pt>
                <c:pt idx="12">
                  <c:v>0.40417999999999998</c:v>
                </c:pt>
                <c:pt idx="13">
                  <c:v>0.75058999999999998</c:v>
                </c:pt>
                <c:pt idx="14">
                  <c:v>0.69286000000000003</c:v>
                </c:pt>
                <c:pt idx="15">
                  <c:v>0.46192000000000005</c:v>
                </c:pt>
                <c:pt idx="16">
                  <c:v>0.51966000000000001</c:v>
                </c:pt>
                <c:pt idx="17">
                  <c:v>0.63512999999999997</c:v>
                </c:pt>
              </c:numCache>
            </c:numRef>
          </c:xVal>
          <c:yVal>
            <c:numRef>
              <c:f>Tgrid!$G$5:$G$22</c:f>
              <c:numCache>
                <c:formatCode>_(* #,##0.00_);_(* \(#,##0.00\);_(* "-"??_);_(@_)</c:formatCode>
                <c:ptCount val="18"/>
                <c:pt idx="0">
                  <c:v>0.1</c:v>
                </c:pt>
                <c:pt idx="1">
                  <c:v>0.1</c:v>
                </c:pt>
                <c:pt idx="2">
                  <c:v>0.2</c:v>
                </c:pt>
                <c:pt idx="3">
                  <c:v>0.2</c:v>
                </c:pt>
                <c:pt idx="4">
                  <c:v>0.3</c:v>
                </c:pt>
                <c:pt idx="5">
                  <c:v>0.3</c:v>
                </c:pt>
                <c:pt idx="6">
                  <c:v>0.4</c:v>
                </c:pt>
                <c:pt idx="7">
                  <c:v>0.4</c:v>
                </c:pt>
                <c:pt idx="8">
                  <c:v>0.5</c:v>
                </c:pt>
                <c:pt idx="9">
                  <c:v>0.5</c:v>
                </c:pt>
                <c:pt idx="10">
                  <c:v>0.6</c:v>
                </c:pt>
                <c:pt idx="11">
                  <c:v>0.6</c:v>
                </c:pt>
                <c:pt idx="12">
                  <c:v>0.7</c:v>
                </c:pt>
                <c:pt idx="13">
                  <c:v>0.7</c:v>
                </c:pt>
                <c:pt idx="14">
                  <c:v>0.8</c:v>
                </c:pt>
                <c:pt idx="15">
                  <c:v>0.8</c:v>
                </c:pt>
                <c:pt idx="16">
                  <c:v>0.9</c:v>
                </c:pt>
                <c:pt idx="17">
                  <c:v>0.9</c:v>
                </c:pt>
              </c:numCache>
            </c:numRef>
          </c:yVal>
        </c:ser>
        <c:ser>
          <c:idx val="2"/>
          <c:order val="1"/>
          <c:tx>
            <c:v>B grid</c:v>
          </c:tx>
          <c:spPr>
            <a:ln w="3175">
              <a:solidFill>
                <a:srgbClr val="808080"/>
              </a:solidFill>
              <a:prstDash val="sysDash"/>
            </a:ln>
          </c:spPr>
          <c:marker>
            <c:symbol val="none"/>
          </c:marker>
          <c:dLbls>
            <c:dLbl>
              <c:idx val="0"/>
              <c:layout>
                <c:manualLayout>
                  <c:x val="-2.0912080773477115E-2"/>
                  <c:y val="3.6075243069863899E-2"/>
                </c:manualLayout>
              </c:layout>
              <c:tx>
                <c:rich>
                  <a:bodyPr/>
                  <a:lstStyle/>
                  <a:p>
                    <a:r>
                      <a:rPr lang="en-NZ"/>
                      <a:t>90%</a:t>
                    </a:r>
                  </a:p>
                </c:rich>
              </c:tx>
              <c:dLblPos val="r"/>
            </c:dLbl>
            <c:dLbl>
              <c:idx val="1"/>
              <c:delete val="1"/>
            </c:dLbl>
            <c:dLbl>
              <c:idx val="2"/>
              <c:delete val="1"/>
            </c:dLbl>
            <c:dLbl>
              <c:idx val="3"/>
              <c:layout>
                <c:manualLayout>
                  <c:x val="-2.4806150063650511E-2"/>
                  <c:y val="3.3246388755861001E-2"/>
                </c:manualLayout>
              </c:layout>
              <c:tx>
                <c:rich>
                  <a:bodyPr/>
                  <a:lstStyle/>
                  <a:p>
                    <a:r>
                      <a:rPr lang="en-NZ"/>
                      <a:t>80%</a:t>
                    </a:r>
                  </a:p>
                </c:rich>
              </c:tx>
              <c:dLblPos val="r"/>
            </c:dLbl>
            <c:dLbl>
              <c:idx val="4"/>
              <c:layout>
                <c:manualLayout>
                  <c:x val="-1.9821079523772111E-2"/>
                  <c:y val="3.6075243069863899E-2"/>
                </c:manualLayout>
              </c:layout>
              <c:tx>
                <c:rich>
                  <a:bodyPr/>
                  <a:lstStyle/>
                  <a:p>
                    <a:r>
                      <a:rPr lang="en-NZ"/>
                      <a:t>70%</a:t>
                    </a:r>
                  </a:p>
                </c:rich>
              </c:tx>
              <c:dLblPos val="r"/>
            </c:dLbl>
            <c:dLbl>
              <c:idx val="5"/>
              <c:delete val="1"/>
            </c:dLbl>
            <c:dLbl>
              <c:idx val="6"/>
              <c:delete val="1"/>
            </c:dLbl>
            <c:dLbl>
              <c:idx val="7"/>
              <c:layout>
                <c:manualLayout>
                  <c:x val="-2.1495392987086449E-2"/>
                  <c:y val="3.6075243069863899E-2"/>
                </c:manualLayout>
              </c:layout>
              <c:tx>
                <c:rich>
                  <a:bodyPr/>
                  <a:lstStyle/>
                  <a:p>
                    <a:r>
                      <a:rPr lang="en-NZ"/>
                      <a:t>60%</a:t>
                    </a:r>
                  </a:p>
                </c:rich>
              </c:tx>
              <c:dLblPos val="r"/>
            </c:dLbl>
            <c:dLbl>
              <c:idx val="8"/>
              <c:layout>
                <c:manualLayout>
                  <c:x val="-2.0949834100926112E-2"/>
                  <c:y val="3.6075243069863899E-2"/>
                </c:manualLayout>
              </c:layout>
              <c:tx>
                <c:rich>
                  <a:bodyPr/>
                  <a:lstStyle/>
                  <a:p>
                    <a:r>
                      <a:rPr lang="en-NZ"/>
                      <a:t>50%</a:t>
                    </a:r>
                  </a:p>
                </c:rich>
              </c:tx>
              <c:dLblPos val="r"/>
            </c:dLbl>
            <c:dLbl>
              <c:idx val="9"/>
              <c:delete val="1"/>
            </c:dLbl>
            <c:dLbl>
              <c:idx val="10"/>
              <c:delete val="1"/>
            </c:dLbl>
            <c:dLbl>
              <c:idx val="11"/>
              <c:layout>
                <c:manualLayout>
                  <c:x val="-2.040439173738133E-2"/>
                  <c:y val="3.6075243069863899E-2"/>
                </c:manualLayout>
              </c:layout>
              <c:tx>
                <c:rich>
                  <a:bodyPr/>
                  <a:lstStyle/>
                  <a:p>
                    <a:r>
                      <a:rPr lang="en-NZ"/>
                      <a:t>40%</a:t>
                    </a:r>
                  </a:p>
                </c:rich>
              </c:tx>
              <c:dLblPos val="r"/>
            </c:dLbl>
            <c:dLbl>
              <c:idx val="12"/>
              <c:layout>
                <c:manualLayout>
                  <c:x val="-1.9858832851220965E-2"/>
                  <c:y val="3.6075243069863899E-2"/>
                </c:manualLayout>
              </c:layout>
              <c:tx>
                <c:rich>
                  <a:bodyPr/>
                  <a:lstStyle/>
                  <a:p>
                    <a:r>
                      <a:rPr lang="en-NZ"/>
                      <a:t>30%</a:t>
                    </a:r>
                  </a:p>
                </c:rich>
              </c:tx>
              <c:dLblPos val="r"/>
            </c:dLbl>
            <c:dLbl>
              <c:idx val="13"/>
              <c:delete val="1"/>
            </c:dLbl>
            <c:dLbl>
              <c:idx val="14"/>
              <c:delete val="1"/>
            </c:dLbl>
            <c:dLbl>
              <c:idx val="15"/>
              <c:layout>
                <c:manualLayout>
                  <c:x val="-1.7093634660817241E-2"/>
                  <c:y val="3.3246388755861001E-2"/>
                </c:manualLayout>
              </c:layout>
              <c:tx>
                <c:rich>
                  <a:bodyPr/>
                  <a:lstStyle/>
                  <a:p>
                    <a:r>
                      <a:rPr lang="en-NZ"/>
                      <a:t>20%</a:t>
                    </a:r>
                  </a:p>
                </c:rich>
              </c:tx>
              <c:dLblPos val="r"/>
            </c:dLbl>
            <c:dLbl>
              <c:idx val="16"/>
              <c:layout>
                <c:manualLayout>
                  <c:x val="-2.098758742837507E-2"/>
                  <c:y val="3.3246388755861001E-2"/>
                </c:manualLayout>
              </c:layout>
              <c:tx>
                <c:rich>
                  <a:bodyPr/>
                  <a:lstStyle/>
                  <a:p>
                    <a:r>
                      <a:rPr lang="en-NZ"/>
                      <a:t>10%</a:t>
                    </a:r>
                  </a:p>
                </c:rich>
              </c:tx>
              <c:dLblPos val="r"/>
            </c:dLbl>
            <c:dLbl>
              <c:idx val="17"/>
              <c:delete val="1"/>
            </c:dLbl>
            <c:spPr>
              <a:noFill/>
              <a:ln w="25400">
                <a:noFill/>
              </a:ln>
            </c:spPr>
            <c:txPr>
              <a:bodyPr rot="3600000" vert="horz"/>
              <a:lstStyle/>
              <a:p>
                <a:pPr algn="l">
                  <a:defRPr sz="1200" b="0" i="0" u="none" strike="noStrike" baseline="0">
                    <a:solidFill>
                      <a:srgbClr val="808080"/>
                    </a:solidFill>
                    <a:latin typeface="Arial"/>
                    <a:ea typeface="Arial"/>
                    <a:cs typeface="Arial"/>
                  </a:defRPr>
                </a:pPr>
                <a:endParaRPr lang="en-US"/>
              </a:p>
            </c:txPr>
            <c:dLblPos val="b"/>
            <c:showVal val="1"/>
          </c:dLbls>
          <c:xVal>
            <c:numRef>
              <c:f>Tgrid!$K$5:$K$22</c:f>
              <c:numCache>
                <c:formatCode>General</c:formatCode>
                <c:ptCount val="18"/>
                <c:pt idx="0">
                  <c:v>0.11547000000000002</c:v>
                </c:pt>
                <c:pt idx="1">
                  <c:v>5.7740000000000007E-2</c:v>
                </c:pt>
                <c:pt idx="2">
                  <c:v>0.11548000000000001</c:v>
                </c:pt>
                <c:pt idx="3">
                  <c:v>0.23094000000000003</c:v>
                </c:pt>
                <c:pt idx="4">
                  <c:v>0.34641</c:v>
                </c:pt>
                <c:pt idx="5">
                  <c:v>0.17322000000000001</c:v>
                </c:pt>
                <c:pt idx="6">
                  <c:v>0.23096000000000003</c:v>
                </c:pt>
                <c:pt idx="7">
                  <c:v>0.46188000000000007</c:v>
                </c:pt>
                <c:pt idx="8">
                  <c:v>0.57735000000000003</c:v>
                </c:pt>
                <c:pt idx="9">
                  <c:v>0.28870000000000001</c:v>
                </c:pt>
                <c:pt idx="10">
                  <c:v>0.34644000000000003</c:v>
                </c:pt>
                <c:pt idx="11">
                  <c:v>0.69281999999999999</c:v>
                </c:pt>
                <c:pt idx="12">
                  <c:v>0.80828999999999995</c:v>
                </c:pt>
                <c:pt idx="13">
                  <c:v>0.40417999999999998</c:v>
                </c:pt>
                <c:pt idx="14">
                  <c:v>0.46192000000000005</c:v>
                </c:pt>
                <c:pt idx="15">
                  <c:v>0.92376000000000014</c:v>
                </c:pt>
                <c:pt idx="16">
                  <c:v>1.0392300000000001</c:v>
                </c:pt>
                <c:pt idx="17">
                  <c:v>0.51966000000000001</c:v>
                </c:pt>
              </c:numCache>
            </c:numRef>
          </c:xVal>
          <c:yVal>
            <c:numRef>
              <c:f>Tgrid!$L$5:$L$22</c:f>
              <c:numCache>
                <c:formatCode>0.00</c:formatCode>
                <c:ptCount val="18"/>
                <c:pt idx="0">
                  <c:v>0</c:v>
                </c:pt>
                <c:pt idx="1">
                  <c:v>0.1</c:v>
                </c:pt>
                <c:pt idx="2">
                  <c:v>0.2</c:v>
                </c:pt>
                <c:pt idx="3">
                  <c:v>0</c:v>
                </c:pt>
                <c:pt idx="4">
                  <c:v>0</c:v>
                </c:pt>
                <c:pt idx="5">
                  <c:v>0.3</c:v>
                </c:pt>
                <c:pt idx="6">
                  <c:v>0.4</c:v>
                </c:pt>
                <c:pt idx="7">
                  <c:v>0</c:v>
                </c:pt>
                <c:pt idx="8">
                  <c:v>0</c:v>
                </c:pt>
                <c:pt idx="9">
                  <c:v>0.5</c:v>
                </c:pt>
                <c:pt idx="10">
                  <c:v>0.6</c:v>
                </c:pt>
                <c:pt idx="11">
                  <c:v>0</c:v>
                </c:pt>
                <c:pt idx="12">
                  <c:v>0</c:v>
                </c:pt>
                <c:pt idx="13">
                  <c:v>0.7</c:v>
                </c:pt>
                <c:pt idx="14">
                  <c:v>0.8</c:v>
                </c:pt>
                <c:pt idx="15">
                  <c:v>0</c:v>
                </c:pt>
                <c:pt idx="16">
                  <c:v>0</c:v>
                </c:pt>
                <c:pt idx="17">
                  <c:v>0.9</c:v>
                </c:pt>
              </c:numCache>
            </c:numRef>
          </c:yVal>
        </c:ser>
        <c:ser>
          <c:idx val="3"/>
          <c:order val="2"/>
          <c:tx>
            <c:v>C grid</c:v>
          </c:tx>
          <c:spPr>
            <a:ln w="3175">
              <a:solidFill>
                <a:srgbClr val="808080"/>
              </a:solidFill>
              <a:prstDash val="sysDash"/>
            </a:ln>
          </c:spPr>
          <c:marker>
            <c:symbol val="none"/>
          </c:marker>
          <c:dLbls>
            <c:dLbl>
              <c:idx val="0"/>
              <c:delete val="1"/>
            </c:dLbl>
            <c:dLbl>
              <c:idx val="1"/>
              <c:layout>
                <c:manualLayout>
                  <c:x val="-1.0715652774257784E-2"/>
                  <c:y val="-3.17162829893788E-2"/>
                </c:manualLayout>
              </c:layout>
              <c:tx>
                <c:rich>
                  <a:bodyPr/>
                  <a:lstStyle/>
                  <a:p>
                    <a:r>
                      <a:rPr lang="en-NZ"/>
                      <a:t>10%</a:t>
                    </a:r>
                  </a:p>
                </c:rich>
              </c:tx>
              <c:dLblPos val="r"/>
            </c:dLbl>
            <c:dLbl>
              <c:idx val="2"/>
              <c:layout>
                <c:manualLayout>
                  <c:x val="-1.2659599570031457E-2"/>
                  <c:y val="-3.1413202062613575E-2"/>
                </c:manualLayout>
              </c:layout>
              <c:tx>
                <c:rich>
                  <a:bodyPr/>
                  <a:lstStyle/>
                  <a:p>
                    <a:r>
                      <a:rPr lang="en-NZ"/>
                      <a:t>20%</a:t>
                    </a:r>
                  </a:p>
                </c:rich>
              </c:tx>
              <c:dLblPos val="r"/>
            </c:dLbl>
            <c:dLbl>
              <c:idx val="3"/>
              <c:delete val="1"/>
            </c:dLbl>
            <c:dLbl>
              <c:idx val="4"/>
              <c:delete val="1"/>
            </c:dLbl>
            <c:dLbl>
              <c:idx val="5"/>
              <c:layout>
                <c:manualLayout>
                  <c:x val="-1.2383790538946168E-2"/>
                  <c:y val="-3.6767829763853802E-2"/>
                </c:manualLayout>
              </c:layout>
              <c:tx>
                <c:rich>
                  <a:bodyPr/>
                  <a:lstStyle/>
                  <a:p>
                    <a:r>
                      <a:rPr lang="en-NZ"/>
                      <a:t>30%</a:t>
                    </a:r>
                  </a:p>
                </c:rich>
              </c:tx>
              <c:dLblPos val="r"/>
            </c:dLbl>
            <c:dLbl>
              <c:idx val="6"/>
              <c:layout>
                <c:manualLayout>
                  <c:x val="-1.2107981507860884E-2"/>
                  <c:y val="-3.9293603151091226E-2"/>
                </c:manualLayout>
              </c:layout>
              <c:tx>
                <c:rich>
                  <a:bodyPr/>
                  <a:lstStyle/>
                  <a:p>
                    <a:r>
                      <a:rPr lang="en-NZ"/>
                      <a:t>40%</a:t>
                    </a:r>
                  </a:p>
                </c:rich>
              </c:tx>
              <c:dLblPos val="r"/>
            </c:dLbl>
            <c:dLbl>
              <c:idx val="7"/>
              <c:delete val="1"/>
            </c:dLbl>
            <c:dLbl>
              <c:idx val="8"/>
              <c:delete val="1"/>
            </c:dLbl>
            <c:dLbl>
              <c:idx val="9"/>
              <c:layout>
                <c:manualLayout>
                  <c:x val="-1.7381562043923163E-2"/>
                  <c:y val="-4.3233655199040703E-2"/>
                </c:manualLayout>
              </c:layout>
              <c:tx>
                <c:rich>
                  <a:bodyPr/>
                  <a:lstStyle/>
                  <a:p>
                    <a:r>
                      <a:rPr lang="en-NZ"/>
                      <a:t>50%</a:t>
                    </a:r>
                  </a:p>
                </c:rich>
              </c:tx>
              <c:dLblPos val="r"/>
            </c:dLbl>
            <c:dLbl>
              <c:idx val="10"/>
              <c:layout>
                <c:manualLayout>
                  <c:x val="-1.2666241359119737E-2"/>
                  <c:y val="-4.4345001429276824E-2"/>
                </c:manualLayout>
              </c:layout>
              <c:tx>
                <c:rich>
                  <a:bodyPr/>
                  <a:lstStyle/>
                  <a:p>
                    <a:r>
                      <a:rPr lang="en-NZ"/>
                      <a:t>60%</a:t>
                    </a:r>
                  </a:p>
                </c:rich>
              </c:tx>
              <c:dLblPos val="r"/>
            </c:dLbl>
            <c:dLbl>
              <c:idx val="11"/>
              <c:delete val="1"/>
            </c:dLbl>
            <c:dLbl>
              <c:idx val="12"/>
              <c:delete val="1"/>
            </c:dLbl>
            <c:dLbl>
              <c:idx val="13"/>
              <c:layout>
                <c:manualLayout>
                  <c:x val="-1.0170793023790958E-2"/>
                  <c:y val="-4.1213066188508549E-2"/>
                </c:manualLayout>
              </c:layout>
              <c:tx>
                <c:rich>
                  <a:bodyPr/>
                  <a:lstStyle/>
                  <a:p>
                    <a:r>
                      <a:rPr lang="en-NZ"/>
                      <a:t>70%</a:t>
                    </a:r>
                  </a:p>
                </c:rich>
              </c:tx>
              <c:dLblPos val="r"/>
            </c:dLbl>
            <c:dLbl>
              <c:idx val="14"/>
              <c:layout>
                <c:manualLayout>
                  <c:x val="-1.2114739819564745E-2"/>
                  <c:y val="-4.0909985261743283E-2"/>
                </c:manualLayout>
              </c:layout>
              <c:tx>
                <c:rich>
                  <a:bodyPr/>
                  <a:lstStyle/>
                  <a:p>
                    <a:r>
                      <a:rPr lang="en-NZ"/>
                      <a:t>80%</a:t>
                    </a:r>
                  </a:p>
                </c:rich>
              </c:tx>
              <c:dLblPos val="r"/>
            </c:dLbl>
            <c:dLbl>
              <c:idx val="15"/>
              <c:delete val="1"/>
            </c:dLbl>
            <c:dLbl>
              <c:idx val="16"/>
              <c:delete val="1"/>
            </c:dLbl>
            <c:dLbl>
              <c:idx val="17"/>
              <c:layout>
                <c:manualLayout>
                  <c:x val="-1.2948808701908898E-2"/>
                  <c:y val="-4.6264612962983585E-2"/>
                </c:manualLayout>
              </c:layout>
              <c:tx>
                <c:rich>
                  <a:bodyPr/>
                  <a:lstStyle/>
                  <a:p>
                    <a:r>
                      <a:rPr lang="en-NZ"/>
                      <a:t>90%</a:t>
                    </a:r>
                  </a:p>
                </c:rich>
              </c:tx>
              <c:dLblPos val="r"/>
            </c:dLbl>
            <c:spPr>
              <a:noFill/>
              <a:ln w="25400">
                <a:noFill/>
              </a:ln>
            </c:spPr>
            <c:txPr>
              <a:bodyPr rot="-3600000" vert="horz"/>
              <a:lstStyle/>
              <a:p>
                <a:pPr algn="l">
                  <a:defRPr sz="1200" b="0" i="0" u="none" strike="noStrike" baseline="0">
                    <a:solidFill>
                      <a:srgbClr val="808080"/>
                    </a:solidFill>
                    <a:latin typeface="Arial"/>
                    <a:ea typeface="Arial"/>
                    <a:cs typeface="Arial"/>
                  </a:defRPr>
                </a:pPr>
                <a:endParaRPr lang="en-US"/>
              </a:p>
            </c:txPr>
            <c:dLblPos val="r"/>
            <c:showVal val="1"/>
          </c:dLbls>
          <c:xVal>
            <c:numRef>
              <c:f>Tgrid!$P$5:$P$22</c:f>
              <c:numCache>
                <c:formatCode>General</c:formatCode>
                <c:ptCount val="18"/>
                <c:pt idx="0">
                  <c:v>0.11547000000000002</c:v>
                </c:pt>
                <c:pt idx="1">
                  <c:v>0.63512999999999997</c:v>
                </c:pt>
                <c:pt idx="2">
                  <c:v>0.69286000000000003</c:v>
                </c:pt>
                <c:pt idx="3">
                  <c:v>0.23094000000000003</c:v>
                </c:pt>
                <c:pt idx="4">
                  <c:v>0.34641</c:v>
                </c:pt>
                <c:pt idx="5">
                  <c:v>0.75058999999999998</c:v>
                </c:pt>
                <c:pt idx="6">
                  <c:v>0.80832000000000015</c:v>
                </c:pt>
                <c:pt idx="7">
                  <c:v>0.46188000000000007</c:v>
                </c:pt>
                <c:pt idx="8">
                  <c:v>0.57735000000000003</c:v>
                </c:pt>
                <c:pt idx="9">
                  <c:v>0.86604999999999999</c:v>
                </c:pt>
                <c:pt idx="10">
                  <c:v>0.92378000000000005</c:v>
                </c:pt>
                <c:pt idx="11">
                  <c:v>0.69281999999999999</c:v>
                </c:pt>
                <c:pt idx="12">
                  <c:v>0.80828999999999995</c:v>
                </c:pt>
                <c:pt idx="13">
                  <c:v>0.98150999999999999</c:v>
                </c:pt>
                <c:pt idx="14">
                  <c:v>1.0392400000000002</c:v>
                </c:pt>
                <c:pt idx="15">
                  <c:v>0.92376000000000014</c:v>
                </c:pt>
                <c:pt idx="16">
                  <c:v>1.0392300000000001</c:v>
                </c:pt>
                <c:pt idx="17">
                  <c:v>1.09697</c:v>
                </c:pt>
              </c:numCache>
            </c:numRef>
          </c:xVal>
          <c:yVal>
            <c:numRef>
              <c:f>Tgrid!$Q$5:$Q$22</c:f>
              <c:numCache>
                <c:formatCode>0.00</c:formatCode>
                <c:ptCount val="18"/>
                <c:pt idx="0">
                  <c:v>0</c:v>
                </c:pt>
                <c:pt idx="1">
                  <c:v>0.9</c:v>
                </c:pt>
                <c:pt idx="2">
                  <c:v>0.8</c:v>
                </c:pt>
                <c:pt idx="3">
                  <c:v>0</c:v>
                </c:pt>
                <c:pt idx="4">
                  <c:v>0</c:v>
                </c:pt>
                <c:pt idx="5">
                  <c:v>0.7</c:v>
                </c:pt>
                <c:pt idx="6">
                  <c:v>0.6</c:v>
                </c:pt>
                <c:pt idx="7">
                  <c:v>0</c:v>
                </c:pt>
                <c:pt idx="8">
                  <c:v>0</c:v>
                </c:pt>
                <c:pt idx="9">
                  <c:v>0.5</c:v>
                </c:pt>
                <c:pt idx="10">
                  <c:v>0.4</c:v>
                </c:pt>
                <c:pt idx="11">
                  <c:v>0</c:v>
                </c:pt>
                <c:pt idx="12">
                  <c:v>0</c:v>
                </c:pt>
                <c:pt idx="13">
                  <c:v>0.3</c:v>
                </c:pt>
                <c:pt idx="14">
                  <c:v>0.2</c:v>
                </c:pt>
                <c:pt idx="15">
                  <c:v>0</c:v>
                </c:pt>
                <c:pt idx="16">
                  <c:v>0</c:v>
                </c:pt>
                <c:pt idx="17">
                  <c:v>0.1</c:v>
                </c:pt>
              </c:numCache>
            </c:numRef>
          </c:yVal>
        </c:ser>
        <c:ser>
          <c:idx val="0"/>
          <c:order val="3"/>
          <c:tx>
            <c:v>border</c:v>
          </c:tx>
          <c:spPr>
            <a:ln w="38100">
              <a:solidFill>
                <a:srgbClr val="000000"/>
              </a:solidFill>
              <a:prstDash val="solid"/>
            </a:ln>
          </c:spPr>
          <c:marker>
            <c:symbol val="none"/>
          </c:marker>
          <c:dLbls>
            <c:dLbl>
              <c:idx val="0"/>
              <c:delete val="1"/>
            </c:dLbl>
            <c:dLbl>
              <c:idx val="1"/>
              <c:layout/>
              <c:tx>
                <c:strRef>
                  <c:f>Input!$BQ$7</c:f>
                  <c:strCache>
                    <c:ptCount val="1"/>
                    <c:pt idx="0">
                      <c:v>Cl</c:v>
                    </c:pt>
                  </c:strCache>
                </c:strRef>
              </c:tx>
              <c:dLblPos val="t"/>
            </c:dLbl>
            <c:dLbl>
              <c:idx val="2"/>
              <c:layout/>
              <c:tx>
                <c:strRef>
                  <c:f>Input!$BS$7</c:f>
                  <c:strCache>
                    <c:ptCount val="1"/>
                    <c:pt idx="0">
                      <c:v>25 B</c:v>
                    </c:pt>
                  </c:strCache>
                </c:strRef>
              </c:tx>
            </c:dLbl>
            <c:dLbl>
              <c:idx val="3"/>
              <c:layout/>
              <c:tx>
                <c:strRef>
                  <c:f>Input!$BR$7</c:f>
                  <c:strCache>
                    <c:ptCount val="1"/>
                    <c:pt idx="0">
                      <c:v>25 F</c:v>
                    </c:pt>
                  </c:strCache>
                </c:strRef>
              </c:tx>
              <c:dLblPos val="l"/>
            </c:dLbl>
            <c:spPr>
              <a:noFill/>
              <a:ln w="25400">
                <a:noFill/>
              </a:ln>
            </c:spPr>
            <c:txPr>
              <a:bodyPr/>
              <a:lstStyle/>
              <a:p>
                <a:pPr>
                  <a:defRPr sz="1600" b="1" i="0" u="none" strike="noStrike" baseline="0">
                    <a:solidFill>
                      <a:srgbClr val="000000"/>
                    </a:solidFill>
                    <a:latin typeface="Arial"/>
                    <a:ea typeface="Arial"/>
                    <a:cs typeface="Arial"/>
                  </a:defRPr>
                </a:pPr>
                <a:endParaRPr lang="en-US"/>
              </a:p>
            </c:txPr>
            <c:showVal val="1"/>
          </c:dLbls>
          <c:xVal>
            <c:numRef>
              <c:f>Tgrid!$A$5:$A$8</c:f>
              <c:numCache>
                <c:formatCode>General</c:formatCode>
                <c:ptCount val="4"/>
                <c:pt idx="0">
                  <c:v>0</c:v>
                </c:pt>
                <c:pt idx="1">
                  <c:v>0.57740000000000002</c:v>
                </c:pt>
                <c:pt idx="2">
                  <c:v>1.1547000000000001</c:v>
                </c:pt>
                <c:pt idx="3">
                  <c:v>0</c:v>
                </c:pt>
              </c:numCache>
            </c:numRef>
          </c:xVal>
          <c:yVal>
            <c:numRef>
              <c:f>Tgrid!$B$5:$B$8</c:f>
              <c:numCache>
                <c:formatCode>General</c:formatCode>
                <c:ptCount val="4"/>
                <c:pt idx="0">
                  <c:v>0</c:v>
                </c:pt>
                <c:pt idx="1">
                  <c:v>1</c:v>
                </c:pt>
                <c:pt idx="2">
                  <c:v>0</c:v>
                </c:pt>
                <c:pt idx="3">
                  <c:v>0</c:v>
                </c:pt>
              </c:numCache>
            </c:numRef>
          </c:yVal>
        </c:ser>
        <c:ser>
          <c:idx val="4"/>
          <c:order val="4"/>
          <c:tx>
            <c:v>data</c:v>
          </c:tx>
          <c:spPr>
            <a:ln w="28575">
              <a:noFill/>
            </a:ln>
          </c:spPr>
          <c:marker>
            <c:symbol val="triangle"/>
            <c:size val="6"/>
            <c:spPr>
              <a:solidFill>
                <a:srgbClr val="660066"/>
              </a:solidFill>
              <a:ln>
                <a:solidFill>
                  <a:srgbClr val="660066"/>
                </a:solidFill>
                <a:prstDash val="solid"/>
              </a:ln>
            </c:spPr>
          </c:marker>
          <c:dLbls>
            <c:dLbl>
              <c:idx val="0"/>
              <c:layout/>
              <c:tx>
                <c:strRef>
                  <c:f>Input!$AH$8</c:f>
                  <c:strCache>
                    <c:ptCount val="1"/>
                    <c:pt idx="0">
                      <c:v>WK</c:v>
                    </c:pt>
                  </c:strCache>
                </c:strRef>
              </c:tx>
              <c:dLblPos val="t"/>
            </c:dLbl>
            <c:dLbl>
              <c:idx val="1"/>
              <c:layout/>
              <c:tx>
                <c:strRef>
                  <c:f>Input!$AH$9</c:f>
                  <c:strCache>
                    <c:ptCount val="1"/>
                    <c:pt idx="0">
                      <c:v>wk</c:v>
                    </c:pt>
                  </c:strCache>
                </c:strRef>
              </c:tx>
              <c:dLblPos val="t"/>
            </c:dLbl>
            <c:dLbl>
              <c:idx val="2"/>
              <c:layout/>
              <c:tx>
                <c:strRef>
                  <c:f>Input!$AH$10</c:f>
                  <c:strCache>
                    <c:ptCount val="1"/>
                    <c:pt idx="0">
                      <c:v>NG</c:v>
                    </c:pt>
                  </c:strCache>
                </c:strRef>
              </c:tx>
              <c:dLblPos val="t"/>
            </c:dLbl>
            <c:dLbl>
              <c:idx val="3"/>
              <c:layout/>
              <c:tx>
                <c:strRef>
                  <c:f>Input!$AH$11</c:f>
                  <c:strCache>
                    <c:ptCount val="1"/>
                    <c:pt idx="0">
                      <c:v>ng</c:v>
                    </c:pt>
                  </c:strCache>
                </c:strRef>
              </c:tx>
              <c:dLblPos val="t"/>
            </c:dLbl>
            <c:dLbl>
              <c:idx val="4"/>
              <c:layout/>
              <c:tx>
                <c:strRef>
                  <c:f>Input!$AH$12</c:f>
                  <c:strCache>
                    <c:ptCount val="1"/>
                    <c:pt idx="0">
                      <c:v>ZU</c:v>
                    </c:pt>
                  </c:strCache>
                </c:strRef>
              </c:tx>
              <c:dLblPos val="t"/>
            </c:dLbl>
            <c:dLbl>
              <c:idx val="5"/>
              <c:layout/>
              <c:tx>
                <c:strRef>
                  <c:f>Input!$AH$13</c:f>
                  <c:strCache>
                    <c:ptCount val="1"/>
                    <c:pt idx="0">
                      <c:v>zu</c:v>
                    </c:pt>
                  </c:strCache>
                </c:strRef>
              </c:tx>
              <c:dLblPos val="t"/>
            </c:dLbl>
            <c:dLbl>
              <c:idx val="6"/>
              <c:layout/>
              <c:tx>
                <c:strRef>
                  <c:f>Input!$AH$14</c:f>
                  <c:strCache>
                    <c:ptCount val="1"/>
                    <c:pt idx="0">
                      <c:v>MV</c:v>
                    </c:pt>
                  </c:strCache>
                </c:strRef>
              </c:tx>
              <c:dLblPos val="t"/>
            </c:dLbl>
            <c:dLbl>
              <c:idx val="7"/>
              <c:layout/>
              <c:tx>
                <c:strRef>
                  <c:f>Input!$AH$15</c:f>
                  <c:strCache>
                    <c:ptCount val="1"/>
                    <c:pt idx="0">
                      <c:v>mv</c:v>
                    </c:pt>
                  </c:strCache>
                </c:strRef>
              </c:tx>
              <c:dLblPos val="t"/>
            </c:dLbl>
            <c:dLbl>
              <c:idx val="8"/>
              <c:layout/>
              <c:tx>
                <c:strRef>
                  <c:f>Input!$AH$16</c:f>
                  <c:strCache>
                    <c:ptCount val="1"/>
                    <c:pt idx="0">
                      <c:v>ra</c:v>
                    </c:pt>
                  </c:strCache>
                </c:strRef>
              </c:tx>
              <c:dLblPos val="t"/>
            </c:dLbl>
            <c:dLbl>
              <c:idx val="9"/>
              <c:layout/>
              <c:tx>
                <c:strRef>
                  <c:f>Input!$AH$17</c:f>
                  <c:strCache>
                    <c:ptCount val="1"/>
                    <c:pt idx="0">
                      <c:v>rb</c:v>
                    </c:pt>
                  </c:strCache>
                </c:strRef>
              </c:tx>
              <c:dLblPos val="t"/>
            </c:dLbl>
            <c:dLbl>
              <c:idx val="10"/>
              <c:layout/>
              <c:tx>
                <c:strRef>
                  <c:f>Input!$AH$18</c:f>
                  <c:strCache>
                    <c:ptCount val="1"/>
                    <c:pt idx="0">
                      <c:v>ar</c:v>
                    </c:pt>
                  </c:strCache>
                </c:strRef>
              </c:tx>
              <c:dLblPos val="t"/>
            </c:dLbl>
            <c:dLbl>
              <c:idx val="11"/>
              <c:layout/>
              <c:tx>
                <c:strRef>
                  <c:f>Input!$AH$19</c:f>
                  <c:strCache>
                    <c:ptCount val="1"/>
                    <c:pt idx="0">
                      <c:v>ma</c:v>
                    </c:pt>
                  </c:strCache>
                </c:strRef>
              </c:tx>
              <c:dLblPos val="t"/>
            </c:dLbl>
            <c:dLbl>
              <c:idx val="12"/>
              <c:layout/>
              <c:tx>
                <c:strRef>
                  <c:f>Input!$AH$20</c:f>
                  <c:strCache>
                    <c:ptCount val="1"/>
                    <c:pt idx="0">
                      <c:v>fn</c:v>
                    </c:pt>
                  </c:strCache>
                </c:strRef>
              </c:tx>
              <c:dLblPos val="t"/>
            </c:dLbl>
            <c:dLbl>
              <c:idx val="13"/>
              <c:layout/>
              <c:tx>
                <c:strRef>
                  <c:f>Input!$AH$21</c:f>
                  <c:strCache>
                    <c:ptCount val="1"/>
                    <c:pt idx="0">
                      <c:v>pr</c:v>
                    </c:pt>
                  </c:strCache>
                </c:strRef>
              </c:tx>
              <c:dLblPos val="t"/>
            </c:dLbl>
            <c:dLbl>
              <c:idx val="14"/>
              <c:layout/>
              <c:tx>
                <c:strRef>
                  <c:f>Input!$AH$22</c:f>
                  <c:strCache>
                    <c:ptCount val="1"/>
                    <c:pt idx="0">
                      <c:v>ya</c:v>
                    </c:pt>
                  </c:strCache>
                </c:strRef>
              </c:tx>
              <c:dLblPos val="t"/>
            </c:dLbl>
            <c:dLbl>
              <c:idx val="15"/>
              <c:layout/>
              <c:tx>
                <c:strRef>
                  <c:f>Input!$AH$23</c:f>
                  <c:strCache>
                    <c:ptCount val="1"/>
                    <c:pt idx="0">
                      <c:v>ln</c:v>
                    </c:pt>
                  </c:strCache>
                </c:strRef>
              </c:tx>
              <c:dLblPos val="t"/>
            </c:dLbl>
            <c:dLbl>
              <c:idx val="16"/>
              <c:layout/>
              <c:tx>
                <c:strRef>
                  <c:f>Input!$AH$24</c:f>
                  <c:strCache>
                    <c:ptCount val="1"/>
                    <c:pt idx="0">
                      <c:v>ws</c:v>
                    </c:pt>
                  </c:strCache>
                </c:strRef>
              </c:tx>
              <c:dLblPos val="t"/>
            </c:dLbl>
            <c:dLbl>
              <c:idx val="17"/>
              <c:layout/>
              <c:tx>
                <c:strRef>
                  <c:f>Input!$AH$25</c:f>
                  <c:strCache>
                    <c:ptCount val="1"/>
                    <c:pt idx="0">
                      <c:v>mo</c:v>
                    </c:pt>
                  </c:strCache>
                </c:strRef>
              </c:tx>
              <c:dLblPos val="t"/>
            </c:dLbl>
            <c:dLbl>
              <c:idx val="18"/>
              <c:layout/>
              <c:tx>
                <c:strRef>
                  <c:f>Input!$AH$26</c:f>
                  <c:strCache>
                    <c:ptCount val="1"/>
                    <c:pt idx="0">
                      <c:v>MU</c:v>
                    </c:pt>
                  </c:strCache>
                </c:strRef>
              </c:tx>
              <c:dLblPos val="t"/>
            </c:dLbl>
            <c:dLbl>
              <c:idx val="19"/>
              <c:layout/>
              <c:tx>
                <c:strRef>
                  <c:f>Input!$AH$27</c:f>
                  <c:strCache>
                    <c:ptCount val="1"/>
                    <c:pt idx="0">
                      <c:v>wi</c:v>
                    </c:pt>
                  </c:strCache>
                </c:strRef>
              </c:tx>
              <c:dLblPos val="t"/>
            </c:dLbl>
            <c:dLbl>
              <c:idx val="20"/>
              <c:tx>
                <c:strRef>
                  <c:f>Input!$AH$28</c:f>
                  <c:strCache>
                    <c:ptCount val="1"/>
                  </c:strCache>
                </c:strRef>
              </c:tx>
              <c:dLblPos val="t"/>
            </c:dLbl>
            <c:dLbl>
              <c:idx val="21"/>
              <c:tx>
                <c:strRef>
                  <c:f>Input!$AH$29</c:f>
                  <c:strCache>
                    <c:ptCount val="1"/>
                  </c:strCache>
                </c:strRef>
              </c:tx>
              <c:dLblPos val="t"/>
            </c:dLbl>
            <c:dLbl>
              <c:idx val="22"/>
              <c:tx>
                <c:strRef>
                  <c:f>Input!$AH$30</c:f>
                  <c:strCache>
                    <c:ptCount val="1"/>
                  </c:strCache>
                </c:strRef>
              </c:tx>
              <c:dLblPos val="t"/>
            </c:dLbl>
            <c:dLbl>
              <c:idx val="23"/>
              <c:tx>
                <c:strRef>
                  <c:f>Input!$AH$31</c:f>
                  <c:strCache>
                    <c:ptCount val="1"/>
                  </c:strCache>
                </c:strRef>
              </c:tx>
              <c:dLblPos val="t"/>
            </c:dLbl>
            <c:dLbl>
              <c:idx val="24"/>
              <c:tx>
                <c:strRef>
                  <c:f>Input!$AH$32</c:f>
                  <c:strCache>
                    <c:ptCount val="1"/>
                  </c:strCache>
                </c:strRef>
              </c:tx>
              <c:dLblPos val="t"/>
            </c:dLbl>
            <c:dLbl>
              <c:idx val="25"/>
              <c:tx>
                <c:strRef>
                  <c:f>Input!$AH$33</c:f>
                  <c:strCache>
                    <c:ptCount val="1"/>
                  </c:strCache>
                </c:strRef>
              </c:tx>
              <c:dLblPos val="t"/>
            </c:dLbl>
            <c:dLbl>
              <c:idx val="26"/>
              <c:tx>
                <c:strRef>
                  <c:f>Input!$AH$34</c:f>
                  <c:strCache>
                    <c:ptCount val="1"/>
                  </c:strCache>
                </c:strRef>
              </c:tx>
              <c:dLblPos val="t"/>
            </c:dLbl>
            <c:dLbl>
              <c:idx val="27"/>
              <c:tx>
                <c:strRef>
                  <c:f>Input!$AH$35</c:f>
                  <c:strCache>
                    <c:ptCount val="1"/>
                  </c:strCache>
                </c:strRef>
              </c:tx>
              <c:dLblPos val="t"/>
            </c:dLbl>
            <c:dLbl>
              <c:idx val="28"/>
              <c:tx>
                <c:strRef>
                  <c:f>Input!$AH$36</c:f>
                  <c:strCache>
                    <c:ptCount val="1"/>
                  </c:strCache>
                </c:strRef>
              </c:tx>
              <c:dLblPos val="t"/>
            </c:dLbl>
            <c:dLbl>
              <c:idx val="29"/>
              <c:tx>
                <c:strRef>
                  <c:f>Input!$AH$37</c:f>
                  <c:strCache>
                    <c:ptCount val="1"/>
                  </c:strCache>
                </c:strRef>
              </c:tx>
              <c:dLblPos val="t"/>
            </c:dLbl>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Val val="1"/>
          </c:dLbls>
          <c:xVal>
            <c:numRef>
              <c:f>Input!$BT$8:$BT$37</c:f>
              <c:numCache>
                <c:formatCode>0.000</c:formatCode>
                <c:ptCount val="30"/>
                <c:pt idx="0">
                  <c:v>0.72062328244274809</c:v>
                </c:pt>
                <c:pt idx="1">
                  <c:v>0.77286377952755914</c:v>
                </c:pt>
                <c:pt idx="2">
                  <c:v>1.1243865551556214</c:v>
                </c:pt>
                <c:pt idx="3">
                  <c:v>1.1216602040816328</c:v>
                </c:pt>
                <c:pt idx="4">
                  <c:v>0.80729823008849566</c:v>
                </c:pt>
                <c:pt idx="5">
                  <c:v>0.82201864406779657</c:v>
                </c:pt>
                <c:pt idx="6">
                  <c:v>0.74500322580645173</c:v>
                </c:pt>
                <c:pt idx="7">
                  <c:v>0.75970526315789477</c:v>
                </c:pt>
                <c:pt idx="8">
                  <c:v>0.65189032258064517</c:v>
                </c:pt>
                <c:pt idx="9">
                  <c:v>0.76331016949152541</c:v>
                </c:pt>
                <c:pt idx="10">
                  <c:v>0.95259497400346627</c:v>
                </c:pt>
                <c:pt idx="11">
                  <c:v>0.78860731707317067</c:v>
                </c:pt>
                <c:pt idx="12">
                  <c:v>0.85494807692307706</c:v>
                </c:pt>
                <c:pt idx="13">
                  <c:v>0.66167737226277379</c:v>
                </c:pt>
                <c:pt idx="14">
                  <c:v>0.71423182844243793</c:v>
                </c:pt>
                <c:pt idx="15">
                  <c:v>1.132496153846154</c:v>
                </c:pt>
                <c:pt idx="16">
                  <c:v>0.67580340909090919</c:v>
                </c:pt>
                <c:pt idx="17">
                  <c:v>0.62515921625544268</c:v>
                </c:pt>
                <c:pt idx="18">
                  <c:v>0.59408497109826586</c:v>
                </c:pt>
                <c:pt idx="19">
                  <c:v>0.63147962529274015</c:v>
                </c:pt>
                <c:pt idx="20">
                  <c:v>0</c:v>
                </c:pt>
                <c:pt idx="21">
                  <c:v>0</c:v>
                </c:pt>
                <c:pt idx="22">
                  <c:v>0</c:v>
                </c:pt>
                <c:pt idx="23">
                  <c:v>0</c:v>
                </c:pt>
                <c:pt idx="24">
                  <c:v>0</c:v>
                </c:pt>
                <c:pt idx="25">
                  <c:v>0</c:v>
                </c:pt>
                <c:pt idx="26">
                  <c:v>0</c:v>
                </c:pt>
                <c:pt idx="27">
                  <c:v>0</c:v>
                </c:pt>
                <c:pt idx="28">
                  <c:v>0</c:v>
                </c:pt>
                <c:pt idx="29">
                  <c:v>0</c:v>
                </c:pt>
              </c:numCache>
            </c:numRef>
          </c:xVal>
          <c:yVal>
            <c:numRef>
              <c:f>Input!$BU$8:$BU$37</c:f>
              <c:numCache>
                <c:formatCode>0.000</c:formatCode>
                <c:ptCount val="30"/>
                <c:pt idx="0">
                  <c:v>0.75190839694656486</c:v>
                </c:pt>
                <c:pt idx="1">
                  <c:v>0.66141732283464572</c:v>
                </c:pt>
                <c:pt idx="2">
                  <c:v>5.2508998517891169E-2</c:v>
                </c:pt>
                <c:pt idx="3">
                  <c:v>5.7231588287488908E-2</c:v>
                </c:pt>
                <c:pt idx="4">
                  <c:v>0.60176991150442483</c:v>
                </c:pt>
                <c:pt idx="5">
                  <c:v>0.57627118644067798</c:v>
                </c:pt>
                <c:pt idx="6">
                  <c:v>0.70967741935483875</c:v>
                </c:pt>
                <c:pt idx="7">
                  <c:v>0.68421052631578949</c:v>
                </c:pt>
                <c:pt idx="8">
                  <c:v>0.87096774193548387</c:v>
                </c:pt>
                <c:pt idx="9">
                  <c:v>0.67796610169491522</c:v>
                </c:pt>
                <c:pt idx="10">
                  <c:v>0.35008665511265163</c:v>
                </c:pt>
                <c:pt idx="11">
                  <c:v>0.63414634146341464</c:v>
                </c:pt>
                <c:pt idx="12">
                  <c:v>0.51923076923076927</c:v>
                </c:pt>
                <c:pt idx="13">
                  <c:v>0.85401459854014594</c:v>
                </c:pt>
                <c:pt idx="14">
                  <c:v>0.76297968397291194</c:v>
                </c:pt>
                <c:pt idx="15">
                  <c:v>3.8461538461538464E-2</c:v>
                </c:pt>
                <c:pt idx="16">
                  <c:v>0.82954545454545459</c:v>
                </c:pt>
                <c:pt idx="17">
                  <c:v>0.91727140783744554</c:v>
                </c:pt>
                <c:pt idx="18">
                  <c:v>0.97109826589595372</c:v>
                </c:pt>
                <c:pt idx="19">
                  <c:v>0.90632318501170961</c:v>
                </c:pt>
                <c:pt idx="20">
                  <c:v>-1</c:v>
                </c:pt>
                <c:pt idx="21">
                  <c:v>-1</c:v>
                </c:pt>
                <c:pt idx="22">
                  <c:v>-1</c:v>
                </c:pt>
                <c:pt idx="23">
                  <c:v>-1</c:v>
                </c:pt>
                <c:pt idx="24">
                  <c:v>-1</c:v>
                </c:pt>
                <c:pt idx="25">
                  <c:v>-1</c:v>
                </c:pt>
                <c:pt idx="26">
                  <c:v>-1</c:v>
                </c:pt>
                <c:pt idx="27">
                  <c:v>-1</c:v>
                </c:pt>
                <c:pt idx="28">
                  <c:v>-1</c:v>
                </c:pt>
                <c:pt idx="29">
                  <c:v>-1</c:v>
                </c:pt>
              </c:numCache>
            </c:numRef>
          </c:yVal>
        </c:ser>
        <c:axId val="99743616"/>
        <c:axId val="99745152"/>
      </c:scatterChart>
      <c:valAx>
        <c:axId val="99743616"/>
        <c:scaling>
          <c:orientation val="minMax"/>
          <c:max val="1.4"/>
          <c:min val="-0.2"/>
        </c:scaling>
        <c:delete val="1"/>
        <c:axPos val="b"/>
        <c:numFmt formatCode="General" sourceLinked="1"/>
        <c:tickLblPos val="none"/>
        <c:crossAx val="99745152"/>
        <c:crosses val="autoZero"/>
        <c:crossBetween val="midCat"/>
      </c:valAx>
      <c:valAx>
        <c:axId val="99745152"/>
        <c:scaling>
          <c:orientation val="minMax"/>
          <c:max val="1.2"/>
          <c:min val="-0.2"/>
        </c:scaling>
        <c:delete val="1"/>
        <c:axPos val="l"/>
        <c:numFmt formatCode="_(* #,##0.00_);_(* \(#,##0.00\);_(* &quot;-&quot;??_);_(@_)" sourceLinked="1"/>
        <c:tickLblPos val="none"/>
        <c:crossAx val="99743616"/>
        <c:crosses val="autoZero"/>
        <c:crossBetween val="midCat"/>
      </c:valAx>
      <c:spPr>
        <a:noFill/>
        <a:ln w="25400">
          <a:noFill/>
        </a:ln>
      </c:spPr>
    </c:plotArea>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sheetViews>
    <sheetView zoomScale="75" workbookViewId="0"/>
  </sheetViews>
  <pageMargins left="0.75" right="0.75" top="1" bottom="1" header="0.5" footer="0.5"/>
  <pageSetup orientation="landscape" horizontalDpi="300" verticalDpi="300" r:id="rId1"/>
  <headerFooter alignWithMargins="0">
    <oddHeader>&amp;C&amp;"Arial,Bold"&amp;18Stable Isotopes</oddHeader>
    <oddFooter>&amp;C&amp;F&amp;R&amp;D</oddFooter>
  </headerFooter>
  <drawing r:id="rId2"/>
</chartsheet>
</file>

<file path=xl/chartsheets/sheet10.xml><?xml version="1.0" encoding="utf-8"?>
<chartsheet xmlns="http://schemas.openxmlformats.org/spreadsheetml/2006/main" xmlns:r="http://schemas.openxmlformats.org/officeDocument/2006/relationships">
  <sheetPr/>
  <sheetViews>
    <sheetView zoomScale="75" workbookViewId="0"/>
  </sheetViews>
  <pageMargins left="0.75" right="0.75" top="0.52" bottom="0.5" header="0.5" footer="0.5"/>
  <pageSetup orientation="landscape" horizontalDpi="300" verticalDpi="300" r:id="rId1"/>
  <headerFooter alignWithMargins="0">
    <oddHeader>&amp;C&amp;"Arial,Bold"&amp;14Li - Rb - Cs Ternary</oddHeader>
    <oddFooter>&amp;C&amp;F&amp;R&amp;D</oddFooter>
  </headerFooter>
  <drawing r:id="rId2"/>
</chartsheet>
</file>

<file path=xl/chartsheets/sheet11.xml><?xml version="1.0" encoding="utf-8"?>
<chartsheet xmlns="http://schemas.openxmlformats.org/spreadsheetml/2006/main" xmlns:r="http://schemas.openxmlformats.org/officeDocument/2006/relationships">
  <sheetPr/>
  <sheetViews>
    <sheetView zoomScale="75" workbookViewId="0"/>
  </sheetViews>
  <pageMargins left="0.75" right="0.75" top="0.52" bottom="0.5" header="0.5" footer="0.5"/>
  <pageSetup orientation="landscape" horizontalDpi="300" verticalDpi="300" r:id="rId1"/>
  <headerFooter alignWithMargins="0"/>
  <drawing r:id="rId2"/>
</chartsheet>
</file>

<file path=xl/chartsheets/sheet12.xml><?xml version="1.0" encoding="utf-8"?>
<chartsheet xmlns="http://schemas.openxmlformats.org/spreadsheetml/2006/main" xmlns:r="http://schemas.openxmlformats.org/officeDocument/2006/relationships">
  <sheetPr/>
  <sheetViews>
    <sheetView zoomScale="75" workbookViewId="0"/>
  </sheetViews>
  <pageMargins left="0.75" right="0.75" top="0.52" bottom="0.5" header="0.5" footer="0.5"/>
  <pageSetup orientation="landscape" horizontalDpi="300" verticalDpi="300" r:id="rId1"/>
  <headerFooter alignWithMargins="0">
    <oddHeader>&amp;C&amp;"Arial,Bold"&amp;14Li - Rb - Cs Ternary</oddHeader>
    <oddFooter>&amp;C&amp;F&amp;R&amp;D</oddFooter>
  </headerFooter>
  <drawing r:id="rId2"/>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orientation="landscape" horizontalDpi="360" verticalDpi="360" r:id="rId1"/>
  <headerFooter alignWithMargins="0"/>
  <drawing r:id="rId2"/>
</chartsheet>
</file>

<file path=xl/chartsheets/sheet14.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orientation="portrait"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68" workbookViewId="0"/>
  </sheetViews>
  <pageMargins left="0.75" right="0.75" top="1" bottom="1" header="0.5" footer="0.5"/>
  <pageSetup orientation="landscape" horizontalDpi="300" verticalDpi="300"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zoomScale="68" workbookViewId="0"/>
  </sheetViews>
  <pageMargins left="0.75" right="0.75" top="1" bottom="1" header="0.5" footer="0.5"/>
  <pageSetup orientation="landscape" horizontalDpi="300" verticalDpi="300"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zoomScale="68" workbookViewId="0"/>
  </sheetViews>
  <pageMargins left="0.75" right="0.75" top="1" bottom="1" header="0.5" footer="0.5"/>
  <pageSetup orientation="landscape" horizontalDpi="300" verticalDpi="300" r:id="rId1"/>
  <headerFooter alignWithMargins="0"/>
  <drawing r:id="rId2"/>
</chartsheet>
</file>

<file path=xl/chartsheets/sheet5.xml><?xml version="1.0" encoding="utf-8"?>
<chartsheet xmlns="http://schemas.openxmlformats.org/spreadsheetml/2006/main" xmlns:r="http://schemas.openxmlformats.org/officeDocument/2006/relationships">
  <sheetPr/>
  <sheetViews>
    <sheetView zoomScale="75" workbookViewId="0"/>
  </sheetViews>
  <pageMargins left="0.75" right="0.75" top="1" bottom="1" header="0.5" footer="0.5"/>
  <pageSetup orientation="landscape" horizontalDpi="300" verticalDpi="300" r:id="rId1"/>
  <headerFooter alignWithMargins="0"/>
  <drawing r:id="rId2"/>
</chartsheet>
</file>

<file path=xl/chartsheets/sheet6.xml><?xml version="1.0" encoding="utf-8"?>
<chartsheet xmlns="http://schemas.openxmlformats.org/spreadsheetml/2006/main" xmlns:r="http://schemas.openxmlformats.org/officeDocument/2006/relationships">
  <sheetPr/>
  <sheetViews>
    <sheetView zoomScale="70" workbookViewId="0"/>
  </sheetViews>
  <pageMargins left="0.75" right="0.75" top="1" bottom="1" header="0.5" footer="0.5"/>
  <pageSetup orientation="landscape" horizontalDpi="300" verticalDpi="300" r:id="rId1"/>
  <headerFooter alignWithMargins="0"/>
  <drawing r:id="rId2"/>
</chartsheet>
</file>

<file path=xl/chartsheets/sheet7.xml><?xml version="1.0" encoding="utf-8"?>
<chartsheet xmlns="http://schemas.openxmlformats.org/spreadsheetml/2006/main" xmlns:r="http://schemas.openxmlformats.org/officeDocument/2006/relationships">
  <sheetPr/>
  <sheetViews>
    <sheetView zoomScale="75" workbookViewId="0"/>
  </sheetViews>
  <pageMargins left="0.75" right="0.75" top="0.52" bottom="0.5" header="0.5" footer="0.5"/>
  <pageSetup orientation="landscape" horizontalDpi="300" verticalDpi="300" r:id="rId1"/>
  <headerFooter alignWithMargins="0"/>
  <drawing r:id="rId2"/>
</chartsheet>
</file>

<file path=xl/chartsheets/sheet8.xml><?xml version="1.0" encoding="utf-8"?>
<chartsheet xmlns="http://schemas.openxmlformats.org/spreadsheetml/2006/main" xmlns:r="http://schemas.openxmlformats.org/officeDocument/2006/relationships">
  <sheetPr/>
  <sheetViews>
    <sheetView zoomScale="75" workbookViewId="0"/>
  </sheetViews>
  <pageMargins left="0.75" right="0.75" top="0.52" bottom="0.5" header="0.5" footer="0.5"/>
  <pageSetup orientation="landscape" horizontalDpi="300" verticalDpi="300" r:id="rId1"/>
  <headerFooter alignWithMargins="0"/>
  <drawing r:id="rId2"/>
</chartsheet>
</file>

<file path=xl/chartsheets/sheet9.xml><?xml version="1.0" encoding="utf-8"?>
<chartsheet xmlns="http://schemas.openxmlformats.org/spreadsheetml/2006/main" xmlns:r="http://schemas.openxmlformats.org/officeDocument/2006/relationships">
  <sheetPr/>
  <sheetViews>
    <sheetView zoomScale="75" workbookViewId="0"/>
  </sheetViews>
  <pageMargins left="0.75" right="0.75" top="0.52" bottom="0.5" header="0.5" footer="0.5"/>
  <pageSetup orientation="landscape" horizontalDpi="300" verticalDpi="3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582025" cy="67341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0.33681</cdr:x>
      <cdr:y>0.65037</cdr:y>
    </cdr:from>
    <cdr:to>
      <cdr:x>0.60294</cdr:x>
      <cdr:y>0.70513</cdr:y>
    </cdr:to>
    <cdr:sp macro="" textlink="">
      <cdr:nvSpPr>
        <cdr:cNvPr id="150530" name="Text Box 2"/>
        <cdr:cNvSpPr txBox="1">
          <a:spLocks xmlns:a="http://schemas.openxmlformats.org/drawingml/2006/main" noChangeArrowheads="1"/>
        </cdr:cNvSpPr>
      </cdr:nvSpPr>
      <cdr:spPr bwMode="auto">
        <a:xfrm xmlns:a="http://schemas.openxmlformats.org/drawingml/2006/main">
          <a:off x="2890532" y="4379677"/>
          <a:ext cx="2283895" cy="36881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36576" tIns="36576" rIns="36576" bIns="36576" anchor="ctr" upright="1">
          <a:spAutoFit/>
        </a:bodyPr>
        <a:lstStyle xmlns:a="http://schemas.openxmlformats.org/drawingml/2006/main"/>
        <a:p xmlns:a="http://schemas.openxmlformats.org/drawingml/2006/main">
          <a:pPr algn="ctr" rtl="0">
            <a:defRPr sz="1000"/>
          </a:pPr>
          <a:r>
            <a:rPr lang="en-NZ" sz="2000" b="0" i="0" u="none" strike="noStrike" baseline="0">
              <a:solidFill>
                <a:srgbClr val="808080"/>
              </a:solidFill>
              <a:latin typeface="Arial"/>
              <a:cs typeface="Arial"/>
            </a:rPr>
            <a:t>Partial Equilibration</a:t>
          </a:r>
        </a:p>
      </cdr:txBody>
    </cdr:sp>
  </cdr:relSizeAnchor>
  <cdr:relSizeAnchor xmlns:cdr="http://schemas.openxmlformats.org/drawingml/2006/chartDrawing">
    <cdr:from>
      <cdr:x>0.43099</cdr:x>
      <cdr:y>0.72724</cdr:y>
    </cdr:from>
    <cdr:to>
      <cdr:x>0.66876</cdr:x>
      <cdr:y>0.78201</cdr:y>
    </cdr:to>
    <cdr:sp macro="" textlink="">
      <cdr:nvSpPr>
        <cdr:cNvPr id="150529" name="Text Box 1"/>
        <cdr:cNvSpPr txBox="1">
          <a:spLocks xmlns:a="http://schemas.openxmlformats.org/drawingml/2006/main" noChangeArrowheads="1"/>
        </cdr:cNvSpPr>
      </cdr:nvSpPr>
      <cdr:spPr bwMode="auto">
        <a:xfrm xmlns:a="http://schemas.openxmlformats.org/drawingml/2006/main">
          <a:off x="3698761" y="4897367"/>
          <a:ext cx="2040560" cy="36881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36576" tIns="36576" rIns="36576" bIns="36576" anchor="ctr" upright="1">
          <a:spAutoFit/>
        </a:bodyPr>
        <a:lstStyle xmlns:a="http://schemas.openxmlformats.org/drawingml/2006/main"/>
        <a:p xmlns:a="http://schemas.openxmlformats.org/drawingml/2006/main">
          <a:pPr algn="ctr" rtl="0">
            <a:defRPr sz="1000"/>
          </a:pPr>
          <a:r>
            <a:rPr lang="en-NZ" sz="2000" b="0" i="0" u="none" strike="noStrike" baseline="0">
              <a:solidFill>
                <a:srgbClr val="808080"/>
              </a:solidFill>
              <a:latin typeface="Arial"/>
              <a:cs typeface="Arial"/>
            </a:rPr>
            <a:t>Immature Waters</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8582025" cy="67341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582025" cy="67341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582025" cy="67341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582025" cy="67341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582025" cy="67341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28575" y="28575"/>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6296025" cy="8124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0.12825</cdr:x>
      <cdr:y>0.09975</cdr:y>
    </cdr:from>
    <cdr:to>
      <cdr:x>0.3315</cdr:x>
      <cdr:y>0.2625</cdr:y>
    </cdr:to>
    <cdr:sp macro="" textlink="">
      <cdr:nvSpPr>
        <cdr:cNvPr id="373761" name="Text Box 1"/>
        <cdr:cNvSpPr txBox="1">
          <a:spLocks xmlns:a="http://schemas.openxmlformats.org/drawingml/2006/main" noChangeArrowheads="1"/>
        </cdr:cNvSpPr>
      </cdr:nvSpPr>
      <cdr:spPr bwMode="auto">
        <a:xfrm xmlns:a="http://schemas.openxmlformats.org/drawingml/2006/main">
          <a:off x="807465" y="810451"/>
          <a:ext cx="1279667" cy="1322316"/>
        </a:xfrm>
        <a:prstGeom xmlns:a="http://schemas.openxmlformats.org/drawingml/2006/main" prst="rect">
          <a:avLst/>
        </a:prstGeom>
        <a:noFill xmlns:a="http://schemas.openxmlformats.org/drawingml/2006/main"/>
        <a:ln xmlns:a="http://schemas.openxmlformats.org/drawingml/2006/main" w="3175" cap="rnd">
          <a:solidFill>
            <a:srgbClr val="000000"/>
          </a:solidFill>
          <a:prstDash val="sysDot"/>
          <a:miter lim="800000"/>
          <a:headEnd/>
          <a:tailEnd/>
        </a:ln>
        <a:effectLst xmlns:a="http://schemas.openxmlformats.org/drawingml/2006/main"/>
      </cdr:spPr>
      <cdr:txBody>
        <a:bodyPr xmlns:a="http://schemas.openxmlformats.org/drawingml/2006/main" vertOverflow="clip" wrap="square" lIns="720000" tIns="720000" rIns="720000" bIns="720000" anchor="ctr" upright="1"/>
        <a:lstStyle xmlns:a="http://schemas.openxmlformats.org/drawingml/2006/main"/>
        <a:p xmlns:a="http://schemas.openxmlformats.org/drawingml/2006/main">
          <a:pPr algn="ctr" rtl="0">
            <a:defRPr sz="1000"/>
          </a:pPr>
          <a:r>
            <a:rPr lang="en-NZ" sz="800" b="0" i="0" u="none" strike="noStrike" baseline="0">
              <a:solidFill>
                <a:srgbClr val="000000"/>
              </a:solidFill>
              <a:latin typeface="Arial"/>
              <a:cs typeface="Arial"/>
            </a:rPr>
            <a:t>-------------------------------------------</a:t>
          </a:r>
        </a:p>
      </cdr:txBody>
    </cdr:sp>
  </cdr:relSizeAnchor>
</c:userShapes>
</file>

<file path=xl/drawings/drawing2.xml><?xml version="1.0" encoding="utf-8"?>
<c:userShapes xmlns:c="http://schemas.openxmlformats.org/drawingml/2006/chart">
  <cdr:relSizeAnchor xmlns:cdr="http://schemas.openxmlformats.org/drawingml/2006/chartDrawing">
    <cdr:from>
      <cdr:x>0.39068</cdr:x>
      <cdr:y>0.278</cdr:y>
    </cdr:from>
    <cdr:to>
      <cdr:x>0.81175</cdr:x>
      <cdr:y>0.47635</cdr:y>
    </cdr:to>
    <cdr:sp macro="" textlink="">
      <cdr:nvSpPr>
        <cdr:cNvPr id="105477" name="Line 5"/>
        <cdr:cNvSpPr>
          <a:spLocks xmlns:a="http://schemas.openxmlformats.org/drawingml/2006/main" noChangeShapeType="1"/>
        </cdr:cNvSpPr>
      </cdr:nvSpPr>
      <cdr:spPr bwMode="auto">
        <a:xfrm xmlns:a="http://schemas.openxmlformats.org/drawingml/2006/main" flipV="1">
          <a:off x="3352799" y="1623192"/>
          <a:ext cx="3613659" cy="1158107"/>
        </a:xfrm>
        <a:prstGeom xmlns:a="http://schemas.openxmlformats.org/drawingml/2006/main" prst="line">
          <a:avLst/>
        </a:prstGeom>
        <a:noFill xmlns:a="http://schemas.openxmlformats.org/drawingml/2006/main"/>
        <a:ln xmlns:a="http://schemas.openxmlformats.org/drawingml/2006/main" w="25400">
          <a:solidFill>
            <a:srgbClr val="800080"/>
          </a:solidFill>
          <a:round/>
          <a:headEnd/>
          <a:tailEnd type="arrow" w="med" len="lg"/>
        </a:ln>
      </cdr:spPr>
      <cdr:txBody>
        <a:bodyPr xmlns:a="http://schemas.openxmlformats.org/drawingml/2006/main"/>
        <a:lstStyle xmlns:a="http://schemas.openxmlformats.org/drawingml/2006/main"/>
        <a:p xmlns:a="http://schemas.openxmlformats.org/drawingml/2006/main">
          <a:endParaRPr lang="en-NZ"/>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0.11575</cdr:x>
      <cdr:y>0.12975</cdr:y>
    </cdr:from>
    <cdr:to>
      <cdr:x>0.59875</cdr:x>
      <cdr:y>0.47875</cdr:y>
    </cdr:to>
    <cdr:sp macro="" textlink="">
      <cdr:nvSpPr>
        <cdr:cNvPr id="136193" name="Line 1"/>
        <cdr:cNvSpPr>
          <a:spLocks xmlns:a="http://schemas.openxmlformats.org/drawingml/2006/main" noChangeShapeType="1"/>
        </cdr:cNvSpPr>
      </cdr:nvSpPr>
      <cdr:spPr bwMode="auto">
        <a:xfrm xmlns:a="http://schemas.openxmlformats.org/drawingml/2006/main">
          <a:off x="993369" y="767805"/>
          <a:ext cx="4145118" cy="2037750"/>
        </a:xfrm>
        <a:prstGeom xmlns:a="http://schemas.openxmlformats.org/drawingml/2006/main" prst="line">
          <a:avLst/>
        </a:prstGeom>
        <a:noFill xmlns:a="http://schemas.openxmlformats.org/drawingml/2006/main"/>
        <a:ln xmlns:a="http://schemas.openxmlformats.org/drawingml/2006/main" w="9525">
          <a:solidFill>
            <a:srgbClr val="800080"/>
          </a:solidFill>
          <a:round/>
          <a:headEnd/>
          <a:tailEnd type="triangle" w="med" len="med"/>
        </a:ln>
      </cdr:spPr>
      <cdr:txBody>
        <a:bodyPr xmlns:a="http://schemas.openxmlformats.org/drawingml/2006/main"/>
        <a:lstStyle xmlns:a="http://schemas.openxmlformats.org/drawingml/2006/main"/>
        <a:p xmlns:a="http://schemas.openxmlformats.org/drawingml/2006/main">
          <a:endParaRPr lang="en-NZ"/>
        </a:p>
      </cdr:txBody>
    </cdr:sp>
  </cdr:relSizeAnchor>
  <cdr:relSizeAnchor xmlns:cdr="http://schemas.openxmlformats.org/drawingml/2006/chartDrawing">
    <cdr:from>
      <cdr:x>0.142</cdr:x>
      <cdr:y>0.58776</cdr:y>
    </cdr:from>
    <cdr:to>
      <cdr:x>0.77365</cdr:x>
      <cdr:y>0.75808</cdr:y>
    </cdr:to>
    <cdr:sp macro="" textlink="">
      <cdr:nvSpPr>
        <cdr:cNvPr id="136194" name="Line 2"/>
        <cdr:cNvSpPr>
          <a:spLocks xmlns:a="http://schemas.openxmlformats.org/drawingml/2006/main" noChangeShapeType="1"/>
        </cdr:cNvSpPr>
      </cdr:nvSpPr>
      <cdr:spPr bwMode="auto">
        <a:xfrm xmlns:a="http://schemas.openxmlformats.org/drawingml/2006/main" flipV="1">
          <a:off x="1218640" y="3431799"/>
          <a:ext cx="5420845" cy="994524"/>
        </a:xfrm>
        <a:prstGeom xmlns:a="http://schemas.openxmlformats.org/drawingml/2006/main" prst="line">
          <a:avLst/>
        </a:prstGeom>
        <a:noFill xmlns:a="http://schemas.openxmlformats.org/drawingml/2006/main"/>
        <a:ln xmlns:a="http://schemas.openxmlformats.org/drawingml/2006/main" w="9525">
          <a:solidFill>
            <a:srgbClr val="800080"/>
          </a:solidFill>
          <a:round/>
          <a:headEnd type="stealth" w="lg" len="med"/>
          <a:tailEnd/>
        </a:ln>
      </cdr:spPr>
      <cdr:txBody>
        <a:bodyPr xmlns:a="http://schemas.openxmlformats.org/drawingml/2006/main"/>
        <a:lstStyle xmlns:a="http://schemas.openxmlformats.org/drawingml/2006/main"/>
        <a:p xmlns:a="http://schemas.openxmlformats.org/drawingml/2006/main">
          <a:endParaRPr lang="en-NZ"/>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0.11575</cdr:x>
      <cdr:y>0.12975</cdr:y>
    </cdr:from>
    <cdr:to>
      <cdr:x>0.59875</cdr:x>
      <cdr:y>0.47875</cdr:y>
    </cdr:to>
    <cdr:sp macro="" textlink="">
      <cdr:nvSpPr>
        <cdr:cNvPr id="136193" name="Line 1"/>
        <cdr:cNvSpPr>
          <a:spLocks xmlns:a="http://schemas.openxmlformats.org/drawingml/2006/main" noChangeShapeType="1"/>
        </cdr:cNvSpPr>
      </cdr:nvSpPr>
      <cdr:spPr bwMode="auto">
        <a:xfrm xmlns:a="http://schemas.openxmlformats.org/drawingml/2006/main">
          <a:off x="993369" y="767805"/>
          <a:ext cx="4145118" cy="2037750"/>
        </a:xfrm>
        <a:prstGeom xmlns:a="http://schemas.openxmlformats.org/drawingml/2006/main" prst="line">
          <a:avLst/>
        </a:prstGeom>
        <a:noFill xmlns:a="http://schemas.openxmlformats.org/drawingml/2006/main"/>
        <a:ln xmlns:a="http://schemas.openxmlformats.org/drawingml/2006/main" w="9525">
          <a:solidFill>
            <a:srgbClr val="800080"/>
          </a:solidFill>
          <a:round/>
          <a:headEnd/>
          <a:tailEnd type="triangle" w="med" len="med"/>
        </a:ln>
      </cdr:spPr>
      <cdr:txBody>
        <a:bodyPr xmlns:a="http://schemas.openxmlformats.org/drawingml/2006/main"/>
        <a:lstStyle xmlns:a="http://schemas.openxmlformats.org/drawingml/2006/main"/>
        <a:p xmlns:a="http://schemas.openxmlformats.org/drawingml/2006/main">
          <a:endParaRPr lang="en-NZ"/>
        </a:p>
      </cdr:txBody>
    </cdr:sp>
  </cdr:relSizeAnchor>
  <cdr:relSizeAnchor xmlns:cdr="http://schemas.openxmlformats.org/drawingml/2006/chartDrawing">
    <cdr:from>
      <cdr:x>0.17575</cdr:x>
      <cdr:y>0.4</cdr:y>
    </cdr:from>
    <cdr:to>
      <cdr:x>0.46475</cdr:x>
      <cdr:y>0.654</cdr:y>
    </cdr:to>
    <cdr:sp macro="" textlink="">
      <cdr:nvSpPr>
        <cdr:cNvPr id="136194" name="Line 2"/>
        <cdr:cNvSpPr>
          <a:spLocks xmlns:a="http://schemas.openxmlformats.org/drawingml/2006/main" noChangeShapeType="1"/>
        </cdr:cNvSpPr>
      </cdr:nvSpPr>
      <cdr:spPr bwMode="auto">
        <a:xfrm xmlns:a="http://schemas.openxmlformats.org/drawingml/2006/main" flipV="1">
          <a:off x="1508291" y="2345748"/>
          <a:ext cx="2480205" cy="1483061"/>
        </a:xfrm>
        <a:prstGeom xmlns:a="http://schemas.openxmlformats.org/drawingml/2006/main" prst="line">
          <a:avLst/>
        </a:prstGeom>
        <a:noFill xmlns:a="http://schemas.openxmlformats.org/drawingml/2006/main"/>
        <a:ln xmlns:a="http://schemas.openxmlformats.org/drawingml/2006/main" w="9525">
          <a:solidFill>
            <a:srgbClr val="800080"/>
          </a:solidFill>
          <a:round/>
          <a:headEnd type="stealth" w="lg" len="med"/>
          <a:tailEnd/>
        </a:ln>
      </cdr:spPr>
      <cdr:txBody>
        <a:bodyPr xmlns:a="http://schemas.openxmlformats.org/drawingml/2006/main"/>
        <a:lstStyle xmlns:a="http://schemas.openxmlformats.org/drawingml/2006/main"/>
        <a:p xmlns:a="http://schemas.openxmlformats.org/drawingml/2006/main">
          <a:endParaRPr lang="en-NZ"/>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dimension ref="A1:Q65"/>
  <sheetViews>
    <sheetView topLeftCell="A34" zoomScale="75" workbookViewId="0">
      <selection activeCell="B42" sqref="B42"/>
    </sheetView>
  </sheetViews>
  <sheetFormatPr defaultRowHeight="12.75"/>
  <sheetData>
    <row r="1" spans="1:17">
      <c r="A1" s="314" t="s">
        <v>147</v>
      </c>
    </row>
    <row r="3" spans="1:17">
      <c r="A3" s="401" t="s">
        <v>0</v>
      </c>
      <c r="B3" s="400"/>
      <c r="D3" s="401" t="s">
        <v>4</v>
      </c>
      <c r="E3" s="402"/>
      <c r="F3" s="402"/>
      <c r="G3" s="400"/>
      <c r="I3" s="401" t="s">
        <v>5</v>
      </c>
      <c r="J3" s="402"/>
      <c r="K3" s="402"/>
      <c r="L3" s="400"/>
      <c r="N3" s="401" t="s">
        <v>6</v>
      </c>
      <c r="O3" s="402"/>
      <c r="P3" s="402"/>
      <c r="Q3" s="400"/>
    </row>
    <row r="4" spans="1:17">
      <c r="A4" s="1" t="s">
        <v>1</v>
      </c>
      <c r="B4" s="2" t="s">
        <v>2</v>
      </c>
      <c r="D4" s="1" t="s">
        <v>7</v>
      </c>
      <c r="E4" s="8" t="s">
        <v>8</v>
      </c>
      <c r="F4" s="8" t="s">
        <v>3</v>
      </c>
      <c r="G4" s="2" t="s">
        <v>2</v>
      </c>
      <c r="I4" s="1" t="s">
        <v>7</v>
      </c>
      <c r="J4" s="8" t="s">
        <v>8</v>
      </c>
      <c r="K4" s="8" t="s">
        <v>3</v>
      </c>
      <c r="L4" s="2" t="s">
        <v>2</v>
      </c>
      <c r="N4" s="1" t="s">
        <v>7</v>
      </c>
      <c r="O4" s="8" t="s">
        <v>8</v>
      </c>
      <c r="P4" s="8" t="s">
        <v>3</v>
      </c>
      <c r="Q4" s="2" t="s">
        <v>2</v>
      </c>
    </row>
    <row r="5" spans="1:17">
      <c r="A5" s="3">
        <v>0</v>
      </c>
      <c r="B5" s="4">
        <v>0</v>
      </c>
      <c r="D5" s="9">
        <v>0.1</v>
      </c>
      <c r="E5" s="10">
        <v>0</v>
      </c>
      <c r="F5" s="7">
        <f t="shared" ref="F5:F22" si="0">0.5774*D5+1.1547*E5</f>
        <v>5.7740000000000007E-2</v>
      </c>
      <c r="G5" s="11">
        <f t="shared" ref="G5:G22" si="1">D5</f>
        <v>0.1</v>
      </c>
      <c r="I5" s="9">
        <v>0</v>
      </c>
      <c r="J5" s="10">
        <v>0.1</v>
      </c>
      <c r="K5" s="7">
        <f t="shared" ref="K5:K22" si="2">0.5774*I5+1.1547*(J5)</f>
        <v>0.11547000000000002</v>
      </c>
      <c r="L5" s="16">
        <f t="shared" ref="L5:L22" si="3">I5</f>
        <v>0</v>
      </c>
      <c r="N5" s="9">
        <v>0</v>
      </c>
      <c r="O5" s="10">
        <v>0.1</v>
      </c>
      <c r="P5" s="7">
        <f>0.5774*N5+1.1547*(O5)</f>
        <v>0.11547000000000002</v>
      </c>
      <c r="Q5" s="16">
        <f t="shared" ref="Q5:Q22" si="4">N5</f>
        <v>0</v>
      </c>
    </row>
    <row r="6" spans="1:17">
      <c r="A6" s="3">
        <v>0.57740000000000002</v>
      </c>
      <c r="B6" s="4">
        <v>1</v>
      </c>
      <c r="D6" s="9">
        <v>0.1</v>
      </c>
      <c r="E6" s="10">
        <v>0.9</v>
      </c>
      <c r="F6" s="7">
        <f t="shared" si="0"/>
        <v>1.09697</v>
      </c>
      <c r="G6" s="11">
        <f t="shared" si="1"/>
        <v>0.1</v>
      </c>
      <c r="I6" s="9">
        <v>0.1</v>
      </c>
      <c r="J6" s="10">
        <v>0</v>
      </c>
      <c r="K6" s="7">
        <f t="shared" si="2"/>
        <v>5.7740000000000007E-2</v>
      </c>
      <c r="L6" s="16">
        <f t="shared" si="3"/>
        <v>0.1</v>
      </c>
      <c r="N6" s="9">
        <v>0.9</v>
      </c>
      <c r="O6" s="10">
        <v>0.1</v>
      </c>
      <c r="P6" s="7">
        <f t="shared" ref="P6:P22" si="5">0.5774*N6+1.1547*(O6)</f>
        <v>0.63512999999999997</v>
      </c>
      <c r="Q6" s="16">
        <f t="shared" si="4"/>
        <v>0.9</v>
      </c>
    </row>
    <row r="7" spans="1:17">
      <c r="A7" s="3">
        <v>1.1547000000000001</v>
      </c>
      <c r="B7" s="4">
        <v>0</v>
      </c>
      <c r="D7" s="9">
        <v>0.2</v>
      </c>
      <c r="E7" s="10">
        <v>0.8</v>
      </c>
      <c r="F7" s="7">
        <f t="shared" si="0"/>
        <v>1.0392400000000002</v>
      </c>
      <c r="G7" s="11">
        <f t="shared" si="1"/>
        <v>0.2</v>
      </c>
      <c r="I7" s="9">
        <v>0.2</v>
      </c>
      <c r="J7" s="10">
        <v>0</v>
      </c>
      <c r="K7" s="7">
        <f t="shared" si="2"/>
        <v>0.11548000000000001</v>
      </c>
      <c r="L7" s="16">
        <f t="shared" si="3"/>
        <v>0.2</v>
      </c>
      <c r="N7" s="9">
        <v>0.8</v>
      </c>
      <c r="O7" s="10">
        <v>0.2</v>
      </c>
      <c r="P7" s="7">
        <f t="shared" si="5"/>
        <v>0.69286000000000003</v>
      </c>
      <c r="Q7" s="16">
        <f t="shared" si="4"/>
        <v>0.8</v>
      </c>
    </row>
    <row r="8" spans="1:17">
      <c r="A8" s="5">
        <v>0</v>
      </c>
      <c r="B8" s="6">
        <v>0</v>
      </c>
      <c r="D8" s="9">
        <v>0.2</v>
      </c>
      <c r="E8" s="10">
        <v>0</v>
      </c>
      <c r="F8" s="7">
        <f t="shared" si="0"/>
        <v>0.11548000000000001</v>
      </c>
      <c r="G8" s="11">
        <f t="shared" si="1"/>
        <v>0.2</v>
      </c>
      <c r="I8" s="9">
        <v>0</v>
      </c>
      <c r="J8" s="10">
        <v>0.2</v>
      </c>
      <c r="K8" s="7">
        <f t="shared" si="2"/>
        <v>0.23094000000000003</v>
      </c>
      <c r="L8" s="16">
        <f t="shared" si="3"/>
        <v>0</v>
      </c>
      <c r="N8" s="9">
        <v>0</v>
      </c>
      <c r="O8" s="10">
        <v>0.2</v>
      </c>
      <c r="P8" s="7">
        <f t="shared" si="5"/>
        <v>0.23094000000000003</v>
      </c>
      <c r="Q8" s="16">
        <f t="shared" si="4"/>
        <v>0</v>
      </c>
    </row>
    <row r="9" spans="1:17">
      <c r="D9" s="9">
        <v>0.3</v>
      </c>
      <c r="E9" s="10">
        <v>0</v>
      </c>
      <c r="F9" s="7">
        <f t="shared" si="0"/>
        <v>0.17322000000000001</v>
      </c>
      <c r="G9" s="11">
        <f t="shared" si="1"/>
        <v>0.3</v>
      </c>
      <c r="I9" s="9">
        <v>0</v>
      </c>
      <c r="J9" s="10">
        <v>0.3</v>
      </c>
      <c r="K9" s="7">
        <f t="shared" si="2"/>
        <v>0.34641</v>
      </c>
      <c r="L9" s="16">
        <f t="shared" si="3"/>
        <v>0</v>
      </c>
      <c r="N9" s="9">
        <v>0</v>
      </c>
      <c r="O9" s="10">
        <v>0.3</v>
      </c>
      <c r="P9" s="7">
        <f t="shared" si="5"/>
        <v>0.34641</v>
      </c>
      <c r="Q9" s="16">
        <f t="shared" si="4"/>
        <v>0</v>
      </c>
    </row>
    <row r="10" spans="1:17">
      <c r="D10" s="9">
        <v>0.3</v>
      </c>
      <c r="E10" s="10">
        <v>0.7</v>
      </c>
      <c r="F10" s="7">
        <f t="shared" si="0"/>
        <v>0.98150999999999999</v>
      </c>
      <c r="G10" s="11">
        <f t="shared" si="1"/>
        <v>0.3</v>
      </c>
      <c r="I10" s="9">
        <v>0.3</v>
      </c>
      <c r="J10" s="10">
        <v>0</v>
      </c>
      <c r="K10" s="7">
        <f t="shared" si="2"/>
        <v>0.17322000000000001</v>
      </c>
      <c r="L10" s="16">
        <f t="shared" si="3"/>
        <v>0.3</v>
      </c>
      <c r="N10" s="9">
        <v>0.7</v>
      </c>
      <c r="O10" s="10">
        <v>0.3</v>
      </c>
      <c r="P10" s="7">
        <f t="shared" si="5"/>
        <v>0.75058999999999998</v>
      </c>
      <c r="Q10" s="16">
        <f t="shared" si="4"/>
        <v>0.7</v>
      </c>
    </row>
    <row r="11" spans="1:17">
      <c r="D11" s="9">
        <v>0.4</v>
      </c>
      <c r="E11" s="10">
        <v>0.6</v>
      </c>
      <c r="F11" s="7">
        <f t="shared" si="0"/>
        <v>0.92378000000000005</v>
      </c>
      <c r="G11" s="11">
        <f t="shared" si="1"/>
        <v>0.4</v>
      </c>
      <c r="I11" s="9">
        <v>0.4</v>
      </c>
      <c r="J11" s="10">
        <v>0</v>
      </c>
      <c r="K11" s="7">
        <f t="shared" si="2"/>
        <v>0.23096000000000003</v>
      </c>
      <c r="L11" s="16">
        <f t="shared" si="3"/>
        <v>0.4</v>
      </c>
      <c r="N11" s="9">
        <v>0.6</v>
      </c>
      <c r="O11" s="10">
        <v>0.4</v>
      </c>
      <c r="P11" s="7">
        <f t="shared" si="5"/>
        <v>0.80832000000000015</v>
      </c>
      <c r="Q11" s="16">
        <f t="shared" si="4"/>
        <v>0.6</v>
      </c>
    </row>
    <row r="12" spans="1:17">
      <c r="D12" s="9">
        <v>0.4</v>
      </c>
      <c r="E12" s="10">
        <v>0</v>
      </c>
      <c r="F12" s="7">
        <f t="shared" si="0"/>
        <v>0.23096000000000003</v>
      </c>
      <c r="G12" s="11">
        <f t="shared" si="1"/>
        <v>0.4</v>
      </c>
      <c r="I12" s="9">
        <v>0</v>
      </c>
      <c r="J12" s="10">
        <v>0.4</v>
      </c>
      <c r="K12" s="7">
        <f t="shared" si="2"/>
        <v>0.46188000000000007</v>
      </c>
      <c r="L12" s="16">
        <f t="shared" si="3"/>
        <v>0</v>
      </c>
      <c r="N12" s="9">
        <v>0</v>
      </c>
      <c r="O12" s="10">
        <v>0.4</v>
      </c>
      <c r="P12" s="7">
        <f t="shared" si="5"/>
        <v>0.46188000000000007</v>
      </c>
      <c r="Q12" s="16">
        <f t="shared" si="4"/>
        <v>0</v>
      </c>
    </row>
    <row r="13" spans="1:17">
      <c r="D13" s="9">
        <v>0.5</v>
      </c>
      <c r="E13" s="10">
        <v>0</v>
      </c>
      <c r="F13" s="7">
        <f t="shared" si="0"/>
        <v>0.28870000000000001</v>
      </c>
      <c r="G13" s="11">
        <f t="shared" si="1"/>
        <v>0.5</v>
      </c>
      <c r="I13" s="9">
        <v>0</v>
      </c>
      <c r="J13" s="10">
        <v>0.5</v>
      </c>
      <c r="K13" s="7">
        <f t="shared" si="2"/>
        <v>0.57735000000000003</v>
      </c>
      <c r="L13" s="16">
        <f t="shared" si="3"/>
        <v>0</v>
      </c>
      <c r="N13" s="9">
        <v>0</v>
      </c>
      <c r="O13" s="10">
        <v>0.5</v>
      </c>
      <c r="P13" s="7">
        <f t="shared" si="5"/>
        <v>0.57735000000000003</v>
      </c>
      <c r="Q13" s="16">
        <f t="shared" si="4"/>
        <v>0</v>
      </c>
    </row>
    <row r="14" spans="1:17">
      <c r="D14" s="9">
        <v>0.5</v>
      </c>
      <c r="E14" s="10">
        <v>0.5</v>
      </c>
      <c r="F14" s="7">
        <f t="shared" si="0"/>
        <v>0.86604999999999999</v>
      </c>
      <c r="G14" s="11">
        <f t="shared" si="1"/>
        <v>0.5</v>
      </c>
      <c r="I14" s="9">
        <v>0.5</v>
      </c>
      <c r="J14" s="10">
        <v>0</v>
      </c>
      <c r="K14" s="7">
        <f t="shared" si="2"/>
        <v>0.28870000000000001</v>
      </c>
      <c r="L14" s="16">
        <f t="shared" si="3"/>
        <v>0.5</v>
      </c>
      <c r="N14" s="9">
        <v>0.5</v>
      </c>
      <c r="O14" s="10">
        <v>0.5</v>
      </c>
      <c r="P14" s="7">
        <f t="shared" si="5"/>
        <v>0.86604999999999999</v>
      </c>
      <c r="Q14" s="16">
        <f t="shared" si="4"/>
        <v>0.5</v>
      </c>
    </row>
    <row r="15" spans="1:17">
      <c r="D15" s="9">
        <v>0.6</v>
      </c>
      <c r="E15" s="10">
        <v>0.4</v>
      </c>
      <c r="F15" s="7">
        <f t="shared" si="0"/>
        <v>0.80832000000000015</v>
      </c>
      <c r="G15" s="11">
        <f t="shared" si="1"/>
        <v>0.6</v>
      </c>
      <c r="I15" s="9">
        <v>0.6</v>
      </c>
      <c r="J15" s="10">
        <v>0</v>
      </c>
      <c r="K15" s="7">
        <f t="shared" si="2"/>
        <v>0.34644000000000003</v>
      </c>
      <c r="L15" s="16">
        <f t="shared" si="3"/>
        <v>0.6</v>
      </c>
      <c r="N15" s="9">
        <v>0.4</v>
      </c>
      <c r="O15" s="10">
        <v>0.6</v>
      </c>
      <c r="P15" s="7">
        <f t="shared" si="5"/>
        <v>0.92378000000000005</v>
      </c>
      <c r="Q15" s="16">
        <f t="shared" si="4"/>
        <v>0.4</v>
      </c>
    </row>
    <row r="16" spans="1:17">
      <c r="D16" s="9">
        <v>0.6</v>
      </c>
      <c r="E16" s="10">
        <v>0</v>
      </c>
      <c r="F16" s="7">
        <f t="shared" si="0"/>
        <v>0.34644000000000003</v>
      </c>
      <c r="G16" s="11">
        <f t="shared" si="1"/>
        <v>0.6</v>
      </c>
      <c r="I16" s="9">
        <v>0</v>
      </c>
      <c r="J16" s="10">
        <v>0.6</v>
      </c>
      <c r="K16" s="7">
        <f t="shared" si="2"/>
        <v>0.69281999999999999</v>
      </c>
      <c r="L16" s="16">
        <f t="shared" si="3"/>
        <v>0</v>
      </c>
      <c r="N16" s="9">
        <v>0</v>
      </c>
      <c r="O16" s="10">
        <v>0.6</v>
      </c>
      <c r="P16" s="7">
        <f t="shared" si="5"/>
        <v>0.69281999999999999</v>
      </c>
      <c r="Q16" s="16">
        <f t="shared" si="4"/>
        <v>0</v>
      </c>
    </row>
    <row r="17" spans="1:17">
      <c r="D17" s="9">
        <v>0.7</v>
      </c>
      <c r="E17" s="10">
        <v>0</v>
      </c>
      <c r="F17" s="7">
        <f t="shared" si="0"/>
        <v>0.40417999999999998</v>
      </c>
      <c r="G17" s="11">
        <f t="shared" si="1"/>
        <v>0.7</v>
      </c>
      <c r="I17" s="9">
        <v>0</v>
      </c>
      <c r="J17" s="10">
        <v>0.7</v>
      </c>
      <c r="K17" s="7">
        <f t="shared" si="2"/>
        <v>0.80828999999999995</v>
      </c>
      <c r="L17" s="16">
        <f t="shared" si="3"/>
        <v>0</v>
      </c>
      <c r="N17" s="9">
        <v>0</v>
      </c>
      <c r="O17" s="10">
        <v>0.7</v>
      </c>
      <c r="P17" s="7">
        <f t="shared" si="5"/>
        <v>0.80828999999999995</v>
      </c>
      <c r="Q17" s="16">
        <f t="shared" si="4"/>
        <v>0</v>
      </c>
    </row>
    <row r="18" spans="1:17">
      <c r="D18" s="9">
        <v>0.7</v>
      </c>
      <c r="E18" s="10">
        <v>0.3</v>
      </c>
      <c r="F18" s="7">
        <f t="shared" si="0"/>
        <v>0.75058999999999998</v>
      </c>
      <c r="G18" s="11">
        <f t="shared" si="1"/>
        <v>0.7</v>
      </c>
      <c r="I18" s="9">
        <v>0.7</v>
      </c>
      <c r="J18" s="10">
        <v>0</v>
      </c>
      <c r="K18" s="7">
        <f t="shared" si="2"/>
        <v>0.40417999999999998</v>
      </c>
      <c r="L18" s="16">
        <f t="shared" si="3"/>
        <v>0.7</v>
      </c>
      <c r="N18" s="9">
        <v>0.3</v>
      </c>
      <c r="O18" s="10">
        <v>0.7</v>
      </c>
      <c r="P18" s="7">
        <f t="shared" si="5"/>
        <v>0.98150999999999999</v>
      </c>
      <c r="Q18" s="16">
        <f t="shared" si="4"/>
        <v>0.3</v>
      </c>
    </row>
    <row r="19" spans="1:17">
      <c r="D19" s="9">
        <v>0.8</v>
      </c>
      <c r="E19" s="10">
        <v>0.2</v>
      </c>
      <c r="F19" s="7">
        <f t="shared" si="0"/>
        <v>0.69286000000000003</v>
      </c>
      <c r="G19" s="11">
        <f t="shared" si="1"/>
        <v>0.8</v>
      </c>
      <c r="I19" s="9">
        <v>0.8</v>
      </c>
      <c r="J19" s="10">
        <v>0</v>
      </c>
      <c r="K19" s="7">
        <f t="shared" si="2"/>
        <v>0.46192000000000005</v>
      </c>
      <c r="L19" s="16">
        <f t="shared" si="3"/>
        <v>0.8</v>
      </c>
      <c r="N19" s="9">
        <v>0.2</v>
      </c>
      <c r="O19" s="10">
        <v>0.8</v>
      </c>
      <c r="P19" s="7">
        <f t="shared" si="5"/>
        <v>1.0392400000000002</v>
      </c>
      <c r="Q19" s="16">
        <f t="shared" si="4"/>
        <v>0.2</v>
      </c>
    </row>
    <row r="20" spans="1:17">
      <c r="D20" s="9">
        <v>0.8</v>
      </c>
      <c r="E20" s="10">
        <v>0</v>
      </c>
      <c r="F20" s="7">
        <f t="shared" si="0"/>
        <v>0.46192000000000005</v>
      </c>
      <c r="G20" s="11">
        <f t="shared" si="1"/>
        <v>0.8</v>
      </c>
      <c r="I20" s="9">
        <v>0</v>
      </c>
      <c r="J20" s="10">
        <v>0.8</v>
      </c>
      <c r="K20" s="7">
        <f t="shared" si="2"/>
        <v>0.92376000000000014</v>
      </c>
      <c r="L20" s="16">
        <f t="shared" si="3"/>
        <v>0</v>
      </c>
      <c r="N20" s="9">
        <v>0</v>
      </c>
      <c r="O20" s="10">
        <v>0.8</v>
      </c>
      <c r="P20" s="7">
        <f t="shared" si="5"/>
        <v>0.92376000000000014</v>
      </c>
      <c r="Q20" s="16">
        <f t="shared" si="4"/>
        <v>0</v>
      </c>
    </row>
    <row r="21" spans="1:17">
      <c r="D21" s="9">
        <v>0.9</v>
      </c>
      <c r="E21" s="10">
        <v>0</v>
      </c>
      <c r="F21" s="7">
        <f t="shared" si="0"/>
        <v>0.51966000000000001</v>
      </c>
      <c r="G21" s="11">
        <f t="shared" si="1"/>
        <v>0.9</v>
      </c>
      <c r="I21" s="9">
        <v>0</v>
      </c>
      <c r="J21" s="10">
        <v>0.9</v>
      </c>
      <c r="K21" s="7">
        <f t="shared" si="2"/>
        <v>1.0392300000000001</v>
      </c>
      <c r="L21" s="16">
        <f t="shared" si="3"/>
        <v>0</v>
      </c>
      <c r="N21" s="9">
        <v>0</v>
      </c>
      <c r="O21" s="10">
        <v>0.9</v>
      </c>
      <c r="P21" s="7">
        <f t="shared" si="5"/>
        <v>1.0392300000000001</v>
      </c>
      <c r="Q21" s="16">
        <f t="shared" si="4"/>
        <v>0</v>
      </c>
    </row>
    <row r="22" spans="1:17">
      <c r="D22" s="12">
        <v>0.9</v>
      </c>
      <c r="E22" s="13">
        <v>0.1</v>
      </c>
      <c r="F22" s="14">
        <f t="shared" si="0"/>
        <v>0.63512999999999997</v>
      </c>
      <c r="G22" s="15">
        <f t="shared" si="1"/>
        <v>0.9</v>
      </c>
      <c r="I22" s="12">
        <v>0.9</v>
      </c>
      <c r="J22" s="13">
        <v>0</v>
      </c>
      <c r="K22" s="14">
        <f t="shared" si="2"/>
        <v>0.51966000000000001</v>
      </c>
      <c r="L22" s="17">
        <f t="shared" si="3"/>
        <v>0.9</v>
      </c>
      <c r="N22" s="12">
        <v>0.1</v>
      </c>
      <c r="O22" s="13">
        <v>0.9</v>
      </c>
      <c r="P22" s="14">
        <f t="shared" si="5"/>
        <v>1.09697</v>
      </c>
      <c r="Q22" s="17">
        <f t="shared" si="4"/>
        <v>0.1</v>
      </c>
    </row>
    <row r="31" spans="1:17">
      <c r="A31" s="314" t="s">
        <v>266</v>
      </c>
    </row>
    <row r="33" spans="1:17">
      <c r="A33" s="399" t="s">
        <v>275</v>
      </c>
      <c r="B33" s="400"/>
      <c r="D33" s="401" t="s">
        <v>4</v>
      </c>
      <c r="E33" s="402"/>
      <c r="F33" s="402"/>
      <c r="G33" s="400"/>
      <c r="I33" s="401" t="s">
        <v>5</v>
      </c>
      <c r="J33" s="402"/>
      <c r="K33" s="402"/>
      <c r="L33" s="400"/>
      <c r="N33" s="401" t="s">
        <v>6</v>
      </c>
      <c r="O33" s="402"/>
      <c r="P33" s="402"/>
      <c r="Q33" s="400"/>
    </row>
    <row r="34" spans="1:17">
      <c r="A34" s="1" t="s">
        <v>1</v>
      </c>
      <c r="B34" s="2" t="s">
        <v>2</v>
      </c>
      <c r="D34" s="1" t="s">
        <v>7</v>
      </c>
      <c r="E34" s="8" t="s">
        <v>8</v>
      </c>
      <c r="F34" s="8" t="s">
        <v>3</v>
      </c>
      <c r="G34" s="2" t="s">
        <v>2</v>
      </c>
      <c r="I34" s="1" t="s">
        <v>7</v>
      </c>
      <c r="J34" s="8" t="s">
        <v>8</v>
      </c>
      <c r="K34" s="8" t="s">
        <v>3</v>
      </c>
      <c r="L34" s="2" t="s">
        <v>2</v>
      </c>
      <c r="N34" s="1" t="s">
        <v>7</v>
      </c>
      <c r="O34" s="8" t="s">
        <v>8</v>
      </c>
      <c r="P34" s="8" t="s">
        <v>3</v>
      </c>
      <c r="Q34" s="2" t="s">
        <v>2</v>
      </c>
    </row>
    <row r="35" spans="1:17">
      <c r="A35" s="3">
        <v>0</v>
      </c>
      <c r="B35" s="4">
        <v>0</v>
      </c>
      <c r="D35" s="9">
        <v>0.2</v>
      </c>
      <c r="E35" s="10">
        <v>0</v>
      </c>
      <c r="F35" s="7">
        <f t="shared" ref="F35:F42" si="6">0.5774*D35+1.1547*E35</f>
        <v>0.11548000000000001</v>
      </c>
      <c r="G35" s="11">
        <f t="shared" ref="G35:G42" si="7">D35</f>
        <v>0.2</v>
      </c>
      <c r="I35" s="9">
        <v>0</v>
      </c>
      <c r="J35" s="10">
        <v>0.2</v>
      </c>
      <c r="K35" s="7">
        <f t="shared" ref="K35:K42" si="8">0.5774*I35+1.1547*(J35)</f>
        <v>0.23094000000000003</v>
      </c>
      <c r="L35" s="16">
        <f t="shared" ref="L35:L42" si="9">I35</f>
        <v>0</v>
      </c>
      <c r="N35" s="9">
        <v>0</v>
      </c>
      <c r="O35" s="10">
        <v>0.2</v>
      </c>
      <c r="P35" s="7">
        <f>0.5774*N35+1.1547*(O35)</f>
        <v>0.23094000000000003</v>
      </c>
      <c r="Q35" s="16">
        <f t="shared" ref="Q35:Q42" si="10">N35</f>
        <v>0</v>
      </c>
    </row>
    <row r="36" spans="1:17">
      <c r="A36" s="3">
        <v>0.57740000000000002</v>
      </c>
      <c r="B36" s="4">
        <v>1</v>
      </c>
      <c r="D36" s="9">
        <v>0.2</v>
      </c>
      <c r="E36" s="10">
        <v>0.8</v>
      </c>
      <c r="F36" s="7">
        <f t="shared" si="6"/>
        <v>1.0392400000000002</v>
      </c>
      <c r="G36" s="11">
        <f t="shared" si="7"/>
        <v>0.2</v>
      </c>
      <c r="I36" s="9">
        <v>0.2</v>
      </c>
      <c r="J36" s="10">
        <v>0</v>
      </c>
      <c r="K36" s="7">
        <f t="shared" si="8"/>
        <v>0.11548000000000001</v>
      </c>
      <c r="L36" s="16">
        <f t="shared" si="9"/>
        <v>0.2</v>
      </c>
      <c r="N36" s="9">
        <v>0.8</v>
      </c>
      <c r="O36" s="10">
        <v>0.2</v>
      </c>
      <c r="P36" s="7">
        <f t="shared" ref="P36:P42" si="11">0.5774*N36+1.1547*(O36)</f>
        <v>0.69286000000000003</v>
      </c>
      <c r="Q36" s="16">
        <f t="shared" si="10"/>
        <v>0.8</v>
      </c>
    </row>
    <row r="37" spans="1:17">
      <c r="A37" s="3">
        <v>1.1547000000000001</v>
      </c>
      <c r="B37" s="4">
        <v>0</v>
      </c>
      <c r="D37" s="9">
        <v>0.4</v>
      </c>
      <c r="E37" s="10">
        <v>0.6</v>
      </c>
      <c r="F37" s="7">
        <f t="shared" si="6"/>
        <v>0.92378000000000005</v>
      </c>
      <c r="G37" s="11">
        <f t="shared" si="7"/>
        <v>0.4</v>
      </c>
      <c r="I37" s="9">
        <v>0.4</v>
      </c>
      <c r="J37" s="10">
        <v>0</v>
      </c>
      <c r="K37" s="7">
        <f t="shared" si="8"/>
        <v>0.23096000000000003</v>
      </c>
      <c r="L37" s="16">
        <f t="shared" si="9"/>
        <v>0.4</v>
      </c>
      <c r="N37" s="9">
        <v>0.6</v>
      </c>
      <c r="O37" s="10">
        <v>0.4</v>
      </c>
      <c r="P37" s="7">
        <f t="shared" si="11"/>
        <v>0.80832000000000015</v>
      </c>
      <c r="Q37" s="16">
        <f t="shared" si="10"/>
        <v>0.6</v>
      </c>
    </row>
    <row r="38" spans="1:17">
      <c r="A38" s="5">
        <v>0</v>
      </c>
      <c r="B38" s="6">
        <v>0</v>
      </c>
      <c r="D38" s="9">
        <v>0.4</v>
      </c>
      <c r="E38" s="10">
        <v>0</v>
      </c>
      <c r="F38" s="7">
        <f t="shared" si="6"/>
        <v>0.23096000000000003</v>
      </c>
      <c r="G38" s="11">
        <f t="shared" si="7"/>
        <v>0.4</v>
      </c>
      <c r="I38" s="9">
        <v>0</v>
      </c>
      <c r="J38" s="10">
        <v>0.4</v>
      </c>
      <c r="K38" s="7">
        <f t="shared" si="8"/>
        <v>0.46188000000000007</v>
      </c>
      <c r="L38" s="16">
        <f t="shared" si="9"/>
        <v>0</v>
      </c>
      <c r="N38" s="9">
        <v>0</v>
      </c>
      <c r="O38" s="10">
        <v>0.4</v>
      </c>
      <c r="P38" s="7">
        <f t="shared" si="11"/>
        <v>0.46188000000000007</v>
      </c>
      <c r="Q38" s="16">
        <f t="shared" si="10"/>
        <v>0</v>
      </c>
    </row>
    <row r="39" spans="1:17">
      <c r="D39" s="9">
        <v>0.6</v>
      </c>
      <c r="E39" s="10">
        <v>0</v>
      </c>
      <c r="F39" s="7">
        <f t="shared" si="6"/>
        <v>0.34644000000000003</v>
      </c>
      <c r="G39" s="11">
        <f t="shared" si="7"/>
        <v>0.6</v>
      </c>
      <c r="I39" s="9">
        <v>0</v>
      </c>
      <c r="J39" s="10">
        <v>0.6</v>
      </c>
      <c r="K39" s="7">
        <f t="shared" si="8"/>
        <v>0.69281999999999999</v>
      </c>
      <c r="L39" s="16">
        <f t="shared" si="9"/>
        <v>0</v>
      </c>
      <c r="N39" s="9">
        <v>0</v>
      </c>
      <c r="O39" s="10">
        <v>0.6</v>
      </c>
      <c r="P39" s="7">
        <f t="shared" si="11"/>
        <v>0.69281999999999999</v>
      </c>
      <c r="Q39" s="16">
        <f t="shared" si="10"/>
        <v>0</v>
      </c>
    </row>
    <row r="40" spans="1:17">
      <c r="A40" s="54" t="s">
        <v>274</v>
      </c>
      <c r="D40" s="9">
        <v>0.6</v>
      </c>
      <c r="E40" s="10">
        <v>0.4</v>
      </c>
      <c r="F40" s="7">
        <f t="shared" si="6"/>
        <v>0.80832000000000015</v>
      </c>
      <c r="G40" s="11">
        <f t="shared" si="7"/>
        <v>0.6</v>
      </c>
      <c r="I40" s="9">
        <v>0.6</v>
      </c>
      <c r="J40" s="10">
        <v>0</v>
      </c>
      <c r="K40" s="7">
        <f t="shared" si="8"/>
        <v>0.34644000000000003</v>
      </c>
      <c r="L40" s="16">
        <f t="shared" si="9"/>
        <v>0.6</v>
      </c>
      <c r="N40" s="9">
        <v>0.4</v>
      </c>
      <c r="O40" s="10">
        <v>0.6</v>
      </c>
      <c r="P40" s="7">
        <f t="shared" si="11"/>
        <v>0.92378000000000005</v>
      </c>
      <c r="Q40" s="16">
        <f t="shared" si="10"/>
        <v>0.4</v>
      </c>
    </row>
    <row r="41" spans="1:17">
      <c r="A41" s="54" t="s">
        <v>286</v>
      </c>
      <c r="D41" s="9">
        <v>0.8</v>
      </c>
      <c r="E41" s="10">
        <v>0.2</v>
      </c>
      <c r="F41" s="7">
        <f t="shared" si="6"/>
        <v>0.69286000000000003</v>
      </c>
      <c r="G41" s="11">
        <f t="shared" si="7"/>
        <v>0.8</v>
      </c>
      <c r="I41" s="9">
        <v>0.8</v>
      </c>
      <c r="J41" s="10">
        <v>0</v>
      </c>
      <c r="K41" s="7">
        <f t="shared" si="8"/>
        <v>0.46192000000000005</v>
      </c>
      <c r="L41" s="16">
        <f t="shared" si="9"/>
        <v>0.8</v>
      </c>
      <c r="N41" s="9">
        <v>0.2</v>
      </c>
      <c r="O41" s="10">
        <v>0.8</v>
      </c>
      <c r="P41" s="7">
        <f t="shared" si="11"/>
        <v>1.0392400000000002</v>
      </c>
      <c r="Q41" s="16">
        <f t="shared" si="10"/>
        <v>0.2</v>
      </c>
    </row>
    <row r="42" spans="1:17" ht="14.25">
      <c r="A42" s="315" t="s">
        <v>267</v>
      </c>
      <c r="B42" s="344">
        <f>Input!BN3</f>
        <v>0.2</v>
      </c>
      <c r="D42" s="12">
        <v>0.8</v>
      </c>
      <c r="E42" s="13">
        <v>0</v>
      </c>
      <c r="F42" s="14">
        <f t="shared" si="6"/>
        <v>0.46192000000000005</v>
      </c>
      <c r="G42" s="15">
        <f t="shared" si="7"/>
        <v>0.8</v>
      </c>
      <c r="I42" s="12">
        <v>0</v>
      </c>
      <c r="J42" s="13">
        <v>0.8</v>
      </c>
      <c r="K42" s="14">
        <f t="shared" si="8"/>
        <v>0.92376000000000014</v>
      </c>
      <c r="L42" s="17">
        <f t="shared" si="9"/>
        <v>0</v>
      </c>
      <c r="N42" s="12">
        <v>0</v>
      </c>
      <c r="O42" s="13">
        <v>0.8</v>
      </c>
      <c r="P42" s="14">
        <f t="shared" si="11"/>
        <v>0.92376000000000014</v>
      </c>
      <c r="Q42" s="17">
        <f t="shared" si="10"/>
        <v>0</v>
      </c>
    </row>
    <row r="43" spans="1:17">
      <c r="D43" s="10"/>
      <c r="E43" s="10"/>
      <c r="F43" s="7"/>
      <c r="G43" s="316"/>
      <c r="H43" s="7"/>
      <c r="I43" s="10"/>
      <c r="J43" s="10"/>
      <c r="K43" s="7"/>
      <c r="L43" s="317"/>
      <c r="M43" s="7"/>
      <c r="N43" s="10"/>
      <c r="O43" s="10"/>
      <c r="P43" s="7"/>
      <c r="Q43" s="317"/>
    </row>
    <row r="44" spans="1:17">
      <c r="A44" s="399" t="s">
        <v>276</v>
      </c>
      <c r="B44" s="400"/>
      <c r="D44" s="401" t="s">
        <v>4</v>
      </c>
      <c r="E44" s="402"/>
      <c r="F44" s="402"/>
      <c r="G44" s="400"/>
      <c r="I44" s="401" t="s">
        <v>5</v>
      </c>
      <c r="J44" s="402"/>
      <c r="K44" s="402"/>
      <c r="L44" s="400"/>
      <c r="N44" s="401" t="s">
        <v>6</v>
      </c>
      <c r="O44" s="402"/>
      <c r="P44" s="402"/>
      <c r="Q44" s="400"/>
    </row>
    <row r="45" spans="1:17">
      <c r="A45" s="1" t="s">
        <v>1</v>
      </c>
      <c r="B45" s="2" t="s">
        <v>2</v>
      </c>
      <c r="D45" s="1" t="s">
        <v>7</v>
      </c>
      <c r="E45" s="8" t="s">
        <v>8</v>
      </c>
      <c r="F45" s="8" t="s">
        <v>3</v>
      </c>
      <c r="G45" s="2" t="s">
        <v>2</v>
      </c>
      <c r="I45" s="1" t="s">
        <v>7</v>
      </c>
      <c r="J45" s="8" t="s">
        <v>8</v>
      </c>
      <c r="K45" s="8" t="s">
        <v>3</v>
      </c>
      <c r="L45" s="2" t="s">
        <v>2</v>
      </c>
      <c r="N45" s="1" t="s">
        <v>7</v>
      </c>
      <c r="O45" s="8" t="s">
        <v>8</v>
      </c>
      <c r="P45" s="8" t="s">
        <v>3</v>
      </c>
      <c r="Q45" s="2" t="s">
        <v>2</v>
      </c>
    </row>
    <row r="46" spans="1:17">
      <c r="A46" s="3">
        <f>1.1547+B42</f>
        <v>1.3547</v>
      </c>
      <c r="B46" s="4">
        <v>0</v>
      </c>
      <c r="D46" s="9">
        <v>0.2</v>
      </c>
      <c r="E46" s="10">
        <v>0</v>
      </c>
      <c r="F46" s="7">
        <f>A46+0.5774*D46+1.1547*E46</f>
        <v>1.47018</v>
      </c>
      <c r="G46" s="11">
        <f t="shared" ref="G46:G53" si="12">D46</f>
        <v>0.2</v>
      </c>
      <c r="I46" s="9">
        <v>0</v>
      </c>
      <c r="J46" s="10">
        <v>0.2</v>
      </c>
      <c r="K46" s="7">
        <f>0.5774*I46+1.1547*(J46)+A46</f>
        <v>1.5856400000000002</v>
      </c>
      <c r="L46" s="16">
        <f t="shared" ref="L46:L53" si="13">I46</f>
        <v>0</v>
      </c>
      <c r="N46" s="9">
        <v>0</v>
      </c>
      <c r="O46" s="10">
        <v>0.2</v>
      </c>
      <c r="P46" s="7">
        <f>0.5774*N46+1.1547*(O46)+A46</f>
        <v>1.5856400000000002</v>
      </c>
      <c r="Q46" s="16">
        <f t="shared" ref="Q46:Q53" si="14">N46</f>
        <v>0</v>
      </c>
    </row>
    <row r="47" spans="1:17">
      <c r="A47" s="3">
        <f>1.732+B42</f>
        <v>1.9319999999999999</v>
      </c>
      <c r="B47" s="4">
        <v>1</v>
      </c>
      <c r="D47" s="9">
        <v>0.2</v>
      </c>
      <c r="E47" s="10">
        <v>0.8</v>
      </c>
      <c r="F47" s="7">
        <f>A46+0.5774*D47+1.1547*E47</f>
        <v>2.3939400000000002</v>
      </c>
      <c r="G47" s="11">
        <f t="shared" si="12"/>
        <v>0.2</v>
      </c>
      <c r="I47" s="9">
        <v>0.2</v>
      </c>
      <c r="J47" s="10">
        <v>0</v>
      </c>
      <c r="K47" s="7">
        <f>0.5774*I47+1.1547*(J47)+A46</f>
        <v>1.47018</v>
      </c>
      <c r="L47" s="16">
        <f t="shared" si="13"/>
        <v>0.2</v>
      </c>
      <c r="N47" s="9">
        <v>0.8</v>
      </c>
      <c r="O47" s="10">
        <v>0.2</v>
      </c>
      <c r="P47" s="7">
        <f>0.5774*N47+1.1547*(O47)+A46</f>
        <v>2.0475599999999998</v>
      </c>
      <c r="Q47" s="16">
        <f t="shared" si="14"/>
        <v>0.8</v>
      </c>
    </row>
    <row r="48" spans="1:17">
      <c r="A48" s="3">
        <f>2.309+B42</f>
        <v>2.5090000000000003</v>
      </c>
      <c r="B48" s="4">
        <v>0</v>
      </c>
      <c r="D48" s="9">
        <v>0.4</v>
      </c>
      <c r="E48" s="10">
        <v>0.6</v>
      </c>
      <c r="F48" s="7">
        <f>A46+0.5774*D48+1.1547*E48</f>
        <v>2.2784800000000001</v>
      </c>
      <c r="G48" s="11">
        <f t="shared" si="12"/>
        <v>0.4</v>
      </c>
      <c r="I48" s="9">
        <v>0.4</v>
      </c>
      <c r="J48" s="10">
        <v>0</v>
      </c>
      <c r="K48" s="7">
        <f>0.5774*I48+1.1547*(J48)+A46</f>
        <v>1.5856600000000001</v>
      </c>
      <c r="L48" s="16">
        <f t="shared" si="13"/>
        <v>0.4</v>
      </c>
      <c r="N48" s="9">
        <v>0.6</v>
      </c>
      <c r="O48" s="10">
        <v>0.4</v>
      </c>
      <c r="P48" s="7">
        <f>0.5774*N48+1.1547*(O48)+A46</f>
        <v>2.1630200000000004</v>
      </c>
      <c r="Q48" s="16">
        <f t="shared" si="14"/>
        <v>0.6</v>
      </c>
    </row>
    <row r="49" spans="1:17">
      <c r="A49" s="5">
        <f>1.1547+B42</f>
        <v>1.3547</v>
      </c>
      <c r="B49" s="6">
        <v>0</v>
      </c>
      <c r="D49" s="9">
        <v>0.4</v>
      </c>
      <c r="E49" s="10">
        <v>0</v>
      </c>
      <c r="F49" s="7">
        <f>A46+0.5774*D49+1.1547*E49</f>
        <v>1.5856600000000001</v>
      </c>
      <c r="G49" s="11">
        <f t="shared" si="12"/>
        <v>0.4</v>
      </c>
      <c r="I49" s="9">
        <v>0</v>
      </c>
      <c r="J49" s="10">
        <v>0.4</v>
      </c>
      <c r="K49" s="7">
        <f>0.5774*I49+1.1547*(J49)+A46</f>
        <v>1.8165800000000001</v>
      </c>
      <c r="L49" s="16">
        <f t="shared" si="13"/>
        <v>0</v>
      </c>
      <c r="N49" s="9">
        <v>0</v>
      </c>
      <c r="O49" s="10">
        <v>0.4</v>
      </c>
      <c r="P49" s="7">
        <f>0.5774*N49+1.1547*(O49)+A46</f>
        <v>1.8165800000000001</v>
      </c>
      <c r="Q49" s="16">
        <f t="shared" si="14"/>
        <v>0</v>
      </c>
    </row>
    <row r="50" spans="1:17">
      <c r="D50" s="9">
        <v>0.6</v>
      </c>
      <c r="E50" s="10">
        <v>0</v>
      </c>
      <c r="F50" s="7">
        <f>A46+0.5774*D50+1.1547*E50</f>
        <v>1.7011400000000001</v>
      </c>
      <c r="G50" s="11">
        <f t="shared" si="12"/>
        <v>0.6</v>
      </c>
      <c r="I50" s="9">
        <v>0</v>
      </c>
      <c r="J50" s="10">
        <v>0.6</v>
      </c>
      <c r="K50" s="7">
        <f>0.5774*I50+1.1547*(J50)+A46</f>
        <v>2.04752</v>
      </c>
      <c r="L50" s="16">
        <f t="shared" si="13"/>
        <v>0</v>
      </c>
      <c r="N50" s="9">
        <v>0</v>
      </c>
      <c r="O50" s="10">
        <v>0.6</v>
      </c>
      <c r="P50" s="7">
        <f>0.5774*N50+1.1547*(O50)+A46</f>
        <v>2.04752</v>
      </c>
      <c r="Q50" s="16">
        <f t="shared" si="14"/>
        <v>0</v>
      </c>
    </row>
    <row r="51" spans="1:17">
      <c r="D51" s="9">
        <v>0.6</v>
      </c>
      <c r="E51" s="10">
        <v>0.4</v>
      </c>
      <c r="F51" s="7">
        <f>A46+0.5774*D51+1.1547*E51</f>
        <v>2.1630200000000004</v>
      </c>
      <c r="G51" s="11">
        <f t="shared" si="12"/>
        <v>0.6</v>
      </c>
      <c r="I51" s="9">
        <v>0.6</v>
      </c>
      <c r="J51" s="10">
        <v>0</v>
      </c>
      <c r="K51" s="7">
        <f>0.5774*I51+1.1547*(J51)+A46</f>
        <v>1.7011400000000001</v>
      </c>
      <c r="L51" s="16">
        <f t="shared" si="13"/>
        <v>0.6</v>
      </c>
      <c r="N51" s="9">
        <v>0.4</v>
      </c>
      <c r="O51" s="10">
        <v>0.6</v>
      </c>
      <c r="P51" s="7">
        <f>0.5774*N51+1.1547*(O51)+A46</f>
        <v>2.2784800000000001</v>
      </c>
      <c r="Q51" s="16">
        <f t="shared" si="14"/>
        <v>0.4</v>
      </c>
    </row>
    <row r="52" spans="1:17">
      <c r="D52" s="9">
        <v>0.8</v>
      </c>
      <c r="E52" s="10">
        <v>0.2</v>
      </c>
      <c r="F52" s="7">
        <f>A46+0.5774*D52+1.1547*E52</f>
        <v>2.0475600000000003</v>
      </c>
      <c r="G52" s="11">
        <f t="shared" si="12"/>
        <v>0.8</v>
      </c>
      <c r="I52" s="9">
        <v>0.8</v>
      </c>
      <c r="J52" s="10">
        <v>0</v>
      </c>
      <c r="K52" s="7">
        <f>0.5774*I52+1.1547*(J52)+A46</f>
        <v>1.8166200000000001</v>
      </c>
      <c r="L52" s="16">
        <f t="shared" si="13"/>
        <v>0.8</v>
      </c>
      <c r="N52" s="9">
        <v>0.2</v>
      </c>
      <c r="O52" s="10">
        <v>0.8</v>
      </c>
      <c r="P52" s="7">
        <f>0.5774*N52+1.1547*(O52)+A46</f>
        <v>2.3939400000000002</v>
      </c>
      <c r="Q52" s="16">
        <f t="shared" si="14"/>
        <v>0.2</v>
      </c>
    </row>
    <row r="53" spans="1:17">
      <c r="A53" s="8" t="s">
        <v>268</v>
      </c>
      <c r="B53" s="7">
        <f>1.1547+0.5*B42</f>
        <v>1.2547000000000001</v>
      </c>
      <c r="D53" s="12">
        <v>0.8</v>
      </c>
      <c r="E53" s="13">
        <v>0</v>
      </c>
      <c r="F53" s="14">
        <f>A46+0.5774*D53+1.1547*E53</f>
        <v>1.8166200000000001</v>
      </c>
      <c r="G53" s="15">
        <f t="shared" si="12"/>
        <v>0.8</v>
      </c>
      <c r="I53" s="12">
        <v>0</v>
      </c>
      <c r="J53" s="13">
        <v>0.8</v>
      </c>
      <c r="K53" s="14">
        <f>0.5774*I53+1.1547*(J53)+A46</f>
        <v>2.2784599999999999</v>
      </c>
      <c r="L53" s="17">
        <f t="shared" si="13"/>
        <v>0</v>
      </c>
      <c r="N53" s="12">
        <v>0</v>
      </c>
      <c r="O53" s="13">
        <v>0.8</v>
      </c>
      <c r="P53" s="14">
        <f>0.5774*N53+1.1547*(O53)+A46</f>
        <v>2.2784599999999999</v>
      </c>
      <c r="Q53" s="17">
        <f t="shared" si="14"/>
        <v>0</v>
      </c>
    </row>
    <row r="54" spans="1:17">
      <c r="A54" s="8" t="s">
        <v>269</v>
      </c>
      <c r="B54" s="7">
        <f>0.866*(B42)</f>
        <v>0.17320000000000002</v>
      </c>
      <c r="C54" s="7"/>
      <c r="D54" s="10"/>
      <c r="E54" s="10"/>
      <c r="F54" s="7"/>
      <c r="G54" s="316"/>
      <c r="H54" s="7"/>
      <c r="I54" s="10"/>
      <c r="J54" s="10"/>
      <c r="K54" s="7"/>
      <c r="L54" s="317"/>
      <c r="M54" s="7"/>
      <c r="N54" s="10"/>
      <c r="O54" s="10"/>
      <c r="P54" s="7"/>
      <c r="Q54" s="317"/>
    </row>
    <row r="55" spans="1:17">
      <c r="A55" s="7"/>
      <c r="B55" s="7"/>
      <c r="C55" s="7"/>
      <c r="D55" s="10"/>
      <c r="E55" s="10"/>
      <c r="F55" s="7"/>
      <c r="G55" s="316"/>
      <c r="H55" s="7"/>
      <c r="I55" s="10"/>
      <c r="J55" s="10"/>
      <c r="K55" s="7"/>
      <c r="L55" s="317"/>
      <c r="M55" s="7"/>
      <c r="N55" s="10"/>
      <c r="O55" s="10"/>
      <c r="P55" s="7"/>
      <c r="Q55" s="317"/>
    </row>
    <row r="56" spans="1:17">
      <c r="A56" s="399" t="s">
        <v>277</v>
      </c>
      <c r="B56" s="400"/>
      <c r="D56" s="401" t="s">
        <v>270</v>
      </c>
      <c r="E56" s="402"/>
      <c r="F56" s="402"/>
      <c r="G56" s="400"/>
      <c r="I56" s="401" t="s">
        <v>271</v>
      </c>
      <c r="J56" s="402"/>
      <c r="K56" s="402"/>
      <c r="L56" s="400"/>
      <c r="M56" s="7"/>
      <c r="N56" s="403"/>
      <c r="O56" s="403"/>
      <c r="P56" s="403"/>
      <c r="Q56" s="403"/>
    </row>
    <row r="57" spans="1:17">
      <c r="A57" s="1" t="s">
        <v>1</v>
      </c>
      <c r="B57" s="2" t="s">
        <v>2</v>
      </c>
      <c r="D57" s="1" t="s">
        <v>118</v>
      </c>
      <c r="E57" s="8" t="s">
        <v>92</v>
      </c>
      <c r="F57" s="8" t="s">
        <v>3</v>
      </c>
      <c r="G57" s="2" t="s">
        <v>2</v>
      </c>
      <c r="I57" s="1" t="s">
        <v>118</v>
      </c>
      <c r="J57" s="8" t="s">
        <v>92</v>
      </c>
      <c r="K57" s="8" t="s">
        <v>3</v>
      </c>
      <c r="L57" s="2" t="s">
        <v>2</v>
      </c>
      <c r="M57" s="7"/>
      <c r="N57" s="8"/>
      <c r="O57" s="8"/>
      <c r="P57" s="8"/>
      <c r="Q57" s="8"/>
    </row>
    <row r="58" spans="1:17">
      <c r="A58" s="3">
        <f>0+B53</f>
        <v>1.2547000000000001</v>
      </c>
      <c r="B58" s="4">
        <f>0+B54</f>
        <v>0.17320000000000002</v>
      </c>
      <c r="D58" s="9">
        <v>0.2</v>
      </c>
      <c r="E58" s="10">
        <v>1</v>
      </c>
      <c r="F58" s="316">
        <f>0.5*$B$42+0.5774*(2+D58-E58)</f>
        <v>0.79288000000000014</v>
      </c>
      <c r="G58" s="11">
        <f>2+$B$54-D58-E58</f>
        <v>0.97320000000000007</v>
      </c>
      <c r="I58" s="9">
        <v>0</v>
      </c>
      <c r="J58" s="10">
        <v>0.2</v>
      </c>
      <c r="K58" s="316">
        <f>0.5*$B$42+0.5774*(2+I58-J58)</f>
        <v>1.1393200000000001</v>
      </c>
      <c r="L58" s="11">
        <f>2+$B$54-I58-J58</f>
        <v>1.9732000000000001</v>
      </c>
      <c r="M58" s="7"/>
      <c r="N58" s="10"/>
      <c r="O58" s="10"/>
      <c r="P58" s="7"/>
      <c r="Q58" s="317"/>
    </row>
    <row r="59" spans="1:17">
      <c r="A59" s="3">
        <f>0.5774+B53</f>
        <v>1.8321000000000001</v>
      </c>
      <c r="B59" s="4">
        <f>1+B54</f>
        <v>1.1732</v>
      </c>
      <c r="D59" s="9">
        <v>0.2</v>
      </c>
      <c r="E59" s="10">
        <v>0</v>
      </c>
      <c r="F59" s="316">
        <f t="shared" ref="F59:F65" si="15">0.5*$B$42+0.5774*(2+D59-E59)</f>
        <v>1.3702800000000002</v>
      </c>
      <c r="G59" s="11">
        <f t="shared" ref="G59:G65" si="16">2+$B$54-D59-E59</f>
        <v>1.9732000000000001</v>
      </c>
      <c r="I59" s="9">
        <v>1</v>
      </c>
      <c r="J59" s="10">
        <v>0.2</v>
      </c>
      <c r="K59" s="316">
        <f t="shared" ref="K59:K65" si="17">0.5*$B$42+0.5774*(2+I59-J59)</f>
        <v>1.71672</v>
      </c>
      <c r="L59" s="11">
        <f t="shared" ref="L59:L65" si="18">2+$B$54-I59-J59</f>
        <v>0.97320000000000007</v>
      </c>
      <c r="M59" s="7"/>
      <c r="N59" s="10"/>
      <c r="O59" s="10"/>
      <c r="P59" s="7"/>
      <c r="Q59" s="317"/>
    </row>
    <row r="60" spans="1:17">
      <c r="A60" s="3">
        <f>0+B53</f>
        <v>1.2547000000000001</v>
      </c>
      <c r="B60" s="4">
        <f>2+B54</f>
        <v>2.1732</v>
      </c>
      <c r="D60" s="9">
        <v>0.4</v>
      </c>
      <c r="E60" s="10">
        <v>0</v>
      </c>
      <c r="F60" s="316">
        <f t="shared" si="15"/>
        <v>1.4857600000000002</v>
      </c>
      <c r="G60" s="11">
        <f t="shared" si="16"/>
        <v>1.7732000000000001</v>
      </c>
      <c r="I60" s="9">
        <v>1</v>
      </c>
      <c r="J60" s="10">
        <v>0.4</v>
      </c>
      <c r="K60" s="316">
        <f t="shared" si="17"/>
        <v>1.6012400000000002</v>
      </c>
      <c r="L60" s="11">
        <f t="shared" si="18"/>
        <v>0.7732</v>
      </c>
      <c r="M60" s="7"/>
      <c r="N60" s="10"/>
      <c r="O60" s="10"/>
      <c r="P60" s="7"/>
      <c r="Q60" s="317"/>
    </row>
    <row r="61" spans="1:17">
      <c r="A61" s="7">
        <f>B53-0.5774</f>
        <v>0.67730000000000012</v>
      </c>
      <c r="B61" s="4">
        <f>1+B54</f>
        <v>1.1732</v>
      </c>
      <c r="D61" s="9">
        <v>0.4</v>
      </c>
      <c r="E61" s="10">
        <v>1</v>
      </c>
      <c r="F61" s="316">
        <f t="shared" si="15"/>
        <v>0.90835999999999995</v>
      </c>
      <c r="G61" s="11">
        <f t="shared" si="16"/>
        <v>0.77320000000000011</v>
      </c>
      <c r="I61" s="9">
        <v>0</v>
      </c>
      <c r="J61" s="10">
        <v>0.4</v>
      </c>
      <c r="K61" s="316">
        <f t="shared" si="17"/>
        <v>1.0238400000000001</v>
      </c>
      <c r="L61" s="11">
        <f t="shared" si="18"/>
        <v>1.7732000000000001</v>
      </c>
      <c r="M61" s="7"/>
      <c r="N61" s="10"/>
      <c r="O61" s="10"/>
      <c r="P61" s="7"/>
      <c r="Q61" s="317"/>
    </row>
    <row r="62" spans="1:17">
      <c r="A62" s="14">
        <f>B53</f>
        <v>1.2547000000000001</v>
      </c>
      <c r="B62" s="6">
        <f>0+B54</f>
        <v>0.17320000000000002</v>
      </c>
      <c r="D62" s="9">
        <v>0.6</v>
      </c>
      <c r="E62" s="10">
        <v>1</v>
      </c>
      <c r="F62" s="316">
        <f t="shared" si="15"/>
        <v>1.0238400000000001</v>
      </c>
      <c r="G62" s="11">
        <f t="shared" si="16"/>
        <v>0.57319999999999993</v>
      </c>
      <c r="I62" s="9">
        <v>0</v>
      </c>
      <c r="J62" s="10">
        <v>0.6</v>
      </c>
      <c r="K62" s="316">
        <f t="shared" si="17"/>
        <v>0.90835999999999995</v>
      </c>
      <c r="L62" s="11">
        <f t="shared" si="18"/>
        <v>1.5731999999999999</v>
      </c>
      <c r="M62" s="7"/>
      <c r="N62" s="10"/>
      <c r="O62" s="10"/>
      <c r="P62" s="7"/>
      <c r="Q62" s="317"/>
    </row>
    <row r="63" spans="1:17">
      <c r="D63" s="9">
        <v>0.6</v>
      </c>
      <c r="E63" s="10">
        <v>0</v>
      </c>
      <c r="F63" s="316">
        <f t="shared" si="15"/>
        <v>1.6012400000000002</v>
      </c>
      <c r="G63" s="11">
        <f t="shared" si="16"/>
        <v>1.5731999999999999</v>
      </c>
      <c r="I63" s="9">
        <v>1</v>
      </c>
      <c r="J63" s="10">
        <v>0.6</v>
      </c>
      <c r="K63" s="316">
        <f t="shared" si="17"/>
        <v>1.4857600000000002</v>
      </c>
      <c r="L63" s="11">
        <f t="shared" si="18"/>
        <v>0.57320000000000004</v>
      </c>
      <c r="M63" s="7"/>
      <c r="N63" s="10"/>
      <c r="O63" s="10"/>
      <c r="P63" s="7"/>
      <c r="Q63" s="317"/>
    </row>
    <row r="64" spans="1:17">
      <c r="D64" s="9">
        <v>0.8</v>
      </c>
      <c r="E64" s="10">
        <v>0</v>
      </c>
      <c r="F64" s="316">
        <f t="shared" si="15"/>
        <v>1.71672</v>
      </c>
      <c r="G64" s="11">
        <f t="shared" si="16"/>
        <v>1.3732</v>
      </c>
      <c r="I64" s="9">
        <v>1</v>
      </c>
      <c r="J64" s="10">
        <v>0.8</v>
      </c>
      <c r="K64" s="316">
        <f t="shared" si="17"/>
        <v>1.3702800000000002</v>
      </c>
      <c r="L64" s="11">
        <f t="shared" si="18"/>
        <v>0.37319999999999998</v>
      </c>
      <c r="M64" s="7"/>
      <c r="N64" s="10"/>
      <c r="O64" s="10"/>
      <c r="P64" s="7"/>
      <c r="Q64" s="317"/>
    </row>
    <row r="65" spans="4:17">
      <c r="D65" s="12">
        <v>0.8</v>
      </c>
      <c r="E65" s="13">
        <v>1</v>
      </c>
      <c r="F65" s="327">
        <f t="shared" si="15"/>
        <v>1.1393200000000001</v>
      </c>
      <c r="G65" s="15">
        <f t="shared" si="16"/>
        <v>0.37319999999999998</v>
      </c>
      <c r="I65" s="12">
        <v>0</v>
      </c>
      <c r="J65" s="13">
        <v>0.8</v>
      </c>
      <c r="K65" s="327">
        <f t="shared" si="17"/>
        <v>0.79288000000000003</v>
      </c>
      <c r="L65" s="15">
        <f t="shared" si="18"/>
        <v>1.3732</v>
      </c>
      <c r="M65" s="7"/>
      <c r="N65" s="10"/>
      <c r="O65" s="10"/>
      <c r="P65" s="7"/>
      <c r="Q65" s="317"/>
    </row>
  </sheetData>
  <mergeCells count="16">
    <mergeCell ref="N3:Q3"/>
    <mergeCell ref="A3:B3"/>
    <mergeCell ref="D3:G3"/>
    <mergeCell ref="I3:L3"/>
    <mergeCell ref="A33:B33"/>
    <mergeCell ref="D33:G33"/>
    <mergeCell ref="I33:L33"/>
    <mergeCell ref="N33:Q33"/>
    <mergeCell ref="A44:B44"/>
    <mergeCell ref="D44:G44"/>
    <mergeCell ref="I44:L44"/>
    <mergeCell ref="N44:Q44"/>
    <mergeCell ref="A56:B56"/>
    <mergeCell ref="D56:G56"/>
    <mergeCell ref="I56:L56"/>
    <mergeCell ref="N56:Q56"/>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AW77"/>
  <sheetViews>
    <sheetView topLeftCell="AI19" zoomScale="75" workbookViewId="0">
      <selection activeCell="U49" sqref="U49"/>
    </sheetView>
  </sheetViews>
  <sheetFormatPr defaultRowHeight="12.75"/>
  <cols>
    <col min="1" max="1" width="11" style="23" customWidth="1"/>
    <col min="2" max="2" width="10.5703125" style="23" customWidth="1"/>
    <col min="3" max="4" width="9.28515625" style="23" customWidth="1"/>
    <col min="5" max="5" width="9.140625" style="23"/>
    <col min="6" max="6" width="9.28515625" style="23" customWidth="1"/>
    <col min="7" max="7" width="11.5703125" style="23" customWidth="1"/>
    <col min="8" max="8" width="9.140625" style="23"/>
    <col min="9" max="9" width="10.85546875" style="23" customWidth="1"/>
    <col min="10" max="11" width="9.140625" style="23"/>
    <col min="12" max="12" width="10.28515625" style="23" customWidth="1"/>
    <col min="13" max="13" width="9.140625" style="23"/>
    <col min="14" max="16" width="9.28515625" style="23" bestFit="1" customWidth="1"/>
    <col min="17" max="17" width="10.42578125" style="23" customWidth="1"/>
    <col min="18" max="18" width="9.28515625" style="23" bestFit="1" customWidth="1"/>
    <col min="19" max="19" width="10.42578125" style="23" customWidth="1"/>
    <col min="20" max="26" width="9.28515625" style="23" bestFit="1" customWidth="1"/>
    <col min="27" max="31" width="9.140625" style="23"/>
    <col min="32" max="44" width="9.28515625" style="23" bestFit="1" customWidth="1"/>
    <col min="45" max="46" width="9.140625" style="23"/>
    <col min="47" max="47" width="10.28515625" style="23" customWidth="1"/>
    <col min="48" max="16384" width="9.140625" style="23"/>
  </cols>
  <sheetData>
    <row r="1" spans="1:49" ht="15.75">
      <c r="A1" s="22" t="s">
        <v>13</v>
      </c>
      <c r="B1" s="22"/>
      <c r="C1" s="22"/>
      <c r="D1" s="22"/>
      <c r="E1" s="22"/>
      <c r="F1" s="22"/>
      <c r="G1" s="22"/>
      <c r="H1" s="22"/>
      <c r="I1" s="22"/>
      <c r="J1" s="22"/>
      <c r="K1" s="22"/>
      <c r="L1" s="22"/>
      <c r="M1" s="22"/>
      <c r="N1" s="22"/>
      <c r="O1" s="22"/>
      <c r="P1" s="22"/>
      <c r="Q1" s="410" t="s">
        <v>89</v>
      </c>
      <c r="R1" s="411"/>
      <c r="S1" s="411"/>
      <c r="T1" s="411"/>
      <c r="U1" s="412"/>
      <c r="V1" s="413" t="s">
        <v>24</v>
      </c>
      <c r="W1" s="414"/>
      <c r="X1" s="414"/>
      <c r="Y1" s="414"/>
      <c r="Z1" s="415"/>
      <c r="AA1" s="407" t="s">
        <v>23</v>
      </c>
      <c r="AB1" s="408"/>
      <c r="AC1" s="408"/>
      <c r="AD1" s="408"/>
      <c r="AE1" s="409"/>
      <c r="AF1" s="407" t="s">
        <v>41</v>
      </c>
      <c r="AG1" s="408"/>
      <c r="AH1" s="408"/>
      <c r="AI1" s="408"/>
      <c r="AJ1" s="409"/>
      <c r="AK1" s="407" t="s">
        <v>53</v>
      </c>
      <c r="AL1" s="408"/>
      <c r="AM1" s="408"/>
      <c r="AN1" s="408"/>
      <c r="AO1" s="409"/>
      <c r="AP1" s="31" t="s">
        <v>61</v>
      </c>
    </row>
    <row r="2" spans="1:49">
      <c r="D2" s="24"/>
      <c r="E2" s="25"/>
      <c r="F2" s="25"/>
      <c r="G2" s="25"/>
      <c r="H2" s="25"/>
      <c r="I2" s="25"/>
      <c r="J2" s="26" t="s">
        <v>25</v>
      </c>
      <c r="K2" s="25"/>
      <c r="L2" s="25"/>
      <c r="M2" s="25"/>
      <c r="N2" s="25"/>
      <c r="O2" s="27"/>
      <c r="Q2" s="28" t="s">
        <v>17</v>
      </c>
      <c r="R2" s="29" t="s">
        <v>46</v>
      </c>
      <c r="S2" s="29" t="s">
        <v>16</v>
      </c>
      <c r="T2" s="25"/>
      <c r="U2" s="27"/>
      <c r="V2" s="28" t="s">
        <v>17</v>
      </c>
      <c r="W2" s="29" t="s">
        <v>15</v>
      </c>
      <c r="X2" s="29" t="s">
        <v>16</v>
      </c>
      <c r="Y2" s="29" t="s">
        <v>3</v>
      </c>
      <c r="Z2" s="30" t="s">
        <v>2</v>
      </c>
      <c r="AA2" s="28" t="s">
        <v>15</v>
      </c>
      <c r="AB2" s="29" t="s">
        <v>22</v>
      </c>
      <c r="AC2" s="29" t="s">
        <v>21</v>
      </c>
      <c r="AD2" s="29" t="s">
        <v>3</v>
      </c>
      <c r="AE2" s="30" t="s">
        <v>2</v>
      </c>
      <c r="AF2" s="28" t="s">
        <v>17</v>
      </c>
      <c r="AG2" s="29" t="s">
        <v>18</v>
      </c>
      <c r="AH2" s="29" t="s">
        <v>37</v>
      </c>
      <c r="AI2" s="29" t="s">
        <v>3</v>
      </c>
      <c r="AJ2" s="30" t="s">
        <v>2</v>
      </c>
      <c r="AK2" s="28" t="s">
        <v>42</v>
      </c>
      <c r="AL2" s="29" t="s">
        <v>43</v>
      </c>
      <c r="AM2" s="29" t="s">
        <v>54</v>
      </c>
      <c r="AN2" s="29" t="s">
        <v>3</v>
      </c>
      <c r="AO2" s="30" t="s">
        <v>2</v>
      </c>
      <c r="AV2" s="35"/>
      <c r="AW2" s="35"/>
    </row>
    <row r="3" spans="1:49">
      <c r="A3" s="31" t="s">
        <v>153</v>
      </c>
      <c r="B3" s="31" t="s">
        <v>10</v>
      </c>
      <c r="C3" s="31" t="s">
        <v>9</v>
      </c>
      <c r="D3" s="110" t="s">
        <v>42</v>
      </c>
      <c r="E3" s="33" t="s">
        <v>43</v>
      </c>
      <c r="F3" s="32" t="s">
        <v>14</v>
      </c>
      <c r="G3" s="32" t="s">
        <v>44</v>
      </c>
      <c r="H3" s="32" t="s">
        <v>19</v>
      </c>
      <c r="I3" s="32" t="s">
        <v>20</v>
      </c>
      <c r="J3" s="32" t="s">
        <v>17</v>
      </c>
      <c r="K3" s="32" t="s">
        <v>16</v>
      </c>
      <c r="L3" s="32" t="s">
        <v>15</v>
      </c>
      <c r="M3" s="33" t="s">
        <v>21</v>
      </c>
      <c r="N3" s="33" t="s">
        <v>22</v>
      </c>
      <c r="O3" s="34" t="s">
        <v>46</v>
      </c>
      <c r="P3" s="35" t="s">
        <v>11</v>
      </c>
      <c r="Q3" s="199">
        <f>Input!BQ6</f>
        <v>1</v>
      </c>
      <c r="R3" s="199">
        <f>Input!BR6</f>
        <v>25</v>
      </c>
      <c r="S3" s="199">
        <f>Input!BS6</f>
        <v>25</v>
      </c>
      <c r="T3" s="36" t="s">
        <v>156</v>
      </c>
      <c r="U3" s="37"/>
      <c r="V3" s="199">
        <f>Input!BV6</f>
        <v>1</v>
      </c>
      <c r="W3" s="199">
        <f>Input!BW6</f>
        <v>100</v>
      </c>
      <c r="X3" s="199">
        <f>Input!BX6</f>
        <v>25</v>
      </c>
      <c r="Y3" s="36" t="s">
        <v>156</v>
      </c>
      <c r="Z3" s="37"/>
      <c r="AA3" s="199">
        <f>Input!CA6</f>
        <v>1</v>
      </c>
      <c r="AB3" s="199">
        <f>Input!CB6</f>
        <v>4</v>
      </c>
      <c r="AC3" s="199">
        <f>Input!CC6</f>
        <v>10</v>
      </c>
      <c r="AD3" s="36" t="s">
        <v>156</v>
      </c>
      <c r="AE3" s="37"/>
      <c r="AF3" s="199">
        <f>Input!CF6</f>
        <v>1</v>
      </c>
      <c r="AG3" s="199">
        <f>Input!CG6</f>
        <v>1</v>
      </c>
      <c r="AH3" s="199">
        <f>Input!CH6</f>
        <v>1</v>
      </c>
      <c r="AI3" s="36" t="s">
        <v>156</v>
      </c>
      <c r="AJ3" s="37"/>
      <c r="AK3" s="199">
        <f>Input!CS6</f>
        <v>1</v>
      </c>
      <c r="AL3" s="199">
        <f>Input!CT6</f>
        <v>10</v>
      </c>
      <c r="AM3" s="199">
        <f>Input!CU6</f>
        <v>1000</v>
      </c>
      <c r="AN3" s="36" t="s">
        <v>156</v>
      </c>
      <c r="AO3" s="37"/>
      <c r="AP3" s="23" t="s">
        <v>62</v>
      </c>
      <c r="AQ3" s="23" t="s">
        <v>63</v>
      </c>
      <c r="AT3" s="54" t="s">
        <v>117</v>
      </c>
      <c r="AU3" s="72" t="s">
        <v>116</v>
      </c>
    </row>
    <row r="4" spans="1:49">
      <c r="B4" s="154" t="s">
        <v>26</v>
      </c>
      <c r="C4" s="154"/>
      <c r="D4" s="154">
        <v>34000</v>
      </c>
      <c r="E4" s="154">
        <v>43000</v>
      </c>
      <c r="F4" s="154">
        <v>16000</v>
      </c>
      <c r="G4" s="154">
        <v>6000</v>
      </c>
      <c r="H4" s="154">
        <v>150</v>
      </c>
      <c r="I4" s="154">
        <v>430</v>
      </c>
      <c r="J4" s="154">
        <v>300</v>
      </c>
      <c r="K4" s="154">
        <v>15</v>
      </c>
      <c r="L4" s="154">
        <v>40</v>
      </c>
      <c r="M4" s="154">
        <v>5</v>
      </c>
      <c r="N4" s="154">
        <v>150</v>
      </c>
      <c r="O4" s="154"/>
      <c r="P4" s="154"/>
      <c r="Q4" s="155">
        <f>(J4*Q$3)/(J4*$Q$3+O4*$R$3+K4*$S$3)</f>
        <v>0.44444444444444442</v>
      </c>
      <c r="R4" s="156">
        <f>(O4*R$3)/(J4*$Q$3+O4*$R$3+K4*$S$3)</f>
        <v>0</v>
      </c>
      <c r="S4" s="156">
        <f>(K4*S$3)/(J4*$Q$3+O4*$R$3+K4*$S$3)</f>
        <v>0.55555555555555558</v>
      </c>
      <c r="T4" s="157">
        <f>0.5774*Q4+1.1547*S4</f>
        <v>0.89812222222222227</v>
      </c>
      <c r="U4" s="158">
        <f>Q4</f>
        <v>0.44444444444444442</v>
      </c>
      <c r="V4" s="155">
        <f>(J4*V$3)/($J4*$V$3+$L4*$W$3+$K4*$X$3)</f>
        <v>6.4171122994652413E-2</v>
      </c>
      <c r="W4" s="156">
        <f>(L4*W$3)/($J4*$V$3+$L4*$W$3+$K4*$X$3)</f>
        <v>0.85561497326203206</v>
      </c>
      <c r="X4" s="156">
        <f>(K4*X$3)/($J4*$V$3+$L4*$W$3+$K4*$X$3)</f>
        <v>8.0213903743315509E-2</v>
      </c>
      <c r="Y4" s="157">
        <f>0.5774*V4+1.1547*X4</f>
        <v>0.12967540106951872</v>
      </c>
      <c r="Z4" s="158">
        <f>V4</f>
        <v>6.4171122994652413E-2</v>
      </c>
      <c r="AA4" s="155">
        <f>(L4*AA$3)/($L4*AA$3+$N4*AB$3+$M4*AC$3)</f>
        <v>5.7971014492753624E-2</v>
      </c>
      <c r="AB4" s="156">
        <f>(N4*AB$3)/($L4*AA$3+$N4*AB$3+$M4*AC$3)</f>
        <v>0.86956521739130432</v>
      </c>
      <c r="AC4" s="156">
        <f>(M4*AC$3)/($L4*AA$3+$N4*AB$3+$M4*AC$3)</f>
        <v>7.2463768115942032E-2</v>
      </c>
      <c r="AD4" s="157">
        <f>0.5774*AA4+1.1547*AC4</f>
        <v>0.11714637681159421</v>
      </c>
      <c r="AE4" s="158">
        <f>AA4</f>
        <v>5.7971014492753624E-2</v>
      </c>
      <c r="AF4" s="155">
        <f>(Q4*AF$3)/($L4*AF$3+$N4*AG$3+$M4*AH$3)</f>
        <v>2.2792022792022791E-3</v>
      </c>
      <c r="AG4" s="156">
        <f>(S4*AG$3)/($L4*AF$3+$N4*AG$3+$M4*AH$3)</f>
        <v>2.8490028490028491E-3</v>
      </c>
      <c r="AH4" s="156">
        <f>(R4*AH$3)/($L4*AF$3+$N4*AG$3+$M4*AH$3)</f>
        <v>0</v>
      </c>
      <c r="AI4" s="157">
        <f>0.5774*AF4+1.1547*AH4</f>
        <v>1.3160113960113959E-3</v>
      </c>
      <c r="AJ4" s="158"/>
      <c r="AK4" s="155">
        <f>(D4*AK$3)/($D4*AK$3+$E4*AL$3+$G4^0.5*AM$3)</f>
        <v>6.2793227412750161E-2</v>
      </c>
      <c r="AL4" s="156">
        <f>(E4*AL$3)/($D4*AK$3+$E4*AL$3+$G4^0.5*AM$3)</f>
        <v>0.79414964080831074</v>
      </c>
      <c r="AM4" s="156">
        <f>(G4^0.5*AM$3)/($D4*AK$3+$E4*AL$3+$G4^0.5*AM$3)</f>
        <v>0.14305713177893906</v>
      </c>
      <c r="AN4" s="157">
        <f>0.5774*AK4+1.1547*AM4</f>
        <v>0.20144487957326287</v>
      </c>
      <c r="AO4" s="158">
        <f>AK4</f>
        <v>6.2793227412750161E-2</v>
      </c>
      <c r="AP4" s="159">
        <f>10*E4/(10*E4+D4)</f>
        <v>0.92672413793103448</v>
      </c>
      <c r="AQ4" s="159">
        <f>10*G4/(10*G4+F4)</f>
        <v>0.78947368421052633</v>
      </c>
      <c r="AR4" s="154"/>
      <c r="AS4" s="154"/>
      <c r="AT4" s="159">
        <f>2*LOG(E4)-LOG(G4)</f>
        <v>5.4887856607755285</v>
      </c>
      <c r="AU4" s="159">
        <f>2*LOG(E4)-LOG(F4)</f>
        <v>5.0628169285032474</v>
      </c>
    </row>
    <row r="5" spans="1:49">
      <c r="B5" s="154" t="s">
        <v>27</v>
      </c>
      <c r="C5" s="154"/>
      <c r="D5" s="154">
        <v>35000</v>
      </c>
      <c r="E5" s="154">
        <v>21000</v>
      </c>
      <c r="F5" s="154">
        <v>63000</v>
      </c>
      <c r="G5" s="154">
        <v>35000</v>
      </c>
      <c r="H5" s="154">
        <v>350</v>
      </c>
      <c r="I5" s="154">
        <v>230</v>
      </c>
      <c r="J5" s="154">
        <v>540</v>
      </c>
      <c r="K5" s="154">
        <v>15</v>
      </c>
      <c r="L5" s="154">
        <v>22</v>
      </c>
      <c r="M5" s="154"/>
      <c r="N5" s="154"/>
      <c r="O5" s="154"/>
      <c r="P5" s="154"/>
      <c r="Q5" s="155">
        <f t="shared" ref="Q5:Q11" si="0">(J5*Q$3)/(J5*$Q$3+O5*$R$3+K5*$S$3)</f>
        <v>0.5901639344262295</v>
      </c>
      <c r="R5" s="156">
        <f t="shared" ref="R5:R11" si="1">(O5*R$3)/(J5*$Q$3+O5*$R$3+K5*$S$3)</f>
        <v>0</v>
      </c>
      <c r="S5" s="156">
        <f t="shared" ref="S5:S11" si="2">(K5*S$3)/(J5*$Q$3+O5*$R$3+K5*$S$3)</f>
        <v>0.4098360655737705</v>
      </c>
      <c r="T5" s="157">
        <f t="shared" ref="T5:T11" si="3">0.5774*Q5+1.1547*S5</f>
        <v>0.81399836065573772</v>
      </c>
      <c r="U5" s="158">
        <f t="shared" ref="U5:U11" si="4">Q5</f>
        <v>0.5901639344262295</v>
      </c>
      <c r="V5" s="155">
        <f t="shared" ref="V5:V11" si="5">(J5*V$3)/($J5*$V$3+$L5*$W$3+$K5*$X$3)</f>
        <v>0.17335473515248795</v>
      </c>
      <c r="W5" s="156">
        <f t="shared" ref="W5:W11" si="6">(L5*W$3)/($J5*$V$3+$L5*$W$3+$K5*$X$3)</f>
        <v>0.7062600321027287</v>
      </c>
      <c r="X5" s="156">
        <f t="shared" ref="X5:X11" si="7">(K5*X$3)/($J5*$V$3+$L5*$W$3+$K5*$X$3)</f>
        <v>0.12038523274478331</v>
      </c>
      <c r="Y5" s="157">
        <f t="shared" ref="Y5:Y11" si="8">0.5774*V5+1.1547*X5</f>
        <v>0.23910385232744785</v>
      </c>
      <c r="Z5" s="158">
        <f t="shared" ref="Z5:Z11" si="9">V5</f>
        <v>0.17335473515248795</v>
      </c>
      <c r="AA5" s="155"/>
      <c r="AB5" s="156"/>
      <c r="AC5" s="156"/>
      <c r="AD5" s="157"/>
      <c r="AE5" s="158"/>
      <c r="AF5" s="160"/>
      <c r="AG5" s="161"/>
      <c r="AH5" s="161"/>
      <c r="AI5" s="161"/>
      <c r="AJ5" s="162"/>
      <c r="AK5" s="155">
        <f t="shared" ref="AK5:AK11" si="10">(D5*AK$3)/($D5*AK$3+$E5*AL$3+$G5^0.5*AM$3)</f>
        <v>8.1002979945878226E-2</v>
      </c>
      <c r="AL5" s="156">
        <f t="shared" ref="AL5:AL11" si="11">(E5*AL$3)/($D5*AK$3+$E5*AL$3+$G5^0.5*AM$3)</f>
        <v>0.48601787967526938</v>
      </c>
      <c r="AM5" s="156">
        <f t="shared" ref="AM5:AM11" si="12">(G5^0.5*AM$3)/($D5*AK$3+$E5*AL$3+$G5^0.5*AM$3)</f>
        <v>0.43297914037885243</v>
      </c>
      <c r="AN5" s="157">
        <f t="shared" ref="AN5:AN11" si="13">0.5774*AK5+1.1547*AM5</f>
        <v>0.54673213401621101</v>
      </c>
      <c r="AO5" s="158">
        <f t="shared" ref="AO5:AO11" si="14">AK5</f>
        <v>8.1002979945878226E-2</v>
      </c>
      <c r="AP5" s="159">
        <f t="shared" ref="AP5:AP11" si="15">10*E5/(10*E5+D5)</f>
        <v>0.8571428571428571</v>
      </c>
      <c r="AQ5" s="159">
        <f t="shared" ref="AQ5:AQ11" si="16">10*G5/(10*G5+F5)</f>
        <v>0.84745762711864403</v>
      </c>
      <c r="AR5" s="154"/>
      <c r="AS5" s="154"/>
      <c r="AT5" s="159">
        <f t="shared" ref="AT5:AT11" si="17">2*LOG(E5)-LOG(G5)</f>
        <v>4.1003705451175634</v>
      </c>
      <c r="AU5" s="159">
        <f t="shared" ref="AU5:AU11" si="18">2*LOG(E5)-LOG(F5)</f>
        <v>3.8450980400142569</v>
      </c>
    </row>
    <row r="6" spans="1:49">
      <c r="B6" s="154" t="s">
        <v>28</v>
      </c>
      <c r="C6" s="154"/>
      <c r="D6" s="154">
        <v>37000</v>
      </c>
      <c r="E6" s="154">
        <v>19000</v>
      </c>
      <c r="F6" s="154">
        <v>89000</v>
      </c>
      <c r="G6" s="154">
        <v>51000</v>
      </c>
      <c r="H6" s="154">
        <v>450</v>
      </c>
      <c r="I6" s="154">
        <v>170</v>
      </c>
      <c r="J6" s="154">
        <v>230</v>
      </c>
      <c r="K6" s="154">
        <v>13</v>
      </c>
      <c r="L6" s="154">
        <v>16</v>
      </c>
      <c r="M6" s="154">
        <v>0.5</v>
      </c>
      <c r="N6" s="154">
        <v>30</v>
      </c>
      <c r="O6" s="154"/>
      <c r="P6" s="154"/>
      <c r="Q6" s="155">
        <f t="shared" si="0"/>
        <v>0.4144144144144144</v>
      </c>
      <c r="R6" s="156">
        <f t="shared" si="1"/>
        <v>0</v>
      </c>
      <c r="S6" s="156">
        <f t="shared" si="2"/>
        <v>0.5855855855855856</v>
      </c>
      <c r="T6" s="157">
        <f t="shared" si="3"/>
        <v>0.91545855855855862</v>
      </c>
      <c r="U6" s="158">
        <f t="shared" si="4"/>
        <v>0.4144144144144144</v>
      </c>
      <c r="V6" s="155">
        <f t="shared" si="5"/>
        <v>0.10672853828306264</v>
      </c>
      <c r="W6" s="156">
        <f t="shared" si="6"/>
        <v>0.74245939675174011</v>
      </c>
      <c r="X6" s="156">
        <f t="shared" si="7"/>
        <v>0.15081206496519722</v>
      </c>
      <c r="Y6" s="157">
        <f t="shared" si="8"/>
        <v>0.2357677494199536</v>
      </c>
      <c r="Z6" s="158">
        <f t="shared" si="9"/>
        <v>0.10672853828306264</v>
      </c>
      <c r="AA6" s="155">
        <f t="shared" ref="AA6:AA11" si="19">(L6*AA$3)/($L6*$AA$3+$N6*$AB$3+$M6*$AC$3)</f>
        <v>0.11347517730496454</v>
      </c>
      <c r="AB6" s="156">
        <f t="shared" ref="AB6:AB11" si="20">(N6*AB$3)/($L6*$AA$3+$N6*$AB$3+$M6*$AC$3)</f>
        <v>0.85106382978723405</v>
      </c>
      <c r="AC6" s="156">
        <f t="shared" ref="AC6:AC11" si="21">(M6*AC$3)/($L6*$AA$3+$N6*$AB$3+$M6*$AC$3)</f>
        <v>3.5460992907801421E-2</v>
      </c>
      <c r="AD6" s="157">
        <f t="shared" ref="AD6:AD11" si="22">0.5774*AA6+1.1547*AC6</f>
        <v>0.10646737588652483</v>
      </c>
      <c r="AE6" s="158">
        <f t="shared" ref="AE6:AE11" si="23">AA6</f>
        <v>0.11347517730496454</v>
      </c>
      <c r="AF6" s="160"/>
      <c r="AG6" s="161"/>
      <c r="AH6" s="161"/>
      <c r="AI6" s="161"/>
      <c r="AJ6" s="162"/>
      <c r="AK6" s="155">
        <f t="shared" si="10"/>
        <v>8.1708043344425246E-2</v>
      </c>
      <c r="AL6" s="156">
        <f t="shared" si="11"/>
        <v>0.41958184420110262</v>
      </c>
      <c r="AM6" s="156">
        <f t="shared" si="12"/>
        <v>0.49871011245447217</v>
      </c>
      <c r="AN6" s="157">
        <f t="shared" si="13"/>
        <v>0.62303879107825022</v>
      </c>
      <c r="AO6" s="158">
        <f t="shared" si="14"/>
        <v>8.1708043344425246E-2</v>
      </c>
      <c r="AP6" s="159">
        <f t="shared" si="15"/>
        <v>0.83700440528634357</v>
      </c>
      <c r="AQ6" s="159">
        <f t="shared" si="16"/>
        <v>0.85141903171953259</v>
      </c>
      <c r="AR6" s="154"/>
      <c r="AS6" s="154"/>
      <c r="AT6" s="159">
        <f t="shared" si="17"/>
        <v>3.849937025807721</v>
      </c>
      <c r="AU6" s="159">
        <f t="shared" si="18"/>
        <v>3.6081171952607454</v>
      </c>
    </row>
    <row r="7" spans="1:49">
      <c r="B7" s="154" t="s">
        <v>29</v>
      </c>
      <c r="C7" s="154"/>
      <c r="D7" s="154">
        <v>5000</v>
      </c>
      <c r="E7" s="154">
        <v>10000</v>
      </c>
      <c r="F7" s="154">
        <v>44000</v>
      </c>
      <c r="G7" s="154">
        <v>322000</v>
      </c>
      <c r="H7" s="154">
        <v>25</v>
      </c>
      <c r="I7" s="154">
        <v>10</v>
      </c>
      <c r="J7" s="154"/>
      <c r="K7" s="154">
        <v>20</v>
      </c>
      <c r="L7" s="154">
        <v>0.5</v>
      </c>
      <c r="M7" s="154"/>
      <c r="N7" s="154"/>
      <c r="O7" s="154"/>
      <c r="P7" s="154"/>
      <c r="Q7" s="155">
        <f t="shared" si="0"/>
        <v>0</v>
      </c>
      <c r="R7" s="156">
        <f t="shared" si="1"/>
        <v>0</v>
      </c>
      <c r="S7" s="156">
        <f t="shared" si="2"/>
        <v>1</v>
      </c>
      <c r="T7" s="157">
        <f t="shared" si="3"/>
        <v>1.1547000000000001</v>
      </c>
      <c r="U7" s="158">
        <f t="shared" si="4"/>
        <v>0</v>
      </c>
      <c r="V7" s="155">
        <f t="shared" si="5"/>
        <v>0</v>
      </c>
      <c r="W7" s="156">
        <f t="shared" si="6"/>
        <v>9.0909090909090912E-2</v>
      </c>
      <c r="X7" s="156">
        <f t="shared" si="7"/>
        <v>0.90909090909090906</v>
      </c>
      <c r="Y7" s="157">
        <f t="shared" si="8"/>
        <v>1.0497272727272728</v>
      </c>
      <c r="Z7" s="158">
        <f t="shared" si="9"/>
        <v>0</v>
      </c>
      <c r="AA7" s="155"/>
      <c r="AB7" s="156"/>
      <c r="AC7" s="156"/>
      <c r="AD7" s="157"/>
      <c r="AE7" s="158"/>
      <c r="AF7" s="160"/>
      <c r="AG7" s="161"/>
      <c r="AH7" s="161"/>
      <c r="AI7" s="161"/>
      <c r="AJ7" s="162"/>
      <c r="AK7" s="155">
        <f t="shared" si="10"/>
        <v>7.4354922158444293E-3</v>
      </c>
      <c r="AL7" s="156">
        <f t="shared" si="11"/>
        <v>0.14870984431688858</v>
      </c>
      <c r="AM7" s="156">
        <f t="shared" si="12"/>
        <v>0.84385466346726701</v>
      </c>
      <c r="AN7" s="157">
        <f t="shared" si="13"/>
        <v>0.97869223311108189</v>
      </c>
      <c r="AO7" s="158">
        <f t="shared" si="14"/>
        <v>7.4354922158444293E-3</v>
      </c>
      <c r="AP7" s="159">
        <f t="shared" si="15"/>
        <v>0.95238095238095233</v>
      </c>
      <c r="AQ7" s="159">
        <f t="shared" si="16"/>
        <v>0.9865196078431373</v>
      </c>
      <c r="AR7" s="154"/>
      <c r="AS7" s="154"/>
      <c r="AT7" s="159">
        <f t="shared" si="17"/>
        <v>2.4921441283041688</v>
      </c>
      <c r="AU7" s="159">
        <f t="shared" si="18"/>
        <v>3.3565473235138121</v>
      </c>
    </row>
    <row r="8" spans="1:49">
      <c r="B8" s="154" t="s">
        <v>30</v>
      </c>
      <c r="C8" s="154"/>
      <c r="D8" s="154">
        <v>1000</v>
      </c>
      <c r="E8" s="154">
        <v>3000</v>
      </c>
      <c r="F8" s="154">
        <v>426000</v>
      </c>
      <c r="G8" s="154">
        <v>79000</v>
      </c>
      <c r="H8" s="154">
        <v>600</v>
      </c>
      <c r="I8" s="154">
        <v>60</v>
      </c>
      <c r="J8" s="154">
        <v>200</v>
      </c>
      <c r="K8" s="154">
        <v>18</v>
      </c>
      <c r="L8" s="154">
        <v>10</v>
      </c>
      <c r="M8" s="154"/>
      <c r="N8" s="154"/>
      <c r="O8" s="154"/>
      <c r="P8" s="154"/>
      <c r="Q8" s="155">
        <f t="shared" si="0"/>
        <v>0.30769230769230771</v>
      </c>
      <c r="R8" s="156">
        <f t="shared" si="1"/>
        <v>0</v>
      </c>
      <c r="S8" s="156">
        <f t="shared" si="2"/>
        <v>0.69230769230769229</v>
      </c>
      <c r="T8" s="157">
        <f t="shared" si="3"/>
        <v>0.9770692307692308</v>
      </c>
      <c r="U8" s="158">
        <f t="shared" si="4"/>
        <v>0.30769230769230771</v>
      </c>
      <c r="V8" s="155">
        <f t="shared" si="5"/>
        <v>0.12121212121212122</v>
      </c>
      <c r="W8" s="156">
        <f t="shared" si="6"/>
        <v>0.60606060606060608</v>
      </c>
      <c r="X8" s="156">
        <f t="shared" si="7"/>
        <v>0.27272727272727271</v>
      </c>
      <c r="Y8" s="157">
        <f t="shared" si="8"/>
        <v>0.38490606060606058</v>
      </c>
      <c r="Z8" s="158">
        <f t="shared" si="9"/>
        <v>0.12121212121212122</v>
      </c>
      <c r="AA8" s="155"/>
      <c r="AB8" s="156"/>
      <c r="AC8" s="156"/>
      <c r="AD8" s="157"/>
      <c r="AE8" s="158"/>
      <c r="AF8" s="160"/>
      <c r="AG8" s="161"/>
      <c r="AH8" s="161"/>
      <c r="AI8" s="161"/>
      <c r="AJ8" s="162"/>
      <c r="AK8" s="155">
        <f t="shared" si="10"/>
        <v>3.2044155672305377E-3</v>
      </c>
      <c r="AL8" s="156">
        <f t="shared" si="11"/>
        <v>9.6132467016916134E-2</v>
      </c>
      <c r="AM8" s="156">
        <f t="shared" si="12"/>
        <v>0.90066311741585336</v>
      </c>
      <c r="AN8" s="157">
        <f t="shared" si="13"/>
        <v>1.041845931228605</v>
      </c>
      <c r="AO8" s="158">
        <f t="shared" si="14"/>
        <v>3.2044155672305377E-3</v>
      </c>
      <c r="AP8" s="159">
        <f t="shared" si="15"/>
        <v>0.967741935483871</v>
      </c>
      <c r="AQ8" s="159">
        <f t="shared" si="16"/>
        <v>0.64967105263157898</v>
      </c>
      <c r="AR8" s="154"/>
      <c r="AS8" s="154"/>
      <c r="AT8" s="159">
        <f t="shared" si="17"/>
        <v>2.0566154181488834</v>
      </c>
      <c r="AU8" s="159">
        <f t="shared" si="18"/>
        <v>1.3248329103366059</v>
      </c>
    </row>
    <row r="9" spans="1:49">
      <c r="B9" s="154" t="s">
        <v>31</v>
      </c>
      <c r="C9" s="154"/>
      <c r="D9" s="154">
        <v>17000</v>
      </c>
      <c r="E9" s="154">
        <v>14000</v>
      </c>
      <c r="F9" s="154">
        <v>10000</v>
      </c>
      <c r="G9" s="154">
        <v>2000</v>
      </c>
      <c r="H9" s="154">
        <v>20</v>
      </c>
      <c r="I9" s="154">
        <v>250</v>
      </c>
      <c r="J9" s="154"/>
      <c r="K9" s="154">
        <v>90</v>
      </c>
      <c r="L9" s="154">
        <v>15</v>
      </c>
      <c r="M9" s="154"/>
      <c r="N9" s="154"/>
      <c r="O9" s="154"/>
      <c r="P9" s="154"/>
      <c r="Q9" s="155">
        <f t="shared" si="0"/>
        <v>0</v>
      </c>
      <c r="R9" s="156">
        <f t="shared" si="1"/>
        <v>0</v>
      </c>
      <c r="S9" s="156">
        <f t="shared" si="2"/>
        <v>1</v>
      </c>
      <c r="T9" s="157">
        <f t="shared" si="3"/>
        <v>1.1547000000000001</v>
      </c>
      <c r="U9" s="158">
        <f t="shared" si="4"/>
        <v>0</v>
      </c>
      <c r="V9" s="155">
        <f t="shared" si="5"/>
        <v>0</v>
      </c>
      <c r="W9" s="156">
        <f t="shared" si="6"/>
        <v>0.4</v>
      </c>
      <c r="X9" s="156">
        <f t="shared" si="7"/>
        <v>0.6</v>
      </c>
      <c r="Y9" s="157">
        <f t="shared" si="8"/>
        <v>0.69281999999999999</v>
      </c>
      <c r="Z9" s="158">
        <f t="shared" si="9"/>
        <v>0</v>
      </c>
      <c r="AA9" s="155"/>
      <c r="AB9" s="156"/>
      <c r="AC9" s="156"/>
      <c r="AD9" s="157"/>
      <c r="AE9" s="158"/>
      <c r="AF9" s="160"/>
      <c r="AG9" s="161"/>
      <c r="AH9" s="161"/>
      <c r="AI9" s="161"/>
      <c r="AJ9" s="162"/>
      <c r="AK9" s="155">
        <f t="shared" si="10"/>
        <v>8.4274665002873034E-2</v>
      </c>
      <c r="AL9" s="156">
        <f t="shared" si="11"/>
        <v>0.69402665296483679</v>
      </c>
      <c r="AM9" s="156">
        <f t="shared" si="12"/>
        <v>0.22169868203229015</v>
      </c>
      <c r="AN9" s="157">
        <f t="shared" si="13"/>
        <v>0.30465565971534431</v>
      </c>
      <c r="AO9" s="158">
        <f t="shared" si="14"/>
        <v>8.4274665002873034E-2</v>
      </c>
      <c r="AP9" s="159">
        <f t="shared" si="15"/>
        <v>0.89171974522292996</v>
      </c>
      <c r="AQ9" s="159">
        <f t="shared" si="16"/>
        <v>0.66666666666666663</v>
      </c>
      <c r="AR9" s="154"/>
      <c r="AS9" s="154"/>
      <c r="AT9" s="159">
        <f t="shared" si="17"/>
        <v>4.9912260756924951</v>
      </c>
      <c r="AU9" s="159">
        <f t="shared" si="18"/>
        <v>4.2922560713564764</v>
      </c>
    </row>
    <row r="10" spans="1:49">
      <c r="B10" s="154" t="s">
        <v>32</v>
      </c>
      <c r="C10" s="154"/>
      <c r="D10" s="154">
        <v>12000</v>
      </c>
      <c r="E10" s="154">
        <v>38000</v>
      </c>
      <c r="F10" s="154">
        <v>22000</v>
      </c>
      <c r="G10" s="154">
        <v>33000</v>
      </c>
      <c r="H10" s="154">
        <v>250</v>
      </c>
      <c r="I10" s="154">
        <v>450</v>
      </c>
      <c r="J10" s="154"/>
      <c r="K10" s="154">
        <v>220</v>
      </c>
      <c r="L10" s="154">
        <v>50</v>
      </c>
      <c r="M10" s="154">
        <v>3</v>
      </c>
      <c r="N10" s="154">
        <v>140</v>
      </c>
      <c r="O10" s="154"/>
      <c r="P10" s="154"/>
      <c r="Q10" s="155">
        <f t="shared" si="0"/>
        <v>0</v>
      </c>
      <c r="R10" s="156">
        <f t="shared" si="1"/>
        <v>0</v>
      </c>
      <c r="S10" s="156">
        <f t="shared" si="2"/>
        <v>1</v>
      </c>
      <c r="T10" s="157">
        <f t="shared" si="3"/>
        <v>1.1547000000000001</v>
      </c>
      <c r="U10" s="158">
        <f t="shared" si="4"/>
        <v>0</v>
      </c>
      <c r="V10" s="155">
        <f t="shared" si="5"/>
        <v>0</v>
      </c>
      <c r="W10" s="156">
        <f t="shared" si="6"/>
        <v>0.47619047619047616</v>
      </c>
      <c r="X10" s="156">
        <f t="shared" si="7"/>
        <v>0.52380952380952384</v>
      </c>
      <c r="Y10" s="157">
        <f t="shared" si="8"/>
        <v>0.60484285714285724</v>
      </c>
      <c r="Z10" s="158">
        <f t="shared" si="9"/>
        <v>0</v>
      </c>
      <c r="AA10" s="155">
        <f t="shared" si="19"/>
        <v>7.8125E-2</v>
      </c>
      <c r="AB10" s="156">
        <f t="shared" si="20"/>
        <v>0.875</v>
      </c>
      <c r="AC10" s="156">
        <f t="shared" si="21"/>
        <v>4.6875E-2</v>
      </c>
      <c r="AD10" s="157">
        <f t="shared" si="22"/>
        <v>9.923593750000001E-2</v>
      </c>
      <c r="AE10" s="158">
        <f t="shared" si="23"/>
        <v>7.8125E-2</v>
      </c>
      <c r="AF10" s="160"/>
      <c r="AG10" s="161"/>
      <c r="AH10" s="161"/>
      <c r="AI10" s="161"/>
      <c r="AJ10" s="162"/>
      <c r="AK10" s="155">
        <f t="shared" si="10"/>
        <v>2.091834967388621E-2</v>
      </c>
      <c r="AL10" s="156">
        <f t="shared" si="11"/>
        <v>0.66241440633973003</v>
      </c>
      <c r="AM10" s="156">
        <f t="shared" si="12"/>
        <v>0.31666724398638368</v>
      </c>
      <c r="AN10" s="157">
        <f t="shared" si="13"/>
        <v>0.37773392173277914</v>
      </c>
      <c r="AO10" s="158">
        <f t="shared" si="14"/>
        <v>2.091834967388621E-2</v>
      </c>
      <c r="AP10" s="159">
        <f t="shared" si="15"/>
        <v>0.96938775510204078</v>
      </c>
      <c r="AQ10" s="159">
        <f t="shared" si="16"/>
        <v>0.9375</v>
      </c>
      <c r="AR10" s="154"/>
      <c r="AS10" s="154"/>
      <c r="AT10" s="159">
        <f t="shared" si="17"/>
        <v>4.6410532533557332</v>
      </c>
      <c r="AU10" s="159">
        <f t="shared" si="18"/>
        <v>4.8171445124114136</v>
      </c>
    </row>
    <row r="11" spans="1:49">
      <c r="B11" s="154" t="s">
        <v>33</v>
      </c>
      <c r="C11" s="154"/>
      <c r="D11" s="154">
        <v>10561</v>
      </c>
      <c r="E11" s="154">
        <v>380</v>
      </c>
      <c r="F11" s="154">
        <v>400</v>
      </c>
      <c r="G11" s="154">
        <v>1272</v>
      </c>
      <c r="H11" s="154">
        <v>8</v>
      </c>
      <c r="I11" s="154">
        <v>0.03</v>
      </c>
      <c r="J11" s="154">
        <v>18980</v>
      </c>
      <c r="K11" s="154">
        <v>4.5999999999999996</v>
      </c>
      <c r="L11" s="154">
        <v>0.17</v>
      </c>
      <c r="M11" s="154">
        <v>5.0000000000000001E-4</v>
      </c>
      <c r="N11" s="154">
        <v>0.12</v>
      </c>
      <c r="O11" s="154">
        <v>1.4</v>
      </c>
      <c r="P11" s="154"/>
      <c r="Q11" s="163">
        <f t="shared" si="0"/>
        <v>0.9921589127025614</v>
      </c>
      <c r="R11" s="164">
        <f t="shared" si="1"/>
        <v>1.8295870360690017E-3</v>
      </c>
      <c r="S11" s="164">
        <f t="shared" si="2"/>
        <v>6.0115002613695756E-3</v>
      </c>
      <c r="T11" s="165">
        <f t="shared" si="3"/>
        <v>0.57981403554626243</v>
      </c>
      <c r="U11" s="166">
        <f t="shared" si="4"/>
        <v>0.9921589127025614</v>
      </c>
      <c r="V11" s="155">
        <f t="shared" si="5"/>
        <v>0.99309334449560482</v>
      </c>
      <c r="W11" s="156">
        <f t="shared" si="6"/>
        <v>8.8949351192967767E-4</v>
      </c>
      <c r="X11" s="156">
        <f t="shared" si="7"/>
        <v>6.0171619924654658E-3</v>
      </c>
      <c r="Y11" s="157">
        <f t="shared" si="8"/>
        <v>0.58036011406446208</v>
      </c>
      <c r="Z11" s="158">
        <f t="shared" si="9"/>
        <v>0.99309334449560482</v>
      </c>
      <c r="AA11" s="155">
        <f t="shared" si="19"/>
        <v>0.25954198473282442</v>
      </c>
      <c r="AB11" s="156">
        <f t="shared" si="20"/>
        <v>0.73282442748091592</v>
      </c>
      <c r="AC11" s="156">
        <f t="shared" si="21"/>
        <v>7.6335877862595417E-3</v>
      </c>
      <c r="AD11" s="157">
        <f t="shared" si="22"/>
        <v>0.15867404580152672</v>
      </c>
      <c r="AE11" s="158">
        <f t="shared" si="23"/>
        <v>0.25954198473282442</v>
      </c>
      <c r="AF11" s="160"/>
      <c r="AG11" s="161"/>
      <c r="AH11" s="161"/>
      <c r="AI11" s="161"/>
      <c r="AJ11" s="162"/>
      <c r="AK11" s="155">
        <f t="shared" si="10"/>
        <v>0.21110976270303922</v>
      </c>
      <c r="AL11" s="156">
        <f t="shared" si="11"/>
        <v>7.5960335031867152E-2</v>
      </c>
      <c r="AM11" s="156">
        <f t="shared" si="12"/>
        <v>0.71292990226509356</v>
      </c>
      <c r="AN11" s="157">
        <f t="shared" si="13"/>
        <v>0.94511493513023836</v>
      </c>
      <c r="AO11" s="158">
        <f t="shared" si="14"/>
        <v>0.21110976270303922</v>
      </c>
      <c r="AP11" s="159">
        <f t="shared" si="15"/>
        <v>0.26460552886289257</v>
      </c>
      <c r="AQ11" s="159">
        <f t="shared" si="16"/>
        <v>0.96951219512195119</v>
      </c>
      <c r="AR11" s="154"/>
      <c r="AS11" s="154"/>
      <c r="AT11" s="159">
        <f t="shared" si="17"/>
        <v>2.0550800819212252</v>
      </c>
      <c r="AU11" s="159">
        <f t="shared" si="18"/>
        <v>2.5575072019056577</v>
      </c>
    </row>
    <row r="12" spans="1:49">
      <c r="Q12" s="38"/>
      <c r="R12" s="38"/>
      <c r="S12" s="38"/>
      <c r="T12" s="39"/>
      <c r="U12" s="39"/>
      <c r="V12" s="111"/>
      <c r="W12" s="38"/>
      <c r="X12" s="38"/>
      <c r="Y12" s="39"/>
      <c r="Z12" s="40"/>
      <c r="AA12" s="111"/>
      <c r="AB12" s="38"/>
      <c r="AC12" s="38"/>
      <c r="AD12" s="39"/>
      <c r="AE12" s="40"/>
      <c r="AF12" s="112"/>
      <c r="AG12" s="42"/>
      <c r="AH12" s="42"/>
      <c r="AI12" s="42"/>
      <c r="AJ12" s="113"/>
      <c r="AK12" s="112"/>
      <c r="AL12" s="42"/>
      <c r="AM12" s="42"/>
      <c r="AN12" s="42"/>
      <c r="AO12" s="113"/>
      <c r="AP12" s="19"/>
      <c r="AQ12" s="19"/>
    </row>
    <row r="13" spans="1:49">
      <c r="A13" s="31" t="s">
        <v>154</v>
      </c>
      <c r="B13" s="94"/>
      <c r="C13" s="94"/>
      <c r="D13" s="94"/>
      <c r="E13" s="94"/>
      <c r="F13" s="94"/>
      <c r="G13" s="94"/>
      <c r="H13" s="94"/>
      <c r="I13" s="94"/>
      <c r="J13" s="94"/>
      <c r="K13" s="94"/>
      <c r="L13" s="94">
        <v>0</v>
      </c>
      <c r="M13" s="94">
        <v>0</v>
      </c>
      <c r="N13" s="94">
        <v>1</v>
      </c>
      <c r="O13" s="94"/>
      <c r="P13" s="94"/>
      <c r="Q13" s="122"/>
      <c r="R13" s="122"/>
      <c r="S13" s="122"/>
      <c r="T13" s="96"/>
      <c r="U13" s="96"/>
      <c r="V13" s="123"/>
      <c r="W13" s="122"/>
      <c r="X13" s="122"/>
      <c r="Y13" s="96"/>
      <c r="Z13" s="97"/>
      <c r="AA13" s="123">
        <f>(L13*AA$3)/($L13*$AA$3+$N13*$AB$3+$M13*$AC$3)</f>
        <v>0</v>
      </c>
      <c r="AB13" s="122">
        <f>(N13*AB$3)/($L13*$AA$3+$N13*$AB$3+$M13*$AC$3)</f>
        <v>1</v>
      </c>
      <c r="AC13" s="122">
        <f>(M13*AC$3)/($L13*$AA$3+$N13*$AB$3+$M13*$AC$3)</f>
        <v>0</v>
      </c>
      <c r="AD13" s="96">
        <f>0.5774*AA13+1.1547*AC13</f>
        <v>0</v>
      </c>
      <c r="AE13" s="97">
        <f>AA13</f>
        <v>0</v>
      </c>
      <c r="AF13" s="112"/>
      <c r="AG13" s="42"/>
      <c r="AH13" s="42"/>
      <c r="AI13" s="42"/>
      <c r="AJ13" s="113"/>
      <c r="AK13" s="112"/>
      <c r="AL13" s="42"/>
      <c r="AM13" s="42"/>
      <c r="AN13" s="42"/>
      <c r="AO13" s="113"/>
      <c r="AP13" s="19"/>
      <c r="AQ13" s="19"/>
    </row>
    <row r="14" spans="1:49">
      <c r="B14" s="94" t="s">
        <v>34</v>
      </c>
      <c r="C14" s="94"/>
      <c r="D14" s="94"/>
      <c r="E14" s="94"/>
      <c r="F14" s="94"/>
      <c r="G14" s="94"/>
      <c r="H14" s="94"/>
      <c r="I14" s="94"/>
      <c r="J14" s="94"/>
      <c r="K14" s="94"/>
      <c r="L14" s="94">
        <v>40</v>
      </c>
      <c r="M14" s="94">
        <v>5</v>
      </c>
      <c r="N14" s="94">
        <v>0</v>
      </c>
      <c r="O14" s="94"/>
      <c r="P14" s="94"/>
      <c r="Q14" s="94"/>
      <c r="R14" s="94"/>
      <c r="S14" s="94"/>
      <c r="T14" s="94"/>
      <c r="U14" s="94"/>
      <c r="V14" s="124"/>
      <c r="W14" s="95"/>
      <c r="X14" s="95"/>
      <c r="Y14" s="95"/>
      <c r="Z14" s="125"/>
      <c r="AA14" s="123">
        <f>(L14*AA$3)/($L14*$AA$3+$N14*$AB$3+$M14*$AC$3)</f>
        <v>0.44444444444444442</v>
      </c>
      <c r="AB14" s="122">
        <f>(N14*AB$3)/($L14*$AA$3+$N14*$AB$3+$M14*$AC$3)</f>
        <v>0</v>
      </c>
      <c r="AC14" s="122">
        <f>(M14*AC$3)/($L14*$AA$3+$N14*$AB$3+$M14*$AC$3)</f>
        <v>0.55555555555555558</v>
      </c>
      <c r="AD14" s="96">
        <f>0.5774*AA14+1.1547*AC14</f>
        <v>0.89812222222222227</v>
      </c>
      <c r="AE14" s="97">
        <f>AA14</f>
        <v>0.44444444444444442</v>
      </c>
      <c r="AF14" s="112"/>
      <c r="AG14" s="42"/>
      <c r="AH14" s="42"/>
      <c r="AI14" s="42"/>
      <c r="AJ14" s="113"/>
      <c r="AK14" s="112"/>
      <c r="AL14" s="42"/>
      <c r="AM14" s="42"/>
      <c r="AN14" s="42"/>
      <c r="AO14" s="113"/>
      <c r="AP14" s="19"/>
      <c r="AQ14" s="19"/>
    </row>
    <row r="15" spans="1:49">
      <c r="B15" s="94"/>
      <c r="C15" s="94"/>
      <c r="D15" s="94"/>
      <c r="E15" s="94"/>
      <c r="F15" s="94"/>
      <c r="G15" s="94"/>
      <c r="H15" s="94"/>
      <c r="I15" s="94"/>
      <c r="J15" s="94"/>
      <c r="K15" s="94"/>
      <c r="L15" s="94">
        <v>0</v>
      </c>
      <c r="M15" s="94">
        <v>0</v>
      </c>
      <c r="N15" s="94">
        <v>1</v>
      </c>
      <c r="O15" s="94"/>
      <c r="P15" s="94"/>
      <c r="Q15" s="94"/>
      <c r="R15" s="94"/>
      <c r="S15" s="94"/>
      <c r="T15" s="94"/>
      <c r="U15" s="94"/>
      <c r="V15" s="124"/>
      <c r="W15" s="95"/>
      <c r="X15" s="95"/>
      <c r="Y15" s="95"/>
      <c r="Z15" s="125"/>
      <c r="AA15" s="123">
        <f>(L15*AA$3)/($L15*$AA$3+$N15*$AB$3+$M15*$AC$3)</f>
        <v>0</v>
      </c>
      <c r="AB15" s="122">
        <f>(N15*AB$3)/($L15*$AA$3+$N15*$AB$3+$M15*$AC$3)</f>
        <v>1</v>
      </c>
      <c r="AC15" s="122">
        <f>(M15*AC$3)/($L15*$AA$3+$N15*$AB$3+$M15*$AC$3)</f>
        <v>0</v>
      </c>
      <c r="AD15" s="96">
        <f>0.5774*AA15+1.1547*AC15</f>
        <v>0</v>
      </c>
      <c r="AE15" s="97">
        <f>AA15</f>
        <v>0</v>
      </c>
      <c r="AF15" s="112"/>
      <c r="AG15" s="42"/>
      <c r="AH15" s="42"/>
      <c r="AI15" s="42"/>
      <c r="AJ15" s="113"/>
      <c r="AK15" s="112"/>
      <c r="AL15" s="42"/>
      <c r="AM15" s="42"/>
      <c r="AN15" s="42"/>
      <c r="AO15" s="113"/>
      <c r="AP15" s="19"/>
      <c r="AQ15" s="19"/>
    </row>
    <row r="16" spans="1:49">
      <c r="B16" s="94" t="s">
        <v>35</v>
      </c>
      <c r="C16" s="94"/>
      <c r="D16" s="94"/>
      <c r="E16" s="94"/>
      <c r="F16" s="94"/>
      <c r="G16" s="94"/>
      <c r="H16" s="94"/>
      <c r="I16" s="94"/>
      <c r="J16" s="94"/>
      <c r="K16" s="94"/>
      <c r="L16" s="94">
        <v>16</v>
      </c>
      <c r="M16" s="94">
        <v>0.5</v>
      </c>
      <c r="N16" s="94">
        <v>0</v>
      </c>
      <c r="O16" s="94"/>
      <c r="P16" s="94"/>
      <c r="Q16" s="94"/>
      <c r="R16" s="94"/>
      <c r="S16" s="94"/>
      <c r="T16" s="94"/>
      <c r="U16" s="94"/>
      <c r="V16" s="124"/>
      <c r="W16" s="95"/>
      <c r="X16" s="95"/>
      <c r="Y16" s="95"/>
      <c r="Z16" s="125"/>
      <c r="AA16" s="126">
        <f>(L16*AA$3)/($L16*$AA$3+$N16*$AB$3+$M16*$AC$3)</f>
        <v>0.76190476190476186</v>
      </c>
      <c r="AB16" s="127">
        <f>(N16*AB$3)/($L16*$AA$3+$N16*$AB$3+$M16*$AC$3)</f>
        <v>0</v>
      </c>
      <c r="AC16" s="127">
        <f>(M16*AC$3)/($L16*$AA$3+$N16*$AB$3+$M16*$AC$3)</f>
        <v>0.23809523809523808</v>
      </c>
      <c r="AD16" s="119">
        <f>0.5774*AA16+1.1547*AC16</f>
        <v>0.71485238095238091</v>
      </c>
      <c r="AE16" s="120">
        <f>AA16</f>
        <v>0.76190476190476186</v>
      </c>
      <c r="AF16" s="112"/>
      <c r="AG16" s="42"/>
      <c r="AH16" s="42"/>
      <c r="AI16" s="42"/>
      <c r="AJ16" s="113"/>
      <c r="AK16" s="112"/>
      <c r="AL16" s="42"/>
      <c r="AM16" s="42"/>
      <c r="AN16" s="42"/>
      <c r="AO16" s="113"/>
      <c r="AP16" s="19"/>
      <c r="AQ16" s="19"/>
    </row>
    <row r="17" spans="1:46">
      <c r="B17" s="133"/>
      <c r="C17" s="133"/>
      <c r="D17" s="133"/>
      <c r="E17" s="133"/>
      <c r="F17" s="133"/>
      <c r="G17" s="133"/>
      <c r="H17" s="133"/>
      <c r="I17" s="133"/>
      <c r="J17" s="133">
        <v>0</v>
      </c>
      <c r="K17" s="133">
        <v>0</v>
      </c>
      <c r="L17" s="133">
        <v>1</v>
      </c>
      <c r="M17" s="133"/>
      <c r="N17" s="133"/>
      <c r="O17" s="133"/>
      <c r="P17" s="133"/>
      <c r="Q17" s="133"/>
      <c r="R17" s="133"/>
      <c r="S17" s="133"/>
      <c r="T17" s="133"/>
      <c r="U17" s="133"/>
      <c r="V17" s="134">
        <f>(J17*V$3)/($J17*$V$3+$L17*$W$3+$K17*$X$3)</f>
        <v>0</v>
      </c>
      <c r="W17" s="135">
        <f>(L17*W$3)/($J17*$V$3+$L17*$W$3+$K17*$X$3)</f>
        <v>1</v>
      </c>
      <c r="X17" s="135">
        <f>(K17*X$3)/($J17*$V$3+$L17*$W$3+$K17*$X$3)</f>
        <v>0</v>
      </c>
      <c r="Y17" s="136">
        <f>0.5774*V17+1.1547*X17</f>
        <v>0</v>
      </c>
      <c r="Z17" s="137">
        <f>V17</f>
        <v>0</v>
      </c>
      <c r="AF17" s="112"/>
      <c r="AG17" s="42"/>
      <c r="AH17" s="42"/>
      <c r="AI17" s="42"/>
      <c r="AJ17" s="113"/>
      <c r="AK17" s="112"/>
      <c r="AL17" s="42"/>
      <c r="AM17" s="42"/>
      <c r="AN17" s="42"/>
      <c r="AO17" s="113"/>
      <c r="AP17" s="19"/>
      <c r="AQ17" s="19"/>
    </row>
    <row r="18" spans="1:46">
      <c r="B18" s="133" t="s">
        <v>36</v>
      </c>
      <c r="C18" s="133"/>
      <c r="D18" s="133"/>
      <c r="E18" s="133"/>
      <c r="F18" s="133"/>
      <c r="G18" s="133"/>
      <c r="H18" s="133"/>
      <c r="I18" s="133"/>
      <c r="J18" s="133">
        <v>540</v>
      </c>
      <c r="K18" s="133">
        <v>15</v>
      </c>
      <c r="L18" s="133">
        <v>0</v>
      </c>
      <c r="M18" s="133"/>
      <c r="N18" s="133"/>
      <c r="O18" s="133"/>
      <c r="P18" s="133"/>
      <c r="Q18" s="133"/>
      <c r="R18" s="133"/>
      <c r="S18" s="133"/>
      <c r="T18" s="133"/>
      <c r="U18" s="133"/>
      <c r="V18" s="134">
        <f>(J18*V$3)/($J18*$V$3+$L18*$W$3+$K18*$X$3)</f>
        <v>0.5901639344262295</v>
      </c>
      <c r="W18" s="135">
        <f>(L18*W$3)/($J18*$V$3+$L18*$W$3+$K18*$X$3)</f>
        <v>0</v>
      </c>
      <c r="X18" s="135">
        <f>(K18*X$3)/($J18*$V$3+$L18*$W$3+$K18*$X$3)</f>
        <v>0.4098360655737705</v>
      </c>
      <c r="Y18" s="136">
        <f>0.5774*V18+1.1547*X18</f>
        <v>0.81399836065573772</v>
      </c>
      <c r="Z18" s="137">
        <f>V18</f>
        <v>0.5901639344262295</v>
      </c>
      <c r="AF18" s="112"/>
      <c r="AG18" s="42"/>
      <c r="AH18" s="42"/>
      <c r="AI18" s="42"/>
      <c r="AJ18" s="113"/>
      <c r="AK18" s="112"/>
      <c r="AL18" s="42"/>
      <c r="AM18" s="42"/>
      <c r="AN18" s="42"/>
      <c r="AO18" s="113"/>
      <c r="AP18" s="19"/>
      <c r="AQ18" s="19"/>
    </row>
    <row r="19" spans="1:46">
      <c r="B19" s="133"/>
      <c r="C19" s="133"/>
      <c r="D19" s="133"/>
      <c r="E19" s="133"/>
      <c r="F19" s="133"/>
      <c r="G19" s="133"/>
      <c r="H19" s="133"/>
      <c r="I19" s="133"/>
      <c r="J19" s="133">
        <v>0</v>
      </c>
      <c r="K19" s="133">
        <v>0</v>
      </c>
      <c r="L19" s="133">
        <v>1</v>
      </c>
      <c r="M19" s="133"/>
      <c r="N19" s="133"/>
      <c r="O19" s="133"/>
      <c r="P19" s="133"/>
      <c r="Q19" s="133"/>
      <c r="R19" s="133"/>
      <c r="S19" s="133"/>
      <c r="T19" s="133"/>
      <c r="U19" s="133"/>
      <c r="V19" s="134">
        <f>(J19*V$3)/($J19*$V$3+$L19*$W$3+$K19*$X$3)</f>
        <v>0</v>
      </c>
      <c r="W19" s="135">
        <f>(L19*W$3)/($J19*$V$3+$L19*$W$3+$K19*$X$3)</f>
        <v>1</v>
      </c>
      <c r="X19" s="135">
        <f>(K19*X$3)/($J19*$V$3+$L19*$W$3+$K19*$X$3)</f>
        <v>0</v>
      </c>
      <c r="Y19" s="136">
        <f>0.5774*V19+1.1547*X19</f>
        <v>0</v>
      </c>
      <c r="Z19" s="137">
        <f>V19</f>
        <v>0</v>
      </c>
      <c r="AF19" s="112"/>
      <c r="AG19" s="42"/>
      <c r="AH19" s="42"/>
      <c r="AI19" s="42"/>
      <c r="AJ19" s="113"/>
      <c r="AK19" s="112"/>
      <c r="AL19" s="42"/>
      <c r="AM19" s="42"/>
      <c r="AN19" s="42"/>
      <c r="AO19" s="113"/>
      <c r="AP19" s="19"/>
      <c r="AQ19" s="19"/>
    </row>
    <row r="20" spans="1:46">
      <c r="A20" s="121"/>
      <c r="B20" s="138" t="s">
        <v>35</v>
      </c>
      <c r="C20" s="138"/>
      <c r="D20" s="138"/>
      <c r="E20" s="138"/>
      <c r="F20" s="138"/>
      <c r="G20" s="138"/>
      <c r="H20" s="138"/>
      <c r="I20" s="138"/>
      <c r="J20" s="138">
        <v>230</v>
      </c>
      <c r="K20" s="138">
        <v>13</v>
      </c>
      <c r="L20" s="138">
        <v>0</v>
      </c>
      <c r="M20" s="138"/>
      <c r="N20" s="138"/>
      <c r="O20" s="138"/>
      <c r="P20" s="138"/>
      <c r="Q20" s="138"/>
      <c r="R20" s="138"/>
      <c r="S20" s="138"/>
      <c r="T20" s="138"/>
      <c r="U20" s="138"/>
      <c r="V20" s="139">
        <f>(J20*V$3)/($J20*$V$3+$L20*$W$3+$K20*$X$3)</f>
        <v>0.4144144144144144</v>
      </c>
      <c r="W20" s="140">
        <f>(L20*W$3)/($J20*$V$3+$L20*$W$3+$K20*$X$3)</f>
        <v>0</v>
      </c>
      <c r="X20" s="140">
        <f>(K20*X$3)/($J20*$V$3+$L20*$W$3+$K20*$X$3)</f>
        <v>0.5855855855855856</v>
      </c>
      <c r="Y20" s="141">
        <f>0.5774*V20+1.1547*X20</f>
        <v>0.91545855855855862</v>
      </c>
      <c r="Z20" s="142">
        <f>V20</f>
        <v>0.4144144144144144</v>
      </c>
      <c r="AF20" s="112"/>
      <c r="AG20" s="42"/>
      <c r="AH20" s="42"/>
      <c r="AI20" s="42"/>
      <c r="AJ20" s="113"/>
      <c r="AK20" s="112"/>
      <c r="AL20" s="42"/>
      <c r="AM20" s="42"/>
      <c r="AN20" s="42"/>
      <c r="AO20" s="113"/>
      <c r="AP20" s="19"/>
      <c r="AQ20" s="19"/>
    </row>
    <row r="21" spans="1:46">
      <c r="B21" s="41"/>
      <c r="C21" s="41"/>
      <c r="D21" s="41"/>
      <c r="F21" s="41"/>
      <c r="G21" s="41"/>
      <c r="L21" s="42"/>
      <c r="M21" s="42"/>
      <c r="N21" s="42"/>
      <c r="O21" s="42"/>
      <c r="P21" s="42"/>
      <c r="Q21" s="39"/>
      <c r="R21" s="39"/>
      <c r="S21" s="42"/>
      <c r="V21" s="42"/>
      <c r="W21" s="39"/>
      <c r="X21" s="39"/>
      <c r="AE21" s="23" t="s">
        <v>148</v>
      </c>
      <c r="AF21" s="112"/>
      <c r="AG21" s="42"/>
      <c r="AH21" s="42"/>
      <c r="AI21" s="42"/>
      <c r="AJ21" s="113"/>
      <c r="AK21" s="112"/>
      <c r="AL21" s="42"/>
      <c r="AM21" s="42"/>
      <c r="AN21" s="42"/>
      <c r="AO21" s="113"/>
    </row>
    <row r="22" spans="1:46" s="98" customFormat="1">
      <c r="C22" s="100"/>
      <c r="D22" s="100"/>
      <c r="F22" s="100"/>
      <c r="G22" s="100"/>
      <c r="L22" s="102"/>
      <c r="M22" s="102"/>
      <c r="N22" s="102"/>
      <c r="O22" s="102"/>
      <c r="P22" s="102"/>
      <c r="Q22" s="101"/>
      <c r="R22" s="101"/>
      <c r="S22" s="102"/>
      <c r="V22" s="102"/>
      <c r="W22" s="101"/>
      <c r="X22" s="101"/>
      <c r="Y22" s="102"/>
      <c r="AE22" s="143" t="s">
        <v>17</v>
      </c>
      <c r="AF22" s="144">
        <v>0.5</v>
      </c>
      <c r="AG22" s="145">
        <v>0.5</v>
      </c>
      <c r="AH22" s="145">
        <v>0</v>
      </c>
      <c r="AI22" s="146">
        <f t="shared" ref="AI22:AI30" si="24">0.5774*AF22+1.1547*AH22</f>
        <v>0.28870000000000001</v>
      </c>
      <c r="AJ22" s="147">
        <f t="shared" ref="AJ22:AJ30" si="25">AF22</f>
        <v>0.5</v>
      </c>
      <c r="AK22" s="114"/>
      <c r="AL22" s="102"/>
      <c r="AM22" s="102"/>
      <c r="AN22" s="102"/>
      <c r="AO22" s="115"/>
    </row>
    <row r="23" spans="1:46" s="98" customFormat="1">
      <c r="L23" s="102"/>
      <c r="M23" s="102"/>
      <c r="N23" s="102"/>
      <c r="O23" s="102"/>
      <c r="P23" s="102"/>
      <c r="Q23" s="102"/>
      <c r="R23" s="102"/>
      <c r="S23" s="102"/>
      <c r="V23" s="102"/>
      <c r="W23" s="102"/>
      <c r="X23" s="102"/>
      <c r="Y23" s="102"/>
      <c r="AE23" s="148"/>
      <c r="AF23" s="144">
        <v>0.33</v>
      </c>
      <c r="AG23" s="145">
        <v>0.33</v>
      </c>
      <c r="AH23" s="145">
        <v>0.33</v>
      </c>
      <c r="AI23" s="146">
        <f t="shared" si="24"/>
        <v>0.57159300000000002</v>
      </c>
      <c r="AJ23" s="147">
        <f t="shared" si="25"/>
        <v>0.33</v>
      </c>
      <c r="AK23" s="114"/>
      <c r="AL23" s="102"/>
      <c r="AM23" s="102"/>
      <c r="AN23" s="102"/>
      <c r="AO23" s="115"/>
    </row>
    <row r="24" spans="1:46" s="98" customFormat="1">
      <c r="A24" s="154" t="s">
        <v>151</v>
      </c>
      <c r="B24" s="154"/>
      <c r="C24" s="193"/>
      <c r="D24" s="103"/>
      <c r="L24" s="102"/>
      <c r="M24" s="102"/>
      <c r="N24" s="102"/>
      <c r="O24" s="102"/>
      <c r="P24" s="102"/>
      <c r="Q24" s="102"/>
      <c r="R24" s="102"/>
      <c r="S24" s="102"/>
      <c r="T24" s="104"/>
      <c r="U24" s="104"/>
      <c r="V24" s="104"/>
      <c r="W24" s="104"/>
      <c r="X24" s="104"/>
      <c r="Y24" s="102"/>
      <c r="AE24" s="148" t="s">
        <v>18</v>
      </c>
      <c r="AF24" s="144">
        <v>0</v>
      </c>
      <c r="AG24" s="145">
        <v>0.5</v>
      </c>
      <c r="AH24" s="145">
        <v>0.5</v>
      </c>
      <c r="AI24" s="146">
        <f t="shared" si="24"/>
        <v>0.57735000000000003</v>
      </c>
      <c r="AJ24" s="147">
        <f t="shared" si="25"/>
        <v>0</v>
      </c>
      <c r="AK24" s="114"/>
      <c r="AL24" s="102"/>
      <c r="AM24" s="102"/>
      <c r="AN24" s="102"/>
      <c r="AO24" s="115"/>
    </row>
    <row r="25" spans="1:46" s="98" customFormat="1">
      <c r="A25" s="198" t="s">
        <v>17</v>
      </c>
      <c r="B25" s="198" t="s">
        <v>77</v>
      </c>
      <c r="C25" s="194"/>
      <c r="D25" s="99"/>
      <c r="E25" s="99"/>
      <c r="F25" s="99"/>
      <c r="G25" s="99"/>
      <c r="L25" s="105"/>
      <c r="M25" s="102"/>
      <c r="N25" s="102"/>
      <c r="O25" s="102"/>
      <c r="P25" s="102"/>
      <c r="Q25" s="102"/>
      <c r="R25" s="102"/>
      <c r="S25" s="102"/>
      <c r="T25" s="101"/>
      <c r="U25" s="101"/>
      <c r="V25" s="101"/>
      <c r="W25" s="101"/>
      <c r="X25" s="101"/>
      <c r="Y25" s="102"/>
      <c r="AE25" s="148"/>
      <c r="AF25" s="144">
        <v>0.33</v>
      </c>
      <c r="AG25" s="145">
        <v>0.33</v>
      </c>
      <c r="AH25" s="145">
        <v>0.33</v>
      </c>
      <c r="AI25" s="146">
        <f t="shared" si="24"/>
        <v>0.57159300000000002</v>
      </c>
      <c r="AJ25" s="147">
        <f t="shared" si="25"/>
        <v>0.33</v>
      </c>
      <c r="AK25" s="114"/>
      <c r="AL25" s="102"/>
      <c r="AM25" s="102"/>
      <c r="AN25" s="102"/>
      <c r="AO25" s="115"/>
    </row>
    <row r="26" spans="1:46" s="98" customFormat="1">
      <c r="A26" s="154">
        <v>0</v>
      </c>
      <c r="B26" s="154">
        <v>2800</v>
      </c>
      <c r="C26" s="194"/>
      <c r="D26" s="99"/>
      <c r="E26" s="99"/>
      <c r="F26" s="99"/>
      <c r="G26" s="99"/>
      <c r="L26" s="105"/>
      <c r="M26" s="102"/>
      <c r="N26" s="102"/>
      <c r="O26" s="102"/>
      <c r="P26" s="102"/>
      <c r="Q26" s="102"/>
      <c r="R26" s="102"/>
      <c r="S26" s="102"/>
      <c r="T26" s="101"/>
      <c r="U26" s="101"/>
      <c r="V26" s="101"/>
      <c r="W26" s="101"/>
      <c r="X26" s="101"/>
      <c r="Y26" s="102"/>
      <c r="AE26" s="148" t="s">
        <v>37</v>
      </c>
      <c r="AF26" s="144">
        <v>0.5</v>
      </c>
      <c r="AG26" s="145">
        <v>0</v>
      </c>
      <c r="AH26" s="145">
        <v>0.5</v>
      </c>
      <c r="AI26" s="146">
        <f t="shared" si="24"/>
        <v>0.86604999999999999</v>
      </c>
      <c r="AJ26" s="147">
        <f t="shared" si="25"/>
        <v>0.5</v>
      </c>
      <c r="AK26" s="114"/>
      <c r="AL26" s="102"/>
      <c r="AM26" s="102"/>
      <c r="AN26" s="102"/>
      <c r="AO26" s="115"/>
    </row>
    <row r="27" spans="1:46" s="98" customFormat="1">
      <c r="C27" s="99"/>
      <c r="D27" s="99"/>
      <c r="E27" s="99"/>
      <c r="F27" s="99"/>
      <c r="G27" s="99"/>
      <c r="L27" s="105"/>
      <c r="M27" s="102"/>
      <c r="N27" s="102"/>
      <c r="O27" s="102"/>
      <c r="P27" s="102"/>
      <c r="Q27" s="102"/>
      <c r="R27" s="102"/>
      <c r="S27" s="102"/>
      <c r="T27" s="101"/>
      <c r="U27" s="101"/>
      <c r="V27" s="101"/>
      <c r="W27" s="101"/>
      <c r="X27" s="101"/>
      <c r="Y27" s="102"/>
      <c r="AE27" s="149"/>
      <c r="AF27" s="144">
        <v>0.33</v>
      </c>
      <c r="AG27" s="145">
        <v>0.33</v>
      </c>
      <c r="AH27" s="145">
        <v>0.33</v>
      </c>
      <c r="AI27" s="146">
        <f t="shared" si="24"/>
        <v>0.57159300000000002</v>
      </c>
      <c r="AJ27" s="147">
        <f t="shared" si="25"/>
        <v>0.33</v>
      </c>
      <c r="AK27" s="114"/>
      <c r="AL27" s="102"/>
      <c r="AM27" s="102"/>
      <c r="AN27" s="102"/>
      <c r="AO27" s="115"/>
    </row>
    <row r="28" spans="1:46" s="98" customFormat="1">
      <c r="C28" s="99"/>
      <c r="D28" s="99"/>
      <c r="E28" s="99"/>
      <c r="F28" s="99"/>
      <c r="G28" s="99"/>
      <c r="L28" s="100"/>
      <c r="T28" s="101"/>
      <c r="U28" s="101"/>
      <c r="V28" s="101"/>
      <c r="W28" s="101"/>
      <c r="X28" s="101"/>
      <c r="Y28" s="102"/>
      <c r="AE28" s="149" t="s">
        <v>52</v>
      </c>
      <c r="AF28" s="144">
        <v>0.92</v>
      </c>
      <c r="AG28" s="145">
        <v>0.08</v>
      </c>
      <c r="AH28" s="145">
        <v>0</v>
      </c>
      <c r="AI28" s="146">
        <f t="shared" si="24"/>
        <v>0.53120800000000001</v>
      </c>
      <c r="AJ28" s="147">
        <f t="shared" si="25"/>
        <v>0.92</v>
      </c>
      <c r="AK28" s="114"/>
      <c r="AL28" s="102"/>
      <c r="AM28" s="102"/>
      <c r="AN28" s="102"/>
      <c r="AO28" s="115"/>
    </row>
    <row r="29" spans="1:46">
      <c r="A29" s="31" t="s">
        <v>155</v>
      </c>
      <c r="B29" s="43"/>
      <c r="C29" s="43"/>
      <c r="D29" s="43"/>
      <c r="E29" s="43"/>
      <c r="F29" s="43"/>
      <c r="G29" s="43"/>
      <c r="H29" s="404" t="s">
        <v>124</v>
      </c>
      <c r="I29" s="406"/>
      <c r="J29" s="404" t="s">
        <v>125</v>
      </c>
      <c r="K29" s="405"/>
      <c r="L29" s="405"/>
      <c r="M29" s="405"/>
      <c r="N29" s="406"/>
      <c r="O29" s="404" t="s">
        <v>123</v>
      </c>
      <c r="P29" s="405"/>
      <c r="Q29" s="405"/>
      <c r="R29" s="406"/>
      <c r="T29" s="313" t="s">
        <v>265</v>
      </c>
      <c r="U29" s="23" t="s">
        <v>58</v>
      </c>
      <c r="V29" s="35" t="s">
        <v>59</v>
      </c>
      <c r="W29" s="23" t="s">
        <v>60</v>
      </c>
      <c r="X29" s="313" t="s">
        <v>283</v>
      </c>
      <c r="AB29" s="23" t="s">
        <v>157</v>
      </c>
      <c r="AE29" s="148"/>
      <c r="AF29" s="144">
        <v>0.6</v>
      </c>
      <c r="AG29" s="145">
        <v>0.08</v>
      </c>
      <c r="AH29" s="145">
        <v>0.32</v>
      </c>
      <c r="AI29" s="146">
        <f t="shared" si="24"/>
        <v>0.71594400000000002</v>
      </c>
      <c r="AJ29" s="147">
        <f t="shared" si="25"/>
        <v>0.6</v>
      </c>
      <c r="AK29" s="112"/>
      <c r="AL29" s="42"/>
      <c r="AM29" s="42"/>
      <c r="AN29" s="42"/>
      <c r="AO29" s="113"/>
    </row>
    <row r="30" spans="1:46" ht="14.25">
      <c r="B30" s="43"/>
      <c r="C30" s="43"/>
      <c r="D30" s="45" t="s">
        <v>42</v>
      </c>
      <c r="E30" s="45" t="s">
        <v>43</v>
      </c>
      <c r="F30" s="45" t="s">
        <v>14</v>
      </c>
      <c r="G30" s="45" t="s">
        <v>44</v>
      </c>
      <c r="H30" s="35" t="s">
        <v>122</v>
      </c>
      <c r="I30" s="35" t="s">
        <v>85</v>
      </c>
      <c r="J30" s="81">
        <v>1.0000000000000001E-5</v>
      </c>
      <c r="K30" s="82">
        <v>1E-4</v>
      </c>
      <c r="L30" s="81">
        <v>1E-3</v>
      </c>
      <c r="M30" s="23">
        <v>0.01</v>
      </c>
      <c r="N30" s="23">
        <v>0.1</v>
      </c>
      <c r="O30" s="81">
        <v>1.0000000000000001E-5</v>
      </c>
      <c r="P30" s="82">
        <v>1E-4</v>
      </c>
      <c r="Q30" s="81">
        <v>1E-3</v>
      </c>
      <c r="R30" s="23">
        <v>0.01</v>
      </c>
      <c r="T30" s="313" t="s">
        <v>45</v>
      </c>
      <c r="U30" s="35" t="s">
        <v>45</v>
      </c>
      <c r="V30" s="35" t="s">
        <v>45</v>
      </c>
      <c r="W30" s="35" t="s">
        <v>45</v>
      </c>
      <c r="X30" s="313" t="s">
        <v>284</v>
      </c>
      <c r="Y30" s="23" t="s">
        <v>83</v>
      </c>
      <c r="Z30" s="23" t="s">
        <v>84</v>
      </c>
      <c r="AB30" s="35" t="s">
        <v>122</v>
      </c>
      <c r="AC30" s="35" t="s">
        <v>85</v>
      </c>
      <c r="AE30" s="148"/>
      <c r="AF30" s="150">
        <v>0.6</v>
      </c>
      <c r="AG30" s="151">
        <v>0</v>
      </c>
      <c r="AH30" s="151">
        <v>0.4</v>
      </c>
      <c r="AI30" s="152">
        <f t="shared" si="24"/>
        <v>0.80832000000000015</v>
      </c>
      <c r="AJ30" s="153">
        <f t="shared" si="25"/>
        <v>0.6</v>
      </c>
      <c r="AK30" s="116" t="s">
        <v>42</v>
      </c>
      <c r="AL30" s="117" t="s">
        <v>43</v>
      </c>
      <c r="AM30" s="117" t="s">
        <v>54</v>
      </c>
      <c r="AN30" s="117" t="s">
        <v>3</v>
      </c>
      <c r="AO30" s="118" t="s">
        <v>2</v>
      </c>
      <c r="AP30" s="23" t="s">
        <v>64</v>
      </c>
      <c r="AQ30" s="23">
        <v>0.08</v>
      </c>
      <c r="AS30" s="35" t="s">
        <v>3</v>
      </c>
      <c r="AT30" s="35" t="s">
        <v>2</v>
      </c>
    </row>
    <row r="31" spans="1:46">
      <c r="A31" s="169"/>
      <c r="B31" s="170">
        <v>40</v>
      </c>
      <c r="C31" s="171"/>
      <c r="D31" s="171">
        <f>10^((1390/(B31+273))-1.75)</f>
        <v>490.78871558137882</v>
      </c>
      <c r="E31" s="169">
        <v>1</v>
      </c>
      <c r="F31" s="172">
        <f>10^(0.78-0.0168*B31)</f>
        <v>1.2823305826560218</v>
      </c>
      <c r="G31" s="173">
        <f t="shared" ref="G31:G45" si="26">10^(4410/(B31+273)-14)</f>
        <v>1.2287311518176762</v>
      </c>
      <c r="H31" s="174">
        <f t="shared" ref="H31:H49" si="27">-LOG(G31)</f>
        <v>-8.9456869009584522E-2</v>
      </c>
      <c r="I31" s="171">
        <f t="shared" ref="I31:I49" si="28">-LOG(F31)</f>
        <v>-0.10800000000000011</v>
      </c>
      <c r="J31" s="171">
        <f t="shared" ref="J31:J49" si="29">LOG(J$30)+8.51-2048/($B31+273)-3</f>
        <v>-6.0331309904153354</v>
      </c>
      <c r="K31" s="171">
        <f>LOG(K$30)+8.51-2048/($B31+273)</f>
        <v>-2.0331309904153354</v>
      </c>
      <c r="L31" s="171">
        <f>LOG(L$30)+8.51-2048/($B31+273)</f>
        <v>-1.0331309904153354</v>
      </c>
      <c r="M31" s="171">
        <f>LOG(M$30)+8.51-2048/($B31+273)</f>
        <v>-3.3130990415335404E-2</v>
      </c>
      <c r="N31" s="171">
        <f>LOG(N$30)+8.51-2048/($B31+273)</f>
        <v>0.9668690095846646</v>
      </c>
      <c r="O31" s="171">
        <f>LOG(O$30)+13.27-2048/($B31+273)-0.01092*$B31</f>
        <v>1.2900690095846645</v>
      </c>
      <c r="P31" s="171">
        <f>LOG(P$30)+13.27-2048/($B31+273)-0.01092*$B31</f>
        <v>2.2900690095846645</v>
      </c>
      <c r="Q31" s="171">
        <f>LOG(Q$30)+13.27-2048/($B31+273)-0.01092*$B31</f>
        <v>3.2900690095846645</v>
      </c>
      <c r="R31" s="171">
        <f>LOG(R$30)+13.27-2048/($B31+273)-0.01092*$B31</f>
        <v>4.2900690095846645</v>
      </c>
      <c r="S31" s="169"/>
      <c r="T31" s="170">
        <f>10^(4.52-731/($B31+273))</f>
        <v>152.94551325008536</v>
      </c>
      <c r="U31" s="170">
        <f>10^(4.69-1032/($B31+273))</f>
        <v>24.710151002438657</v>
      </c>
      <c r="V31" s="170">
        <f>10^(5.19-1309/($B31+273))</f>
        <v>10.183366487510948</v>
      </c>
      <c r="W31" s="170">
        <f>10^(4.78-1000/($B31+273))</f>
        <v>38.469081855070932</v>
      </c>
      <c r="X31" s="170">
        <f>10^(4.51-781/($B31+273))</f>
        <v>103.46473083574539</v>
      </c>
      <c r="Y31" s="175">
        <f>10*G31/(10*G31+F31)</f>
        <v>0.90550004391218819</v>
      </c>
      <c r="Z31" s="169">
        <f>10*E31/(10*E31+D31)</f>
        <v>1.9968501064147853E-2</v>
      </c>
      <c r="AA31" s="169"/>
      <c r="AB31" s="169">
        <v>0</v>
      </c>
      <c r="AC31" s="169">
        <v>0.3</v>
      </c>
      <c r="AD31" s="169"/>
      <c r="AE31" s="169"/>
      <c r="AF31" s="169"/>
      <c r="AG31" s="169"/>
      <c r="AH31" s="169"/>
      <c r="AI31" s="169"/>
      <c r="AJ31" s="169"/>
      <c r="AK31" s="176">
        <f>($D31*$AK$3)/($D31*$AK$3+$E31*$AL$3+$G31^0.5*$AM$3)</f>
        <v>0.30497595890873547</v>
      </c>
      <c r="AL31" s="177">
        <f>($E31*$AL$3)/($D31*$AK$3+$E31*$AL$3+$G31^0.5*$AM$3)</f>
        <v>6.2139969650171533E-3</v>
      </c>
      <c r="AM31" s="177">
        <f>($G31^0.5*$AM$3)/($D31*$AK$3+$E31*$AL$3+$G31^0.5*$AM$3)</f>
        <v>0.68881004412624747</v>
      </c>
      <c r="AN31" s="178">
        <f>0.5774*AK31+1.1547*AM31</f>
        <v>0.97146207662648187</v>
      </c>
      <c r="AO31" s="179">
        <f>AK31</f>
        <v>0.30497595890873547</v>
      </c>
      <c r="AP31" s="177">
        <f>($D31*AQ$30*$AK$3)/($D31*AQ$30*$AK$3+$E31*AQ$30*$AL$3+$G31^0.5*$AM$3)</f>
        <v>3.4185088359894172E-2</v>
      </c>
      <c r="AQ31" s="177">
        <f>($E31*AQ$30*$AL$3)/($D31*AQ$30*$AK$3+$E31*AQ$30*$AL$3+$G31^0.5*$AM$3)</f>
        <v>6.9653370736935509E-4</v>
      </c>
      <c r="AR31" s="177">
        <f>($G31^0.5*$AM$3)/($D31*AQ$30*$AK$3+$E31*AQ$30*$AL$3+$G31^0.5*$AM$3)</f>
        <v>0.96511837793273647</v>
      </c>
      <c r="AS31" s="178">
        <f>0.5774*AP31+1.1547*AR31</f>
        <v>1.1341606610179338</v>
      </c>
      <c r="AT31" s="179">
        <f>AP31</f>
        <v>3.4185088359894172E-2</v>
      </c>
    </row>
    <row r="32" spans="1:46">
      <c r="A32" s="169" t="s">
        <v>55</v>
      </c>
      <c r="B32" s="169">
        <v>60</v>
      </c>
      <c r="C32" s="169"/>
      <c r="D32" s="171">
        <f>10^((1390/(B32+273))-1.75)</f>
        <v>265.56704073255673</v>
      </c>
      <c r="E32" s="169">
        <v>1</v>
      </c>
      <c r="F32" s="172">
        <f>10^(0.78-0.0168*B32)</f>
        <v>0.59156163417547403</v>
      </c>
      <c r="G32" s="173">
        <f t="shared" si="26"/>
        <v>0.17508270317357269</v>
      </c>
      <c r="H32" s="174">
        <f t="shared" si="27"/>
        <v>0.75675675675675613</v>
      </c>
      <c r="I32" s="171">
        <f t="shared" si="28"/>
        <v>0.22799999999999995</v>
      </c>
      <c r="J32" s="171">
        <f t="shared" si="29"/>
        <v>-5.6401501501501503</v>
      </c>
      <c r="K32" s="171">
        <f t="shared" ref="K32:M49" si="30">LOG(K$30)+8.51-2048/($B32+273)</f>
        <v>-1.6401501501501503</v>
      </c>
      <c r="L32" s="171">
        <f t="shared" si="30"/>
        <v>-0.64015015015015031</v>
      </c>
      <c r="M32" s="171">
        <f t="shared" si="30"/>
        <v>0.35984984984984969</v>
      </c>
      <c r="N32" s="171">
        <f t="shared" ref="N32:N49" si="31">LOG(N$30)+8.51-2048/($B32+273)</f>
        <v>1.3598498498498497</v>
      </c>
      <c r="O32" s="171">
        <f t="shared" ref="O32:R49" si="32">LOG(O$30)+13.27-2048/($B32+273)-0.01092*$B32</f>
        <v>1.4646498498498495</v>
      </c>
      <c r="P32" s="171">
        <f t="shared" si="32"/>
        <v>2.4646498498498497</v>
      </c>
      <c r="Q32" s="171">
        <f t="shared" si="32"/>
        <v>3.4646498498498497</v>
      </c>
      <c r="R32" s="171">
        <f t="shared" si="32"/>
        <v>4.4646498498498497</v>
      </c>
      <c r="S32" s="169"/>
      <c r="T32" s="170">
        <f t="shared" ref="T32:T46" si="33">10^(4.52-731/($B32+273))</f>
        <v>211.25393381312085</v>
      </c>
      <c r="U32" s="170">
        <f t="shared" ref="U32:U46" si="34">10^(4.69-1032/(B32+273))</f>
        <v>38.985301826299484</v>
      </c>
      <c r="V32" s="170">
        <f t="shared" ref="V32:V46" si="35">10^(5.19-1309/(B32+273))</f>
        <v>18.158044206408697</v>
      </c>
      <c r="W32" s="170">
        <f t="shared" ref="W32:W46" si="36">10^(4.78-1000/($B32+273))</f>
        <v>59.840745725595298</v>
      </c>
      <c r="X32" s="170">
        <f t="shared" ref="X32:X46" si="37">10^(4.51-781/($B32+273))</f>
        <v>146.10149322725778</v>
      </c>
      <c r="Y32" s="175">
        <f t="shared" ref="Y32:Y46" si="38">10*G32/(10*G32+F32)</f>
        <v>0.74745368145582547</v>
      </c>
      <c r="Z32" s="169">
        <f t="shared" ref="Z32:Z46" si="39">10*E32/(10*E32+D32)</f>
        <v>3.6288810060217606E-2</v>
      </c>
      <c r="AA32" s="169"/>
      <c r="AB32" s="169">
        <v>1</v>
      </c>
      <c r="AC32" s="169">
        <v>0.82</v>
      </c>
      <c r="AD32" s="169"/>
      <c r="AE32" s="169"/>
      <c r="AF32" s="169"/>
      <c r="AG32" s="169"/>
      <c r="AH32" s="169"/>
      <c r="AI32" s="169"/>
      <c r="AJ32" s="169"/>
      <c r="AK32" s="176">
        <f>($D32*$AK$3)/($D32*$AK$3+$E32*$AL$3+$G32^0.5*$AM$3)</f>
        <v>0.38266370734539784</v>
      </c>
      <c r="AL32" s="177">
        <f>($E32*$AL$3)/($D32*$AK$3+$E32*$AL$3+$G32^0.5*$AM$3)</f>
        <v>1.4409307205059571E-2</v>
      </c>
      <c r="AM32" s="177">
        <f>($G32^0.5*$AM$3)/($D32*$AK$3+$E32*$AL$3+$G32^0.5*$AM$3)</f>
        <v>0.6029269854495426</v>
      </c>
      <c r="AN32" s="178">
        <f>0.5774*AK32+1.1547*AM32</f>
        <v>0.9171498147198196</v>
      </c>
      <c r="AO32" s="179">
        <f>AK32</f>
        <v>0.38266370734539784</v>
      </c>
      <c r="AP32" s="177">
        <f t="shared" ref="AP32:AP48" si="40">($D32*AQ$30*$AK$3)/($D32*AQ$30*$AK$3+$E32*AQ$30*$AL$3+$G32^0.5*$AM$3)</f>
        <v>4.8232933009450939E-2</v>
      </c>
      <c r="AQ32" s="177">
        <f t="shared" ref="AQ32:AQ49" si="41">($E32*AQ$30*$AL$3)/($D32*AQ$30*$AK$3+$E32*AQ$30*$AL$3+$G32^0.5*$AM$3)</f>
        <v>1.8162243656593155E-3</v>
      </c>
      <c r="AR32" s="177">
        <f t="shared" ref="AR32:AR49" si="42">($G32^0.5*$AM$3)/($D32*AQ$30*$AK$3+$E32*AQ$30*$AL$3+$G32^0.5*$AM$3)</f>
        <v>0.94995084262488971</v>
      </c>
      <c r="AS32" s="178">
        <f>0.5774*AP32+1.1547*AR32</f>
        <v>1.1247579334986173</v>
      </c>
      <c r="AT32" s="179">
        <f>AP32</f>
        <v>4.8232933009450939E-2</v>
      </c>
    </row>
    <row r="33" spans="1:46">
      <c r="A33" s="169" t="s">
        <v>57</v>
      </c>
      <c r="B33" s="169">
        <v>80</v>
      </c>
      <c r="C33" s="169"/>
      <c r="D33" s="171">
        <f t="shared" ref="D33:D48" si="43">10^((1390/(B33+273))-1.75)</f>
        <v>154.05544535988673</v>
      </c>
      <c r="E33" s="169">
        <v>1</v>
      </c>
      <c r="F33" s="172">
        <f t="shared" ref="F33:F45" si="44">10^(0.78-0.0168*B33)</f>
        <v>0.27289777828080414</v>
      </c>
      <c r="G33" s="173">
        <f t="shared" si="26"/>
        <v>3.1111277673994676E-2</v>
      </c>
      <c r="H33" s="174">
        <f t="shared" si="27"/>
        <v>1.5070821529745049</v>
      </c>
      <c r="I33" s="171">
        <f t="shared" si="28"/>
        <v>0.56399999999999995</v>
      </c>
      <c r="J33" s="171">
        <f t="shared" si="29"/>
        <v>-5.2916997167138815</v>
      </c>
      <c r="K33" s="171">
        <f t="shared" si="30"/>
        <v>-1.2916997167138815</v>
      </c>
      <c r="L33" s="171">
        <f t="shared" si="30"/>
        <v>-0.29169971671388151</v>
      </c>
      <c r="M33" s="171">
        <f t="shared" si="30"/>
        <v>0.70830028328611849</v>
      </c>
      <c r="N33" s="171">
        <f t="shared" si="31"/>
        <v>1.7083002832861185</v>
      </c>
      <c r="O33" s="171">
        <f t="shared" si="32"/>
        <v>1.5947002832861183</v>
      </c>
      <c r="P33" s="171">
        <f t="shared" si="32"/>
        <v>2.5947002832861186</v>
      </c>
      <c r="Q33" s="171">
        <f t="shared" si="32"/>
        <v>3.5947002832861186</v>
      </c>
      <c r="R33" s="171">
        <f t="shared" si="32"/>
        <v>4.5947002832861186</v>
      </c>
      <c r="S33" s="169"/>
      <c r="T33" s="170">
        <f t="shared" si="33"/>
        <v>281.3056598678524</v>
      </c>
      <c r="U33" s="170">
        <f t="shared" si="34"/>
        <v>58.410006171250878</v>
      </c>
      <c r="V33" s="170">
        <f t="shared" si="35"/>
        <v>30.323875335963724</v>
      </c>
      <c r="W33" s="170">
        <f t="shared" si="36"/>
        <v>88.539855772776036</v>
      </c>
      <c r="X33" s="170">
        <f t="shared" si="37"/>
        <v>198.39714159290222</v>
      </c>
      <c r="Y33" s="175">
        <f t="shared" si="38"/>
        <v>0.53271772926928074</v>
      </c>
      <c r="Z33" s="169">
        <f t="shared" si="39"/>
        <v>6.0955001999861105E-2</v>
      </c>
      <c r="AA33" s="169"/>
      <c r="AB33" s="169">
        <v>2</v>
      </c>
      <c r="AC33" s="169">
        <v>1.39</v>
      </c>
      <c r="AD33" s="169"/>
      <c r="AE33" s="169"/>
      <c r="AF33" s="169"/>
      <c r="AG33" s="169"/>
      <c r="AH33" s="169"/>
      <c r="AI33" s="169"/>
      <c r="AJ33" s="169"/>
      <c r="AK33" s="176">
        <f t="shared" ref="AK33:AK45" si="45">(D33*AK$3)/(D33*AK$3+E33*AL$3+G33^0.5*AM$3)</f>
        <v>0.45251951830257164</v>
      </c>
      <c r="AL33" s="177">
        <f t="shared" ref="AL33:AL45" si="46">(E33*AL$3)/(D33*AK$3+E33*AL$3+G33^0.5*AM$3)</f>
        <v>2.9373808711885985E-2</v>
      </c>
      <c r="AM33" s="177">
        <f t="shared" ref="AM33:AM45" si="47">(G33^0.5*AM$3)/(D33*AK$3+E33*AL$3+G33^0.5*AM$3)</f>
        <v>0.51810667298554225</v>
      </c>
      <c r="AN33" s="178">
        <f t="shared" ref="AN33:AN45" si="48">0.5774*AK33+1.1547*AM33</f>
        <v>0.85954254516431061</v>
      </c>
      <c r="AO33" s="179">
        <f t="shared" ref="AO33:AO45" si="49">AK33</f>
        <v>0.45251951830257164</v>
      </c>
      <c r="AP33" s="177">
        <f t="shared" si="40"/>
        <v>6.5033741390540162E-2</v>
      </c>
      <c r="AQ33" s="177">
        <f t="shared" si="41"/>
        <v>4.2214503511132477E-3</v>
      </c>
      <c r="AR33" s="177">
        <f t="shared" si="42"/>
        <v>0.9307448082583466</v>
      </c>
      <c r="AS33" s="178">
        <f t="shared" ref="AS33:AS45" si="50">0.5774*AP33+1.1547*AR33</f>
        <v>1.1122815123748109</v>
      </c>
      <c r="AT33" s="179">
        <f t="shared" ref="AT33:AT45" si="51">AP33</f>
        <v>6.5033741390540162E-2</v>
      </c>
    </row>
    <row r="34" spans="1:46">
      <c r="A34" s="169" t="s">
        <v>56</v>
      </c>
      <c r="B34" s="169">
        <v>100</v>
      </c>
      <c r="C34" s="169"/>
      <c r="D34" s="171">
        <f t="shared" si="43"/>
        <v>94.74178327351342</v>
      </c>
      <c r="E34" s="169">
        <v>1</v>
      </c>
      <c r="F34" s="172">
        <f t="shared" si="44"/>
        <v>0.12589254117941673</v>
      </c>
      <c r="G34" s="173">
        <f t="shared" si="26"/>
        <v>6.653594052481413E-3</v>
      </c>
      <c r="H34" s="174">
        <f t="shared" si="27"/>
        <v>2.176943699731904</v>
      </c>
      <c r="I34" s="171">
        <f t="shared" si="28"/>
        <v>0.9</v>
      </c>
      <c r="J34" s="171">
        <f t="shared" si="29"/>
        <v>-4.9806166219839145</v>
      </c>
      <c r="K34" s="171">
        <f t="shared" si="30"/>
        <v>-0.98061662198391453</v>
      </c>
      <c r="L34" s="171">
        <f t="shared" si="30"/>
        <v>1.9383378016085473E-2</v>
      </c>
      <c r="M34" s="171">
        <f t="shared" si="30"/>
        <v>1.0193833780160855</v>
      </c>
      <c r="N34" s="171">
        <f t="shared" si="31"/>
        <v>2.0193833780160855</v>
      </c>
      <c r="O34" s="171">
        <f t="shared" si="32"/>
        <v>1.6873833780160854</v>
      </c>
      <c r="P34" s="171">
        <f t="shared" si="32"/>
        <v>2.6873833780160856</v>
      </c>
      <c r="Q34" s="171">
        <f t="shared" si="32"/>
        <v>3.6873833780160856</v>
      </c>
      <c r="R34" s="171">
        <f t="shared" si="32"/>
        <v>4.6873833780160856</v>
      </c>
      <c r="S34" s="169"/>
      <c r="T34" s="170">
        <f t="shared" si="33"/>
        <v>363.2574058875523</v>
      </c>
      <c r="U34" s="170">
        <f t="shared" si="34"/>
        <v>83.799990197445268</v>
      </c>
      <c r="V34" s="170">
        <f t="shared" si="35"/>
        <v>47.931014576041115</v>
      </c>
      <c r="W34" s="170">
        <f t="shared" si="36"/>
        <v>125.61307653436113</v>
      </c>
      <c r="X34" s="170">
        <f t="shared" si="37"/>
        <v>260.71512079289329</v>
      </c>
      <c r="Y34" s="175">
        <f t="shared" si="38"/>
        <v>0.34576971109236387</v>
      </c>
      <c r="Z34" s="169">
        <f t="shared" si="39"/>
        <v>9.5472882812075915E-2</v>
      </c>
      <c r="AA34" s="169"/>
      <c r="AB34" s="169">
        <v>3</v>
      </c>
      <c r="AC34" s="169">
        <v>1.98</v>
      </c>
      <c r="AD34" s="169"/>
      <c r="AE34" s="169"/>
      <c r="AF34" s="169"/>
      <c r="AG34" s="169"/>
      <c r="AH34" s="169"/>
      <c r="AI34" s="169"/>
      <c r="AJ34" s="169"/>
      <c r="AK34" s="176">
        <f t="shared" si="45"/>
        <v>0.50851321609254307</v>
      </c>
      <c r="AL34" s="177">
        <f t="shared" si="46"/>
        <v>5.3673595590289676E-2</v>
      </c>
      <c r="AM34" s="177">
        <f t="shared" si="47"/>
        <v>0.4378131883171672</v>
      </c>
      <c r="AN34" s="178">
        <f t="shared" si="48"/>
        <v>0.79915841952166744</v>
      </c>
      <c r="AO34" s="179">
        <f t="shared" si="49"/>
        <v>0.50851321609254307</v>
      </c>
      <c r="AP34" s="177">
        <f t="shared" si="40"/>
        <v>8.4262753132307425E-2</v>
      </c>
      <c r="AQ34" s="177">
        <f t="shared" si="41"/>
        <v>8.8939378403978617E-3</v>
      </c>
      <c r="AR34" s="177">
        <f t="shared" si="42"/>
        <v>0.90684330902729482</v>
      </c>
      <c r="AS34" s="178">
        <f t="shared" si="50"/>
        <v>1.0957852825924117</v>
      </c>
      <c r="AT34" s="179">
        <f t="shared" si="51"/>
        <v>8.4262753132307425E-2</v>
      </c>
    </row>
    <row r="35" spans="1:46">
      <c r="A35" s="169"/>
      <c r="B35" s="169">
        <v>120</v>
      </c>
      <c r="C35" s="180"/>
      <c r="D35" s="171">
        <f t="shared" si="43"/>
        <v>61.22033113142983</v>
      </c>
      <c r="E35" s="169">
        <v>1</v>
      </c>
      <c r="F35" s="172">
        <f t="shared" si="44"/>
        <v>5.8076441752131176E-2</v>
      </c>
      <c r="G35" s="173">
        <f t="shared" si="26"/>
        <v>1.6648459187158201E-3</v>
      </c>
      <c r="H35" s="174">
        <f t="shared" si="27"/>
        <v>2.7786259541984735</v>
      </c>
      <c r="I35" s="171">
        <f t="shared" si="28"/>
        <v>1.2360000000000002</v>
      </c>
      <c r="J35" s="171">
        <f t="shared" si="29"/>
        <v>-4.7011959287531813</v>
      </c>
      <c r="K35" s="171">
        <f t="shared" si="30"/>
        <v>-0.70119592875318126</v>
      </c>
      <c r="L35" s="171">
        <f t="shared" si="30"/>
        <v>0.29880407124681874</v>
      </c>
      <c r="M35" s="171">
        <f t="shared" si="30"/>
        <v>1.2988040712468187</v>
      </c>
      <c r="N35" s="171">
        <f t="shared" si="31"/>
        <v>2.2988040712468187</v>
      </c>
      <c r="O35" s="171">
        <f t="shared" si="32"/>
        <v>1.7484040712468185</v>
      </c>
      <c r="P35" s="171">
        <f t="shared" si="32"/>
        <v>2.7484040712468185</v>
      </c>
      <c r="Q35" s="171">
        <f t="shared" si="32"/>
        <v>3.7484040712468185</v>
      </c>
      <c r="R35" s="171">
        <f t="shared" si="32"/>
        <v>4.748404071246819</v>
      </c>
      <c r="S35" s="169"/>
      <c r="T35" s="170">
        <f t="shared" si="33"/>
        <v>457.03463120322141</v>
      </c>
      <c r="U35" s="170">
        <f t="shared" si="34"/>
        <v>115.88995694757628</v>
      </c>
      <c r="V35" s="170">
        <f t="shared" si="35"/>
        <v>72.312136957399574</v>
      </c>
      <c r="W35" s="170">
        <f t="shared" si="36"/>
        <v>171.97714618089276</v>
      </c>
      <c r="X35" s="170">
        <f t="shared" si="37"/>
        <v>333.21354447550226</v>
      </c>
      <c r="Y35" s="175">
        <f t="shared" si="38"/>
        <v>0.22279667122856842</v>
      </c>
      <c r="Z35" s="169">
        <f t="shared" si="39"/>
        <v>0.14040934437030381</v>
      </c>
      <c r="AA35" s="169"/>
      <c r="AB35" s="169">
        <v>4</v>
      </c>
      <c r="AC35" s="169">
        <v>2.68</v>
      </c>
      <c r="AD35" s="169"/>
      <c r="AE35" s="169"/>
      <c r="AF35" s="169"/>
      <c r="AG35" s="169"/>
      <c r="AH35" s="169"/>
      <c r="AI35" s="169"/>
      <c r="AJ35" s="169"/>
      <c r="AK35" s="176">
        <f t="shared" si="45"/>
        <v>0.54649858163342147</v>
      </c>
      <c r="AL35" s="177">
        <f t="shared" si="46"/>
        <v>8.9267498481865479E-2</v>
      </c>
      <c r="AM35" s="177">
        <f t="shared" si="47"/>
        <v>0.3642339198847131</v>
      </c>
      <c r="AN35" s="178">
        <f t="shared" si="48"/>
        <v>0.7361291883260157</v>
      </c>
      <c r="AO35" s="179">
        <f t="shared" si="49"/>
        <v>0.54649858163342147</v>
      </c>
      <c r="AP35" s="177">
        <f t="shared" si="40"/>
        <v>0.10532496128060537</v>
      </c>
      <c r="AQ35" s="177">
        <f t="shared" si="41"/>
        <v>1.7204245605024624E-2</v>
      </c>
      <c r="AR35" s="177">
        <f t="shared" si="42"/>
        <v>0.87747079311436993</v>
      </c>
      <c r="AS35" s="178">
        <f t="shared" si="50"/>
        <v>1.0740301574525846</v>
      </c>
      <c r="AT35" s="179">
        <f t="shared" si="51"/>
        <v>0.10532496128060537</v>
      </c>
    </row>
    <row r="36" spans="1:46">
      <c r="A36" s="181"/>
      <c r="B36" s="169">
        <v>140</v>
      </c>
      <c r="C36" s="170"/>
      <c r="D36" s="171">
        <f t="shared" si="43"/>
        <v>41.268381191071967</v>
      </c>
      <c r="E36" s="169">
        <v>1</v>
      </c>
      <c r="F36" s="172">
        <f t="shared" si="44"/>
        <v>2.6791683248190316E-2</v>
      </c>
      <c r="G36" s="173">
        <f t="shared" si="26"/>
        <v>4.7639380104013372E-4</v>
      </c>
      <c r="H36" s="174">
        <f t="shared" si="27"/>
        <v>3.3220338983050852</v>
      </c>
      <c r="I36" s="171">
        <f t="shared" si="28"/>
        <v>1.5720000000000001</v>
      </c>
      <c r="J36" s="171">
        <f t="shared" si="29"/>
        <v>-4.4488377723970949</v>
      </c>
      <c r="K36" s="171">
        <f t="shared" si="30"/>
        <v>-0.44883777239709488</v>
      </c>
      <c r="L36" s="171">
        <f t="shared" si="30"/>
        <v>0.55116222760290512</v>
      </c>
      <c r="M36" s="171">
        <f t="shared" si="30"/>
        <v>1.5511622276029051</v>
      </c>
      <c r="N36" s="171">
        <f t="shared" si="31"/>
        <v>2.5511622276029051</v>
      </c>
      <c r="O36" s="171">
        <f t="shared" si="32"/>
        <v>1.782362227602905</v>
      </c>
      <c r="P36" s="171">
        <f t="shared" si="32"/>
        <v>2.782362227602905</v>
      </c>
      <c r="Q36" s="171">
        <f t="shared" si="32"/>
        <v>3.782362227602905</v>
      </c>
      <c r="R36" s="171">
        <f t="shared" si="32"/>
        <v>4.7823622276029045</v>
      </c>
      <c r="S36" s="169"/>
      <c r="T36" s="170">
        <f t="shared" si="33"/>
        <v>562.37267809225182</v>
      </c>
      <c r="U36" s="170">
        <f t="shared" si="34"/>
        <v>155.31401751157085</v>
      </c>
      <c r="V36" s="170">
        <f t="shared" si="35"/>
        <v>104.83552503913405</v>
      </c>
      <c r="W36" s="170">
        <f t="shared" si="36"/>
        <v>228.39810377096529</v>
      </c>
      <c r="X36" s="170">
        <f t="shared" si="37"/>
        <v>415.87119254917843</v>
      </c>
      <c r="Y36" s="175">
        <f t="shared" si="38"/>
        <v>0.15096955218729086</v>
      </c>
      <c r="Z36" s="169">
        <f t="shared" si="39"/>
        <v>0.19505199438092324</v>
      </c>
      <c r="AA36" s="169"/>
      <c r="AB36" s="169">
        <v>5</v>
      </c>
      <c r="AC36" s="169">
        <v>3.51</v>
      </c>
      <c r="AD36" s="169"/>
      <c r="AE36" s="169"/>
      <c r="AF36" s="169"/>
      <c r="AG36" s="169"/>
      <c r="AH36" s="169"/>
      <c r="AI36" s="169"/>
      <c r="AJ36" s="169"/>
      <c r="AK36" s="176">
        <f t="shared" si="45"/>
        <v>0.5645868805227473</v>
      </c>
      <c r="AL36" s="177">
        <f t="shared" si="46"/>
        <v>0.13680858425454556</v>
      </c>
      <c r="AM36" s="177">
        <f t="shared" si="47"/>
        <v>0.29860453522270725</v>
      </c>
      <c r="AN36" s="178">
        <f t="shared" si="48"/>
        <v>0.67079112163549437</v>
      </c>
      <c r="AO36" s="179">
        <f t="shared" si="49"/>
        <v>0.5645868805227473</v>
      </c>
      <c r="AP36" s="177">
        <f t="shared" si="40"/>
        <v>0.12733265059666909</v>
      </c>
      <c r="AQ36" s="177">
        <f t="shared" si="41"/>
        <v>3.0854772327298448E-2</v>
      </c>
      <c r="AR36" s="177">
        <f t="shared" si="42"/>
        <v>0.84181257707603252</v>
      </c>
      <c r="AS36" s="178">
        <f t="shared" si="50"/>
        <v>1.0455628552042115</v>
      </c>
      <c r="AT36" s="179">
        <f t="shared" si="51"/>
        <v>0.12733265059666909</v>
      </c>
    </row>
    <row r="37" spans="1:46">
      <c r="A37" s="181"/>
      <c r="B37" s="169">
        <v>160</v>
      </c>
      <c r="C37" s="182"/>
      <c r="D37" s="171">
        <f t="shared" si="43"/>
        <v>28.851052617539267</v>
      </c>
      <c r="E37" s="169">
        <v>1</v>
      </c>
      <c r="F37" s="172">
        <f t="shared" si="44"/>
        <v>1.2359474334445106E-2</v>
      </c>
      <c r="G37" s="173">
        <f t="shared" si="26"/>
        <v>1.5302327968183535E-4</v>
      </c>
      <c r="H37" s="174">
        <f t="shared" si="27"/>
        <v>3.8152424942263288</v>
      </c>
      <c r="I37" s="171">
        <f t="shared" si="28"/>
        <v>1.9079999999999999</v>
      </c>
      <c r="J37" s="171">
        <f t="shared" si="29"/>
        <v>-4.2197921478060048</v>
      </c>
      <c r="K37" s="171">
        <f t="shared" si="30"/>
        <v>-0.21979214780600476</v>
      </c>
      <c r="L37" s="171">
        <f t="shared" si="30"/>
        <v>0.78020785219399524</v>
      </c>
      <c r="M37" s="171">
        <f t="shared" si="30"/>
        <v>1.7802078521939952</v>
      </c>
      <c r="N37" s="171">
        <f t="shared" si="31"/>
        <v>2.7802078521939952</v>
      </c>
      <c r="O37" s="171">
        <f t="shared" si="32"/>
        <v>1.7930078521939952</v>
      </c>
      <c r="P37" s="171">
        <f t="shared" si="32"/>
        <v>2.7930078521939952</v>
      </c>
      <c r="Q37" s="171">
        <f t="shared" si="32"/>
        <v>3.7930078521939952</v>
      </c>
      <c r="R37" s="171">
        <f t="shared" si="32"/>
        <v>4.7930078521939947</v>
      </c>
      <c r="S37" s="169"/>
      <c r="T37" s="170">
        <f t="shared" si="33"/>
        <v>678.85698503484628</v>
      </c>
      <c r="U37" s="170">
        <f t="shared" si="34"/>
        <v>202.59474466812</v>
      </c>
      <c r="V37" s="170">
        <f t="shared" si="35"/>
        <v>146.86060459549768</v>
      </c>
      <c r="W37" s="170">
        <f t="shared" si="36"/>
        <v>295.48210062967837</v>
      </c>
      <c r="X37" s="170">
        <f t="shared" si="37"/>
        <v>508.51626664276796</v>
      </c>
      <c r="Y37" s="175">
        <f t="shared" si="38"/>
        <v>0.11017027086007089</v>
      </c>
      <c r="Z37" s="169">
        <f t="shared" si="39"/>
        <v>0.25739328348301971</v>
      </c>
      <c r="AA37" s="169"/>
      <c r="AB37" s="169">
        <v>6</v>
      </c>
      <c r="AC37" s="169">
        <v>4.5</v>
      </c>
      <c r="AD37" s="169"/>
      <c r="AE37" s="169"/>
      <c r="AF37" s="169"/>
      <c r="AG37" s="169"/>
      <c r="AH37" s="169"/>
      <c r="AI37" s="169"/>
      <c r="AJ37" s="169"/>
      <c r="AK37" s="176">
        <f t="shared" si="45"/>
        <v>0.56326268002400914</v>
      </c>
      <c r="AL37" s="177">
        <f t="shared" si="46"/>
        <v>0.19523124077684012</v>
      </c>
      <c r="AM37" s="177">
        <f t="shared" si="47"/>
        <v>0.24150607919915071</v>
      </c>
      <c r="AN37" s="178">
        <f t="shared" si="48"/>
        <v>0.60409494109712225</v>
      </c>
      <c r="AO37" s="179">
        <f t="shared" si="49"/>
        <v>0.56326268002400914</v>
      </c>
      <c r="AP37" s="177">
        <f t="shared" si="40"/>
        <v>0.14911701770744962</v>
      </c>
      <c r="AQ37" s="177">
        <f t="shared" si="41"/>
        <v>5.1685122093880792E-2</v>
      </c>
      <c r="AR37" s="177">
        <f t="shared" si="42"/>
        <v>0.79919786019866956</v>
      </c>
      <c r="AS37" s="178">
        <f t="shared" si="50"/>
        <v>1.0089339351956852</v>
      </c>
      <c r="AT37" s="179">
        <f t="shared" si="51"/>
        <v>0.14911701770744962</v>
      </c>
    </row>
    <row r="38" spans="1:46">
      <c r="A38" s="181"/>
      <c r="B38" s="169">
        <v>180</v>
      </c>
      <c r="C38" s="171"/>
      <c r="D38" s="171">
        <f t="shared" si="43"/>
        <v>20.817696422806581</v>
      </c>
      <c r="E38" s="169">
        <v>1</v>
      </c>
      <c r="F38" s="172">
        <f t="shared" si="44"/>
        <v>5.7016427228074743E-3</v>
      </c>
      <c r="G38" s="173">
        <f t="shared" si="26"/>
        <v>5.4337460531877124E-5</v>
      </c>
      <c r="H38" s="174">
        <f t="shared" si="27"/>
        <v>4.2649006622516552</v>
      </c>
      <c r="I38" s="171">
        <f t="shared" si="28"/>
        <v>2.2440000000000002</v>
      </c>
      <c r="J38" s="171">
        <f t="shared" si="29"/>
        <v>-4.0109713024282563</v>
      </c>
      <c r="K38" s="171">
        <f t="shared" si="30"/>
        <v>-1.097130242825628E-2</v>
      </c>
      <c r="L38" s="171">
        <f t="shared" si="30"/>
        <v>0.98902869757174372</v>
      </c>
      <c r="M38" s="171">
        <f t="shared" si="30"/>
        <v>1.9890286975717437</v>
      </c>
      <c r="N38" s="171">
        <f t="shared" si="31"/>
        <v>2.9890286975717437</v>
      </c>
      <c r="O38" s="171">
        <f t="shared" si="32"/>
        <v>1.7834286975717437</v>
      </c>
      <c r="P38" s="171">
        <f t="shared" si="32"/>
        <v>2.7834286975717437</v>
      </c>
      <c r="Q38" s="171">
        <f t="shared" si="32"/>
        <v>3.7834286975717437</v>
      </c>
      <c r="R38" s="171">
        <f t="shared" si="32"/>
        <v>4.7834286975717433</v>
      </c>
      <c r="S38" s="169"/>
      <c r="T38" s="170">
        <f t="shared" si="33"/>
        <v>805.95995841065974</v>
      </c>
      <c r="U38" s="170">
        <f t="shared" si="34"/>
        <v>258.13940496753702</v>
      </c>
      <c r="V38" s="170">
        <f t="shared" si="35"/>
        <v>199.69871757975861</v>
      </c>
      <c r="W38" s="170">
        <f t="shared" si="36"/>
        <v>373.67537690077319</v>
      </c>
      <c r="X38" s="170">
        <f t="shared" si="37"/>
        <v>610.85507990527071</v>
      </c>
      <c r="Y38" s="175">
        <f t="shared" si="38"/>
        <v>8.7009303060141444E-2</v>
      </c>
      <c r="Z38" s="169">
        <f t="shared" si="39"/>
        <v>0.3244888866060579</v>
      </c>
      <c r="AA38" s="169"/>
      <c r="AB38" s="169">
        <v>7</v>
      </c>
      <c r="AC38" s="169">
        <v>5.62</v>
      </c>
      <c r="AD38" s="169"/>
      <c r="AE38" s="169"/>
      <c r="AF38" s="169"/>
      <c r="AG38" s="169"/>
      <c r="AH38" s="169"/>
      <c r="AI38" s="169"/>
      <c r="AJ38" s="169"/>
      <c r="AK38" s="176">
        <f t="shared" si="45"/>
        <v>0.54512154608911634</v>
      </c>
      <c r="AL38" s="177">
        <f t="shared" si="46"/>
        <v>0.26185488298883774</v>
      </c>
      <c r="AM38" s="177">
        <f t="shared" si="47"/>
        <v>0.19302357092204589</v>
      </c>
      <c r="AN38" s="178">
        <f t="shared" si="48"/>
        <v>0.53763749805554217</v>
      </c>
      <c r="AO38" s="179">
        <f t="shared" si="49"/>
        <v>0.54512154608911634</v>
      </c>
      <c r="AP38" s="177">
        <f t="shared" si="40"/>
        <v>0.1693044427638325</v>
      </c>
      <c r="AQ38" s="177">
        <f t="shared" si="41"/>
        <v>8.1327174402616914E-2</v>
      </c>
      <c r="AR38" s="177">
        <f t="shared" si="42"/>
        <v>0.74936838283355067</v>
      </c>
      <c r="AS38" s="178">
        <f t="shared" si="50"/>
        <v>0.96305205690973783</v>
      </c>
      <c r="AT38" s="179">
        <f t="shared" si="51"/>
        <v>0.1693044427638325</v>
      </c>
    </row>
    <row r="39" spans="1:46">
      <c r="A39" s="183"/>
      <c r="B39" s="169">
        <v>200</v>
      </c>
      <c r="C39" s="171"/>
      <c r="D39" s="171">
        <f t="shared" si="43"/>
        <v>15.441490470708569</v>
      </c>
      <c r="E39" s="169">
        <v>1</v>
      </c>
      <c r="F39" s="172">
        <f t="shared" si="44"/>
        <v>2.6302679918953791E-3</v>
      </c>
      <c r="G39" s="173">
        <f t="shared" si="26"/>
        <v>2.1060429821729141E-5</v>
      </c>
      <c r="H39" s="174">
        <f t="shared" si="27"/>
        <v>4.6765327695560268</v>
      </c>
      <c r="I39" s="171">
        <f t="shared" si="28"/>
        <v>2.5800000000000005</v>
      </c>
      <c r="J39" s="171">
        <f t="shared" si="29"/>
        <v>-3.8198097251585628</v>
      </c>
      <c r="K39" s="171">
        <f t="shared" si="30"/>
        <v>0.18019027484143724</v>
      </c>
      <c r="L39" s="171">
        <f t="shared" si="30"/>
        <v>1.1801902748414372</v>
      </c>
      <c r="M39" s="171">
        <f t="shared" si="30"/>
        <v>2.1801902748414372</v>
      </c>
      <c r="N39" s="171">
        <f t="shared" si="31"/>
        <v>3.1801902748414372</v>
      </c>
      <c r="O39" s="171">
        <f t="shared" si="32"/>
        <v>1.7561902748414373</v>
      </c>
      <c r="P39" s="171">
        <f t="shared" si="32"/>
        <v>2.7561902748414373</v>
      </c>
      <c r="Q39" s="171">
        <f t="shared" si="32"/>
        <v>3.7561902748414373</v>
      </c>
      <c r="R39" s="171">
        <f t="shared" si="32"/>
        <v>4.7561902748414369</v>
      </c>
      <c r="S39" s="169"/>
      <c r="T39" s="170">
        <f t="shared" si="33"/>
        <v>943.07331113779207</v>
      </c>
      <c r="U39" s="170">
        <f t="shared" si="34"/>
        <v>322.24175799605899</v>
      </c>
      <c r="V39" s="170">
        <f t="shared" si="35"/>
        <v>264.58068684268164</v>
      </c>
      <c r="W39" s="170">
        <f t="shared" si="36"/>
        <v>463.27097888019568</v>
      </c>
      <c r="X39" s="170">
        <f t="shared" si="37"/>
        <v>722.49893174815907</v>
      </c>
      <c r="Y39" s="175">
        <f t="shared" si="38"/>
        <v>7.413367329121956E-2</v>
      </c>
      <c r="Z39" s="169">
        <f t="shared" si="39"/>
        <v>0.39305873260504343</v>
      </c>
      <c r="AA39" s="169"/>
      <c r="AB39" s="169"/>
      <c r="AC39" s="169"/>
      <c r="AD39" s="169"/>
      <c r="AE39" s="169"/>
      <c r="AF39" s="169"/>
      <c r="AG39" s="169"/>
      <c r="AH39" s="169"/>
      <c r="AI39" s="169"/>
      <c r="AJ39" s="169"/>
      <c r="AK39" s="176">
        <f t="shared" si="45"/>
        <v>0.51419093393156023</v>
      </c>
      <c r="AL39" s="177">
        <f t="shared" si="46"/>
        <v>0.332993071431119</v>
      </c>
      <c r="AM39" s="177">
        <f t="shared" si="47"/>
        <v>0.15281599463732085</v>
      </c>
      <c r="AN39" s="178">
        <f t="shared" si="48"/>
        <v>0.47335047425979726</v>
      </c>
      <c r="AO39" s="179">
        <f t="shared" si="49"/>
        <v>0.51419093393156023</v>
      </c>
      <c r="AP39" s="177">
        <f t="shared" si="40"/>
        <v>0.1864778157238158</v>
      </c>
      <c r="AQ39" s="177">
        <f t="shared" si="41"/>
        <v>0.1207641296528669</v>
      </c>
      <c r="AR39" s="177">
        <f t="shared" si="42"/>
        <v>0.6927580546233173</v>
      </c>
      <c r="AS39" s="178">
        <f t="shared" si="50"/>
        <v>0.90760001647247579</v>
      </c>
      <c r="AT39" s="179">
        <f t="shared" si="51"/>
        <v>0.1864778157238158</v>
      </c>
    </row>
    <row r="40" spans="1:46">
      <c r="A40" s="181"/>
      <c r="B40" s="169">
        <v>220</v>
      </c>
      <c r="C40" s="169"/>
      <c r="D40" s="171">
        <f t="shared" si="43"/>
        <v>11.73471689796188</v>
      </c>
      <c r="E40" s="169">
        <v>1</v>
      </c>
      <c r="F40" s="172">
        <f t="shared" si="44"/>
        <v>1.2133888504649779E-3</v>
      </c>
      <c r="G40" s="173">
        <f t="shared" si="26"/>
        <v>8.8152222395233061E-6</v>
      </c>
      <c r="H40" s="174">
        <f t="shared" si="27"/>
        <v>5.0547667342799194</v>
      </c>
      <c r="I40" s="171">
        <f t="shared" si="28"/>
        <v>2.9159999999999999</v>
      </c>
      <c r="J40" s="171">
        <f t="shared" si="29"/>
        <v>-3.6441582150101421</v>
      </c>
      <c r="K40" s="171">
        <f t="shared" si="30"/>
        <v>0.35584178498985786</v>
      </c>
      <c r="L40" s="171">
        <f t="shared" si="30"/>
        <v>1.3558417849898579</v>
      </c>
      <c r="M40" s="171">
        <f t="shared" si="30"/>
        <v>2.3558417849898579</v>
      </c>
      <c r="N40" s="171">
        <f t="shared" si="31"/>
        <v>3.3558417849898579</v>
      </c>
      <c r="O40" s="171">
        <f t="shared" si="32"/>
        <v>1.713441784989858</v>
      </c>
      <c r="P40" s="171">
        <f t="shared" si="32"/>
        <v>2.713441784989858</v>
      </c>
      <c r="Q40" s="171">
        <f t="shared" si="32"/>
        <v>3.713441784989858</v>
      </c>
      <c r="R40" s="171">
        <f t="shared" si="32"/>
        <v>4.7134417849898576</v>
      </c>
      <c r="S40" s="169"/>
      <c r="T40" s="170">
        <f t="shared" si="33"/>
        <v>1089.5354849827384</v>
      </c>
      <c r="U40" s="170">
        <f t="shared" si="34"/>
        <v>395.08788437729567</v>
      </c>
      <c r="V40" s="170">
        <f t="shared" si="35"/>
        <v>342.63173562388459</v>
      </c>
      <c r="W40" s="170">
        <f t="shared" si="36"/>
        <v>564.42005155418121</v>
      </c>
      <c r="X40" s="170">
        <f t="shared" si="37"/>
        <v>842.9882107231391</v>
      </c>
      <c r="Y40" s="175">
        <f t="shared" si="38"/>
        <v>6.7729112997958266E-2</v>
      </c>
      <c r="Z40" s="169">
        <f t="shared" si="39"/>
        <v>0.4600934094033553</v>
      </c>
      <c r="AA40" s="169"/>
      <c r="AB40" s="169"/>
      <c r="AC40" s="169"/>
      <c r="AD40" s="169"/>
      <c r="AE40" s="169"/>
      <c r="AF40" s="169"/>
      <c r="AG40" s="169"/>
      <c r="AH40" s="169"/>
      <c r="AI40" s="169"/>
      <c r="AJ40" s="169"/>
      <c r="AK40" s="176">
        <f t="shared" si="45"/>
        <v>0.4750174254513152</v>
      </c>
      <c r="AL40" s="177">
        <f t="shared" si="46"/>
        <v>0.40479666410513715</v>
      </c>
      <c r="AM40" s="177">
        <f t="shared" si="47"/>
        <v>0.12018591044354755</v>
      </c>
      <c r="AN40" s="178">
        <f t="shared" si="48"/>
        <v>0.41305373224475372</v>
      </c>
      <c r="AO40" s="179">
        <f t="shared" si="49"/>
        <v>0.4750174254513152</v>
      </c>
      <c r="AP40" s="177">
        <f t="shared" si="40"/>
        <v>0.19940802397403351</v>
      </c>
      <c r="AQ40" s="177">
        <f t="shared" si="41"/>
        <v>0.16992998272388427</v>
      </c>
      <c r="AR40" s="177">
        <f t="shared" si="42"/>
        <v>0.63066199330208217</v>
      </c>
      <c r="AS40" s="178">
        <f t="shared" si="50"/>
        <v>0.84336359670852135</v>
      </c>
      <c r="AT40" s="179">
        <f t="shared" si="51"/>
        <v>0.19940802397403351</v>
      </c>
    </row>
    <row r="41" spans="1:46">
      <c r="A41" s="169"/>
      <c r="B41" s="169">
        <v>240</v>
      </c>
      <c r="C41" s="170"/>
      <c r="D41" s="171">
        <f t="shared" si="43"/>
        <v>9.1106981252287795</v>
      </c>
      <c r="E41" s="169">
        <v>1</v>
      </c>
      <c r="F41" s="172">
        <f t="shared" si="44"/>
        <v>5.5975760149510982E-4</v>
      </c>
      <c r="G41" s="173">
        <f t="shared" si="26"/>
        <v>3.949037229576688E-6</v>
      </c>
      <c r="H41" s="174">
        <f t="shared" si="27"/>
        <v>5.4035087719298263</v>
      </c>
      <c r="I41" s="171">
        <f t="shared" si="28"/>
        <v>3.2520000000000002</v>
      </c>
      <c r="J41" s="171">
        <f t="shared" si="29"/>
        <v>-3.4822027290448343</v>
      </c>
      <c r="K41" s="171">
        <f t="shared" si="30"/>
        <v>0.5177972709551657</v>
      </c>
      <c r="L41" s="171">
        <f t="shared" si="30"/>
        <v>1.5177972709551657</v>
      </c>
      <c r="M41" s="171">
        <f t="shared" si="30"/>
        <v>2.5177972709551657</v>
      </c>
      <c r="N41" s="171">
        <f t="shared" si="31"/>
        <v>3.5177972709551657</v>
      </c>
      <c r="O41" s="171">
        <f t="shared" si="32"/>
        <v>1.6569972709551655</v>
      </c>
      <c r="P41" s="171">
        <f t="shared" si="32"/>
        <v>2.6569972709551655</v>
      </c>
      <c r="Q41" s="171">
        <f t="shared" si="32"/>
        <v>3.6569972709551655</v>
      </c>
      <c r="R41" s="171">
        <f t="shared" si="32"/>
        <v>4.6569972709551655</v>
      </c>
      <c r="S41" s="169"/>
      <c r="T41" s="170">
        <f t="shared" si="33"/>
        <v>1244.6542687682715</v>
      </c>
      <c r="U41" s="170">
        <f t="shared" si="34"/>
        <v>476.76470122880727</v>
      </c>
      <c r="V41" s="170">
        <f t="shared" si="35"/>
        <v>434.85361013824428</v>
      </c>
      <c r="W41" s="170">
        <f t="shared" si="36"/>
        <v>677.14591243710493</v>
      </c>
      <c r="X41" s="170">
        <f t="shared" si="37"/>
        <v>971.81331697907808</v>
      </c>
      <c r="Y41" s="175">
        <f t="shared" si="38"/>
        <v>6.5899884560223942E-2</v>
      </c>
      <c r="Z41" s="169">
        <f t="shared" si="39"/>
        <v>0.52326712161282107</v>
      </c>
      <c r="AA41" s="169"/>
      <c r="AB41" s="169"/>
      <c r="AC41" s="169"/>
      <c r="AD41" s="169"/>
      <c r="AE41" s="169"/>
      <c r="AF41" s="169"/>
      <c r="AG41" s="169"/>
      <c r="AH41" s="169"/>
      <c r="AI41" s="169"/>
      <c r="AJ41" s="169"/>
      <c r="AK41" s="176">
        <f t="shared" si="45"/>
        <v>0.43182927973265017</v>
      </c>
      <c r="AL41" s="177">
        <f t="shared" si="46"/>
        <v>0.47398045001277711</v>
      </c>
      <c r="AM41" s="177">
        <f t="shared" si="47"/>
        <v>9.4190270254572731E-2</v>
      </c>
      <c r="AN41" s="178">
        <f t="shared" si="48"/>
        <v>0.35809973118058736</v>
      </c>
      <c r="AO41" s="179">
        <f t="shared" si="49"/>
        <v>0.43182927973265017</v>
      </c>
      <c r="AP41" s="177">
        <f t="shared" si="40"/>
        <v>0.20729250425793086</v>
      </c>
      <c r="AQ41" s="177">
        <f t="shared" si="41"/>
        <v>0.22752647646606725</v>
      </c>
      <c r="AR41" s="177">
        <f t="shared" si="42"/>
        <v>0.56518101927600184</v>
      </c>
      <c r="AS41" s="178">
        <f t="shared" si="50"/>
        <v>0.7723052149165287</v>
      </c>
      <c r="AT41" s="179">
        <f t="shared" si="51"/>
        <v>0.20729250425793086</v>
      </c>
    </row>
    <row r="42" spans="1:46">
      <c r="A42" s="169"/>
      <c r="B42" s="169">
        <v>260</v>
      </c>
      <c r="C42" s="170"/>
      <c r="D42" s="171">
        <f t="shared" si="43"/>
        <v>7.2090813277354533</v>
      </c>
      <c r="E42" s="169">
        <v>1</v>
      </c>
      <c r="F42" s="172">
        <f t="shared" si="44"/>
        <v>2.5822601906346014E-4</v>
      </c>
      <c r="G42" s="173">
        <f t="shared" si="26"/>
        <v>1.8789758607768347E-6</v>
      </c>
      <c r="H42" s="174">
        <f t="shared" si="27"/>
        <v>5.7260787992495326</v>
      </c>
      <c r="I42" s="171">
        <f t="shared" si="28"/>
        <v>3.5879999999999992</v>
      </c>
      <c r="J42" s="171">
        <f t="shared" si="29"/>
        <v>-3.3324015009380865</v>
      </c>
      <c r="K42" s="171">
        <f t="shared" si="30"/>
        <v>0.66759849906191349</v>
      </c>
      <c r="L42" s="171">
        <f t="shared" si="30"/>
        <v>1.6675984990619135</v>
      </c>
      <c r="M42" s="171">
        <f t="shared" si="30"/>
        <v>2.6675984990619135</v>
      </c>
      <c r="N42" s="171">
        <f t="shared" si="31"/>
        <v>3.6675984990619135</v>
      </c>
      <c r="O42" s="171">
        <f t="shared" si="32"/>
        <v>1.5883984990619133</v>
      </c>
      <c r="P42" s="171">
        <f t="shared" si="32"/>
        <v>2.5883984990619133</v>
      </c>
      <c r="Q42" s="171">
        <f t="shared" si="32"/>
        <v>3.5883984990619133</v>
      </c>
      <c r="R42" s="171">
        <f t="shared" si="32"/>
        <v>4.5883984990619133</v>
      </c>
      <c r="S42" s="169"/>
      <c r="T42" s="170">
        <f t="shared" si="33"/>
        <v>1407.725000840388</v>
      </c>
      <c r="U42" s="170">
        <f t="shared" si="34"/>
        <v>567.27006805626013</v>
      </c>
      <c r="V42" s="170">
        <f t="shared" si="35"/>
        <v>542.11329258464423</v>
      </c>
      <c r="W42" s="170">
        <f t="shared" si="36"/>
        <v>801.35950429484615</v>
      </c>
      <c r="X42" s="170">
        <f t="shared" si="37"/>
        <v>1108.432352319262</v>
      </c>
      <c r="Y42" s="175">
        <f t="shared" si="38"/>
        <v>6.7829200075631271E-2</v>
      </c>
      <c r="Z42" s="169">
        <f t="shared" si="39"/>
        <v>0.58108854328459969</v>
      </c>
      <c r="AA42" s="169"/>
      <c r="AB42" s="169"/>
      <c r="AC42" s="169"/>
      <c r="AD42" s="169"/>
      <c r="AE42" s="169"/>
      <c r="AF42" s="169"/>
      <c r="AG42" s="169"/>
      <c r="AH42" s="169"/>
      <c r="AI42" s="169"/>
      <c r="AJ42" s="169"/>
      <c r="AK42" s="176">
        <f t="shared" si="45"/>
        <v>0.38800559207221957</v>
      </c>
      <c r="AL42" s="177">
        <f t="shared" si="46"/>
        <v>0.53821780395159102</v>
      </c>
      <c r="AM42" s="177">
        <f t="shared" si="47"/>
        <v>7.3776603976189306E-2</v>
      </c>
      <c r="AN42" s="178">
        <f t="shared" si="48"/>
        <v>0.30922427347380538</v>
      </c>
      <c r="AO42" s="179">
        <f t="shared" si="49"/>
        <v>0.38800559207221957</v>
      </c>
      <c r="AP42" s="177">
        <f t="shared" si="40"/>
        <v>0.20991078566897028</v>
      </c>
      <c r="AQ42" s="177">
        <f t="shared" si="41"/>
        <v>0.2911754995208361</v>
      </c>
      <c r="AR42" s="177">
        <f t="shared" si="42"/>
        <v>0.49891371481019364</v>
      </c>
      <c r="AS42" s="178">
        <f t="shared" si="50"/>
        <v>0.69729815413659402</v>
      </c>
      <c r="AT42" s="179">
        <f t="shared" si="51"/>
        <v>0.20991078566897028</v>
      </c>
    </row>
    <row r="43" spans="1:46">
      <c r="A43" s="169"/>
      <c r="B43" s="169">
        <v>280</v>
      </c>
      <c r="C43" s="169"/>
      <c r="D43" s="171">
        <f t="shared" si="43"/>
        <v>5.8017951009527744</v>
      </c>
      <c r="E43" s="169">
        <v>1</v>
      </c>
      <c r="F43" s="172">
        <f t="shared" si="44"/>
        <v>1.191242008027376E-4</v>
      </c>
      <c r="G43" s="173">
        <f t="shared" si="26"/>
        <v>9.4337322162997651E-7</v>
      </c>
      <c r="H43" s="174">
        <f t="shared" si="27"/>
        <v>6.0253164556962027</v>
      </c>
      <c r="I43" s="171">
        <f t="shared" si="28"/>
        <v>3.9239999999999995</v>
      </c>
      <c r="J43" s="171">
        <f t="shared" si="29"/>
        <v>-3.1934358047016276</v>
      </c>
      <c r="K43" s="171">
        <f t="shared" si="30"/>
        <v>0.80656419529837242</v>
      </c>
      <c r="L43" s="171">
        <f t="shared" si="30"/>
        <v>1.8065641952983724</v>
      </c>
      <c r="M43" s="171">
        <f t="shared" si="30"/>
        <v>2.8065641952983724</v>
      </c>
      <c r="N43" s="171">
        <f t="shared" si="31"/>
        <v>3.8065641952983724</v>
      </c>
      <c r="O43" s="171">
        <f t="shared" si="32"/>
        <v>1.5089641952983728</v>
      </c>
      <c r="P43" s="171">
        <f t="shared" si="32"/>
        <v>2.5089641952983728</v>
      </c>
      <c r="Q43" s="171">
        <f t="shared" si="32"/>
        <v>3.5089641952983728</v>
      </c>
      <c r="R43" s="171">
        <f t="shared" si="32"/>
        <v>4.5089641952983728</v>
      </c>
      <c r="S43" s="169"/>
      <c r="T43" s="170">
        <f t="shared" si="33"/>
        <v>1578.0448745868243</v>
      </c>
      <c r="U43" s="170">
        <f t="shared" si="34"/>
        <v>666.52363098663034</v>
      </c>
      <c r="V43" s="170">
        <f t="shared" si="35"/>
        <v>665.13743667568758</v>
      </c>
      <c r="W43" s="170">
        <f t="shared" si="36"/>
        <v>936.87518507601681</v>
      </c>
      <c r="X43" s="170">
        <f t="shared" si="37"/>
        <v>1252.285741681847</v>
      </c>
      <c r="Y43" s="175">
        <f t="shared" si="38"/>
        <v>7.3381175278407595E-2</v>
      </c>
      <c r="Z43" s="169">
        <f t="shared" si="39"/>
        <v>0.63283949298880904</v>
      </c>
      <c r="AA43" s="169"/>
      <c r="AB43" s="169"/>
      <c r="AC43" s="169"/>
      <c r="AD43" s="169"/>
      <c r="AE43" s="169"/>
      <c r="AF43" s="169"/>
      <c r="AG43" s="169"/>
      <c r="AH43" s="169"/>
      <c r="AI43" s="169"/>
      <c r="AJ43" s="169"/>
      <c r="AK43" s="176">
        <f t="shared" si="45"/>
        <v>0.34589943314298421</v>
      </c>
      <c r="AL43" s="177">
        <f t="shared" si="46"/>
        <v>0.59619381092272705</v>
      </c>
      <c r="AM43" s="177">
        <f t="shared" si="47"/>
        <v>5.7906755934288866E-2</v>
      </c>
      <c r="AN43" s="178">
        <f t="shared" si="48"/>
        <v>0.26658726377408248</v>
      </c>
      <c r="AO43" s="179">
        <f t="shared" si="49"/>
        <v>0.34589943314298421</v>
      </c>
      <c r="AP43" s="177">
        <f t="shared" si="40"/>
        <v>0.20763172047963263</v>
      </c>
      <c r="AQ43" s="177">
        <f t="shared" si="41"/>
        <v>0.35787496260516893</v>
      </c>
      <c r="AR43" s="177">
        <f t="shared" si="42"/>
        <v>0.43449331691519849</v>
      </c>
      <c r="AS43" s="178">
        <f t="shared" si="50"/>
        <v>0.62159598844691955</v>
      </c>
      <c r="AT43" s="179">
        <f t="shared" si="51"/>
        <v>0.20763172047963263</v>
      </c>
    </row>
    <row r="44" spans="1:46">
      <c r="A44" s="169"/>
      <c r="B44" s="169">
        <v>300</v>
      </c>
      <c r="C44" s="174"/>
      <c r="D44" s="171">
        <f t="shared" si="43"/>
        <v>4.7405526062041954</v>
      </c>
      <c r="E44" s="169">
        <v>1</v>
      </c>
      <c r="F44" s="172">
        <f t="shared" si="44"/>
        <v>5.4954087385762447E-5</v>
      </c>
      <c r="G44" s="173">
        <f t="shared" si="26"/>
        <v>4.9697561353033115E-7</v>
      </c>
      <c r="H44" s="174">
        <f t="shared" si="27"/>
        <v>6.3036649214659688</v>
      </c>
      <c r="I44" s="171">
        <f t="shared" si="28"/>
        <v>4.26</v>
      </c>
      <c r="J44" s="171">
        <f t="shared" si="29"/>
        <v>-3.0641710296684121</v>
      </c>
      <c r="K44" s="171">
        <f t="shared" si="30"/>
        <v>0.93582897033158785</v>
      </c>
      <c r="L44" s="171">
        <f t="shared" si="30"/>
        <v>1.9358289703315879</v>
      </c>
      <c r="M44" s="171">
        <f t="shared" si="30"/>
        <v>2.9358289703315879</v>
      </c>
      <c r="N44" s="171">
        <f t="shared" si="31"/>
        <v>3.9358289703315879</v>
      </c>
      <c r="O44" s="171">
        <f t="shared" si="32"/>
        <v>1.4198289703315883</v>
      </c>
      <c r="P44" s="171">
        <f t="shared" si="32"/>
        <v>2.4198289703315883</v>
      </c>
      <c r="Q44" s="171">
        <f t="shared" si="32"/>
        <v>3.4198289703315883</v>
      </c>
      <c r="R44" s="171">
        <f t="shared" si="32"/>
        <v>4.4198289703315883</v>
      </c>
      <c r="S44" s="169"/>
      <c r="T44" s="170">
        <f t="shared" si="33"/>
        <v>1754.9239044869184</v>
      </c>
      <c r="U44" s="170">
        <f t="shared" si="34"/>
        <v>774.37777420524822</v>
      </c>
      <c r="V44" s="170">
        <f t="shared" si="35"/>
        <v>804.51155512801085</v>
      </c>
      <c r="W44" s="170">
        <f t="shared" si="36"/>
        <v>1083.4261206612468</v>
      </c>
      <c r="X44" s="170">
        <f t="shared" si="37"/>
        <v>1402.8080674041319</v>
      </c>
      <c r="Y44" s="175">
        <f t="shared" si="38"/>
        <v>8.2934535625309697E-2</v>
      </c>
      <c r="Z44" s="169">
        <f t="shared" si="39"/>
        <v>0.67840061815532415</v>
      </c>
      <c r="AA44" s="169"/>
      <c r="AB44" s="169"/>
      <c r="AC44" s="169"/>
      <c r="AD44" s="169"/>
      <c r="AE44" s="169"/>
      <c r="AF44" s="169"/>
      <c r="AG44" s="169"/>
      <c r="AH44" s="169"/>
      <c r="AI44" s="169"/>
      <c r="AJ44" s="169"/>
      <c r="AK44" s="176">
        <f t="shared" si="45"/>
        <v>0.30692092911833335</v>
      </c>
      <c r="AL44" s="177">
        <f t="shared" si="46"/>
        <v>0.6474370281571199</v>
      </c>
      <c r="AM44" s="177">
        <f t="shared" si="47"/>
        <v>4.5642042724546736E-2</v>
      </c>
      <c r="AN44" s="178">
        <f t="shared" si="48"/>
        <v>0.22991901120695982</v>
      </c>
      <c r="AO44" s="179">
        <f t="shared" si="49"/>
        <v>0.30692092911833335</v>
      </c>
      <c r="AP44" s="177">
        <f t="shared" si="40"/>
        <v>0.20127500288574654</v>
      </c>
      <c r="AQ44" s="177">
        <f t="shared" si="41"/>
        <v>0.42458130856374843</v>
      </c>
      <c r="AR44" s="177">
        <f t="shared" si="42"/>
        <v>0.37414368855050512</v>
      </c>
      <c r="AS44" s="178">
        <f t="shared" si="50"/>
        <v>0.54823990383549837</v>
      </c>
      <c r="AT44" s="179">
        <f t="shared" si="51"/>
        <v>0.20127500288574654</v>
      </c>
    </row>
    <row r="45" spans="1:46">
      <c r="A45" s="169"/>
      <c r="B45" s="169">
        <v>320</v>
      </c>
      <c r="C45" s="170"/>
      <c r="D45" s="171">
        <f t="shared" si="43"/>
        <v>3.9265713253170782</v>
      </c>
      <c r="E45" s="169">
        <v>1</v>
      </c>
      <c r="F45" s="172">
        <f t="shared" si="44"/>
        <v>2.5351286304979089E-5</v>
      </c>
      <c r="G45" s="173">
        <f t="shared" si="26"/>
        <v>2.7337715904001087E-7</v>
      </c>
      <c r="H45" s="174">
        <f t="shared" si="27"/>
        <v>6.5632377740303554</v>
      </c>
      <c r="I45" s="171">
        <f t="shared" si="28"/>
        <v>4.5960000000000001</v>
      </c>
      <c r="J45" s="171">
        <f t="shared" si="29"/>
        <v>-2.9436256323777403</v>
      </c>
      <c r="K45" s="171">
        <f t="shared" si="30"/>
        <v>1.0563743676222597</v>
      </c>
      <c r="L45" s="171">
        <f t="shared" si="30"/>
        <v>2.0563743676222597</v>
      </c>
      <c r="M45" s="171">
        <f t="shared" si="30"/>
        <v>3.0563743676222597</v>
      </c>
      <c r="N45" s="171">
        <f t="shared" si="31"/>
        <v>4.0563743676222597</v>
      </c>
      <c r="O45" s="171">
        <f t="shared" si="32"/>
        <v>1.3219743676222597</v>
      </c>
      <c r="P45" s="171">
        <f t="shared" si="32"/>
        <v>2.3219743676222597</v>
      </c>
      <c r="Q45" s="171">
        <f t="shared" si="32"/>
        <v>3.3219743676222597</v>
      </c>
      <c r="R45" s="171">
        <f t="shared" si="32"/>
        <v>4.3219743676222597</v>
      </c>
      <c r="S45" s="169"/>
      <c r="T45" s="170">
        <f t="shared" si="33"/>
        <v>1937.6930946340706</v>
      </c>
      <c r="U45" s="170">
        <f t="shared" si="34"/>
        <v>890.62823401451431</v>
      </c>
      <c r="V45" s="170">
        <f t="shared" si="35"/>
        <v>960.68299021067844</v>
      </c>
      <c r="W45" s="170">
        <f t="shared" si="36"/>
        <v>1240.6787939195372</v>
      </c>
      <c r="X45" s="170">
        <f t="shared" si="37"/>
        <v>1559.4374496603741</v>
      </c>
      <c r="Y45" s="175">
        <f t="shared" si="38"/>
        <v>9.7339004982072444E-2</v>
      </c>
      <c r="Z45" s="169">
        <f t="shared" si="39"/>
        <v>0.71805182814961976</v>
      </c>
      <c r="AA45" s="169"/>
      <c r="AB45" s="169"/>
      <c r="AC45" s="169"/>
      <c r="AD45" s="169"/>
      <c r="AE45" s="169"/>
      <c r="AF45" s="169"/>
      <c r="AG45" s="169"/>
      <c r="AH45" s="169"/>
      <c r="AI45" s="169"/>
      <c r="AJ45" s="169"/>
      <c r="AK45" s="176">
        <f t="shared" si="45"/>
        <v>0.27174583175858663</v>
      </c>
      <c r="AL45" s="177">
        <f t="shared" si="46"/>
        <v>0.6920690068876888</v>
      </c>
      <c r="AM45" s="177">
        <f t="shared" si="47"/>
        <v>3.6185161353724606E-2</v>
      </c>
      <c r="AN45" s="178">
        <f t="shared" si="48"/>
        <v>0.19868904907255372</v>
      </c>
      <c r="AO45" s="179">
        <f t="shared" si="49"/>
        <v>0.27174583175858663</v>
      </c>
      <c r="AP45" s="177">
        <f t="shared" si="40"/>
        <v>0.19189336813770325</v>
      </c>
      <c r="AQ45" s="177">
        <f t="shared" si="41"/>
        <v>0.48870465410992503</v>
      </c>
      <c r="AR45" s="177">
        <f t="shared" si="42"/>
        <v>0.31940197775237178</v>
      </c>
      <c r="AS45" s="178">
        <f t="shared" si="50"/>
        <v>0.47961269447337357</v>
      </c>
      <c r="AT45" s="179">
        <f t="shared" si="51"/>
        <v>0.19189336813770325</v>
      </c>
    </row>
    <row r="46" spans="1:46">
      <c r="A46" s="169"/>
      <c r="B46" s="169">
        <v>340</v>
      </c>
      <c r="C46" s="170"/>
      <c r="D46" s="171">
        <f t="shared" si="43"/>
        <v>3.2925827967324475</v>
      </c>
      <c r="E46" s="169">
        <v>1</v>
      </c>
      <c r="F46" s="172">
        <f>10^(0.78-0.0168*B46)</f>
        <v>1.1694993910198703E-5</v>
      </c>
      <c r="G46" s="173">
        <f>10^(4410/(B46+273)-14)</f>
        <v>1.5636056932236523E-7</v>
      </c>
      <c r="H46" s="174">
        <f t="shared" si="27"/>
        <v>6.805872756933117</v>
      </c>
      <c r="I46" s="171">
        <f t="shared" si="28"/>
        <v>4.9320000000000004</v>
      </c>
      <c r="J46" s="171">
        <f t="shared" si="29"/>
        <v>-2.8309461663947801</v>
      </c>
      <c r="K46" s="171">
        <f t="shared" si="30"/>
        <v>1.1690538336052199</v>
      </c>
      <c r="L46" s="171">
        <f t="shared" si="30"/>
        <v>2.1690538336052199</v>
      </c>
      <c r="M46" s="171">
        <f t="shared" si="30"/>
        <v>3.1690538336052199</v>
      </c>
      <c r="N46" s="171">
        <f t="shared" si="31"/>
        <v>4.1690538336052203</v>
      </c>
      <c r="O46" s="171">
        <f t="shared" si="32"/>
        <v>1.2162538336052204</v>
      </c>
      <c r="P46" s="171">
        <f t="shared" si="32"/>
        <v>2.2162538336052204</v>
      </c>
      <c r="Q46" s="171">
        <f t="shared" si="32"/>
        <v>3.2162538336052204</v>
      </c>
      <c r="R46" s="171">
        <f t="shared" si="32"/>
        <v>4.2162538336052204</v>
      </c>
      <c r="S46" s="169"/>
      <c r="T46" s="170">
        <f t="shared" si="33"/>
        <v>2125.7103069050459</v>
      </c>
      <c r="U46" s="170">
        <f t="shared" si="34"/>
        <v>1015.0240810538908</v>
      </c>
      <c r="V46" s="170">
        <f t="shared" si="35"/>
        <v>1133.9667652412993</v>
      </c>
      <c r="W46" s="170">
        <f t="shared" si="36"/>
        <v>1408.2463351445542</v>
      </c>
      <c r="X46" s="170">
        <f t="shared" si="37"/>
        <v>1721.6228168999812</v>
      </c>
      <c r="Y46" s="169">
        <f t="shared" si="38"/>
        <v>0.11793143619934408</v>
      </c>
      <c r="Z46" s="169">
        <f t="shared" si="39"/>
        <v>0.75229924484338573</v>
      </c>
      <c r="AA46" s="169"/>
      <c r="AB46" s="169"/>
      <c r="AC46" s="169"/>
      <c r="AD46" s="169"/>
      <c r="AE46" s="169"/>
      <c r="AF46" s="169"/>
      <c r="AG46" s="169"/>
      <c r="AH46" s="169"/>
      <c r="AI46" s="169"/>
      <c r="AJ46" s="169"/>
      <c r="AK46" s="176">
        <f>(D46*AK$3)/(D46*AK$3+E46*AL$3+G46^0.5*AM$3)</f>
        <v>0.24054507825546234</v>
      </c>
      <c r="AL46" s="177">
        <f>(E46*AL$3)/(D46*AK$3+E46*AL$3+G46^0.5*AM$3)</f>
        <v>0.73056652818018364</v>
      </c>
      <c r="AM46" s="177">
        <f>(G46^0.5*AM$3)/(D46*AK$3+E46*AL$3+G46^0.5*AM$3)</f>
        <v>2.8888393564354003E-2</v>
      </c>
      <c r="AN46" s="178">
        <f>0.5774*AK46+1.1547*AM46</f>
        <v>0.17224815623346354</v>
      </c>
      <c r="AO46" s="179">
        <f>AK46</f>
        <v>0.24054507825546234</v>
      </c>
      <c r="AP46" s="177">
        <f t="shared" si="40"/>
        <v>0.18056004678120552</v>
      </c>
      <c r="AQ46" s="177">
        <f t="shared" si="41"/>
        <v>0.5483842257828504</v>
      </c>
      <c r="AR46" s="177">
        <f t="shared" si="42"/>
        <v>0.27105572743594408</v>
      </c>
      <c r="AS46" s="178">
        <f>0.5774*AP46+1.1547*AR46</f>
        <v>0.41724341948175275</v>
      </c>
      <c r="AT46" s="179">
        <f>AP46</f>
        <v>0.18056004678120552</v>
      </c>
    </row>
    <row r="47" spans="1:46">
      <c r="A47" s="167" t="s">
        <v>149</v>
      </c>
      <c r="B47" s="167">
        <v>380</v>
      </c>
      <c r="C47" s="185"/>
      <c r="D47" s="186">
        <f t="shared" si="43"/>
        <v>2.3913164958577435</v>
      </c>
      <c r="E47" s="128">
        <v>1</v>
      </c>
      <c r="F47" s="187">
        <f>10^(0.78-0.0168*B47)</f>
        <v>2.4888573182823936E-6</v>
      </c>
      <c r="G47" s="188">
        <f>10^(4410/(B47+273)-14)</f>
        <v>5.6682061314536792E-8</v>
      </c>
      <c r="H47" s="185">
        <f t="shared" si="27"/>
        <v>7.2465543644716703</v>
      </c>
      <c r="I47" s="186">
        <f t="shared" si="28"/>
        <v>5.6039999999999992</v>
      </c>
      <c r="J47" s="186">
        <f t="shared" si="29"/>
        <v>-2.6262940275650846</v>
      </c>
      <c r="K47" s="186">
        <f t="shared" si="30"/>
        <v>1.3737059724349154</v>
      </c>
      <c r="L47" s="186">
        <f t="shared" si="30"/>
        <v>2.3737059724349154</v>
      </c>
      <c r="M47" s="186">
        <f t="shared" si="30"/>
        <v>3.3737059724349154</v>
      </c>
      <c r="N47" s="186">
        <f t="shared" si="31"/>
        <v>4.3737059724349159</v>
      </c>
      <c r="O47" s="186">
        <f t="shared" si="32"/>
        <v>0.98410597243491615</v>
      </c>
      <c r="P47" s="186">
        <f t="shared" si="32"/>
        <v>1.9841059724349162</v>
      </c>
      <c r="Q47" s="186">
        <f t="shared" si="32"/>
        <v>2.9841059724349162</v>
      </c>
      <c r="R47" s="186">
        <f t="shared" si="32"/>
        <v>3.9841059724349162</v>
      </c>
      <c r="S47" s="128"/>
      <c r="T47" s="184"/>
      <c r="U47" s="184"/>
      <c r="V47" s="184"/>
      <c r="W47" s="184"/>
      <c r="X47" s="128"/>
      <c r="Y47" s="128"/>
      <c r="Z47" s="128"/>
      <c r="AA47" s="128"/>
      <c r="AB47" s="128"/>
      <c r="AC47" s="128"/>
      <c r="AD47" s="128"/>
      <c r="AE47" s="128"/>
      <c r="AF47" s="128"/>
      <c r="AG47" s="128"/>
      <c r="AH47" s="128"/>
      <c r="AI47" s="128"/>
      <c r="AJ47" s="128"/>
      <c r="AK47" s="129">
        <f>(D47*AK$3)/(D47*AK$3+E47*AL$3+G47^0.5*AM$3)</f>
        <v>0.18934527129758802</v>
      </c>
      <c r="AL47" s="130">
        <f>(E47*AL$3)/(D47*AK$3+E47*AL$3+G47^0.5*AM$3)</f>
        <v>0.79180347572382548</v>
      </c>
      <c r="AM47" s="130">
        <f>(G47^0.5*AM$3)/(D47*AK$3+E47*AL$3+G47^0.5*AM$3)</f>
        <v>1.8851252978586443E-2</v>
      </c>
      <c r="AN47" s="131">
        <f>0.5774*AK47+1.1547*AM47</f>
        <v>0.13109550146160109</v>
      </c>
      <c r="AO47" s="132">
        <f>AK47</f>
        <v>0.18934527129758802</v>
      </c>
      <c r="AP47" s="130">
        <f t="shared" si="40"/>
        <v>0.15561055171717295</v>
      </c>
      <c r="AQ47" s="130">
        <f t="shared" si="41"/>
        <v>0.6507317286805101</v>
      </c>
      <c r="AR47" s="130">
        <f t="shared" si="42"/>
        <v>0.19365771960231701</v>
      </c>
      <c r="AS47" s="131">
        <f>0.5774*AP47+1.1547*AR47</f>
        <v>0.31346610138629116</v>
      </c>
      <c r="AT47" s="132">
        <f>AP47</f>
        <v>0.15561055171717295</v>
      </c>
    </row>
    <row r="48" spans="1:46">
      <c r="A48" s="167" t="s">
        <v>148</v>
      </c>
      <c r="B48" s="168">
        <v>420</v>
      </c>
      <c r="C48" s="184"/>
      <c r="D48" s="186">
        <f t="shared" si="43"/>
        <v>1.8020714480308049</v>
      </c>
      <c r="E48" s="128">
        <v>1</v>
      </c>
      <c r="F48" s="187">
        <f>10^(0.78-0.0168*B48)</f>
        <v>5.2966344389165818E-7</v>
      </c>
      <c r="G48" s="188">
        <f>10^(4410/(B48+273)-14)</f>
        <v>2.310129700083151E-8</v>
      </c>
      <c r="H48" s="185">
        <f t="shared" si="27"/>
        <v>7.6363636363636376</v>
      </c>
      <c r="I48" s="186">
        <f t="shared" si="28"/>
        <v>6.2759999999999998</v>
      </c>
      <c r="J48" s="186">
        <f t="shared" si="29"/>
        <v>-2.4452669552669555</v>
      </c>
      <c r="K48" s="186">
        <f t="shared" si="30"/>
        <v>1.5547330447330445</v>
      </c>
      <c r="L48" s="186">
        <f t="shared" si="30"/>
        <v>2.5547330447330445</v>
      </c>
      <c r="M48" s="186">
        <f t="shared" si="30"/>
        <v>3.5547330447330445</v>
      </c>
      <c r="N48" s="186">
        <f t="shared" si="31"/>
        <v>4.5547330447330445</v>
      </c>
      <c r="O48" s="186">
        <f t="shared" si="32"/>
        <v>0.72833304473304494</v>
      </c>
      <c r="P48" s="186">
        <f t="shared" si="32"/>
        <v>1.7283330447330449</v>
      </c>
      <c r="Q48" s="186">
        <f t="shared" si="32"/>
        <v>2.7283330447330449</v>
      </c>
      <c r="R48" s="186">
        <f t="shared" si="32"/>
        <v>3.7283330447330449</v>
      </c>
      <c r="S48" s="128"/>
      <c r="T48" s="184"/>
      <c r="U48" s="184"/>
      <c r="V48" s="184"/>
      <c r="W48" s="184"/>
      <c r="X48" s="128"/>
      <c r="Y48" s="128"/>
      <c r="Z48" s="128"/>
      <c r="AA48" s="128"/>
      <c r="AB48" s="128"/>
      <c r="AC48" s="128"/>
      <c r="AD48" s="128"/>
      <c r="AE48" s="128"/>
      <c r="AF48" s="128"/>
      <c r="AG48" s="128"/>
      <c r="AH48" s="128"/>
      <c r="AI48" s="128"/>
      <c r="AJ48" s="128"/>
      <c r="AK48" s="129">
        <f>(D48*AK$3)/(D48*AK$3+E48*AL$3+G48^0.5*AM$3)</f>
        <v>0.15074970869021823</v>
      </c>
      <c r="AL48" s="130">
        <f>(E48*AL$3)/(D48*AK$3+E48*AL$3+G48^0.5*AM$3)</f>
        <v>0.83653569260502092</v>
      </c>
      <c r="AM48" s="130">
        <f>(G48^0.5*AM$3)/(D48*AK$3+E48*AL$3+G48^0.5*AM$3)</f>
        <v>1.2714598704760775E-2</v>
      </c>
      <c r="AN48" s="131">
        <f>0.5774*AK48+1.1547*AM48</f>
        <v>0.10172442892211928</v>
      </c>
      <c r="AO48" s="132">
        <f>AK48</f>
        <v>0.15074970869021823</v>
      </c>
      <c r="AP48" s="130">
        <f t="shared" si="40"/>
        <v>0.13151924311182928</v>
      </c>
      <c r="AQ48" s="130">
        <f t="shared" si="41"/>
        <v>0.72982257865272526</v>
      </c>
      <c r="AR48" s="130">
        <f t="shared" si="42"/>
        <v>0.13865817823544552</v>
      </c>
      <c r="AS48" s="131">
        <f>0.5774*AP48+1.1547*AR48</f>
        <v>0.23604780938123918</v>
      </c>
      <c r="AT48" s="132">
        <f>AP48</f>
        <v>0.13151924311182928</v>
      </c>
    </row>
    <row r="49" spans="1:46">
      <c r="A49" s="167"/>
      <c r="B49" s="167">
        <v>550</v>
      </c>
      <c r="C49" s="128"/>
      <c r="D49" s="186">
        <f>10^((1390/(B49+273))-1.75)</f>
        <v>0.86884617167044476</v>
      </c>
      <c r="E49" s="128">
        <v>1</v>
      </c>
      <c r="F49" s="189">
        <f>10^(0.78-0.0168*B49)</f>
        <v>3.467368504525301E-9</v>
      </c>
      <c r="G49" s="189">
        <f>10^(4410/(B49+273)-14)</f>
        <v>2.2826783220041749E-9</v>
      </c>
      <c r="H49" s="185">
        <f t="shared" si="27"/>
        <v>8.6415552855407043</v>
      </c>
      <c r="I49" s="186">
        <f t="shared" si="28"/>
        <v>8.4600000000000026</v>
      </c>
      <c r="J49" s="186">
        <f t="shared" si="29"/>
        <v>-1.978456865127582</v>
      </c>
      <c r="K49" s="186">
        <f t="shared" si="30"/>
        <v>2.021543134872418</v>
      </c>
      <c r="L49" s="186">
        <f t="shared" si="30"/>
        <v>3.021543134872418</v>
      </c>
      <c r="M49" s="186">
        <f t="shared" si="30"/>
        <v>4.0215431348724184</v>
      </c>
      <c r="N49" s="186">
        <f t="shared" si="31"/>
        <v>5.0215431348724184</v>
      </c>
      <c r="O49" s="186">
        <f t="shared" si="32"/>
        <v>-0.22445686512758112</v>
      </c>
      <c r="P49" s="186">
        <f t="shared" si="32"/>
        <v>0.77554313487241888</v>
      </c>
      <c r="Q49" s="186">
        <f t="shared" si="32"/>
        <v>1.7755431348724189</v>
      </c>
      <c r="R49" s="186">
        <f t="shared" si="32"/>
        <v>2.7755431348724189</v>
      </c>
      <c r="S49" s="128"/>
      <c r="T49" s="184"/>
      <c r="U49" s="184"/>
      <c r="V49" s="184"/>
      <c r="W49" s="184"/>
      <c r="X49" s="128"/>
      <c r="Y49" s="128"/>
      <c r="Z49" s="128"/>
      <c r="AA49" s="128"/>
      <c r="AB49" s="128"/>
      <c r="AC49" s="128"/>
      <c r="AD49" s="128"/>
      <c r="AE49" s="128"/>
      <c r="AF49" s="128"/>
      <c r="AG49" s="128"/>
      <c r="AH49" s="128"/>
      <c r="AI49" s="128"/>
      <c r="AJ49" s="128"/>
      <c r="AK49" s="129">
        <f>(D49*AK$3)/(D49*AK$3+E49*AL$3+G49^0.5*AM$3)</f>
        <v>7.9589276603966932E-2</v>
      </c>
      <c r="AL49" s="130">
        <f>(E49*AL$3)/(D49*AK$3+E49*AL$3+G49^0.5*AM$3)</f>
        <v>0.91603415194830728</v>
      </c>
      <c r="AM49" s="130">
        <f>(G49^0.5*AM$3)/(D49*AK$3+E49*AL$3+G49^0.5*AM$3)</f>
        <v>4.3765714477257594E-3</v>
      </c>
      <c r="AN49" s="131">
        <f>0.5774*AK49+1.1547*AM49</f>
        <v>5.1008475361819447E-2</v>
      </c>
      <c r="AO49" s="132">
        <f>AK49</f>
        <v>7.9589276603966932E-2</v>
      </c>
      <c r="AP49" s="130">
        <f>($D49*AQ$30*$AK$3)/($D49*AQ$30*$AK$3+$E49*AQ$30*$AL$3+$G49^0.5*$AM$3)</f>
        <v>7.5775454654266466E-2</v>
      </c>
      <c r="AQ49" s="130">
        <f t="shared" si="41"/>
        <v>0.87213890243172143</v>
      </c>
      <c r="AR49" s="130">
        <f t="shared" si="42"/>
        <v>5.2085642914012083E-2</v>
      </c>
      <c r="AS49" s="131">
        <f>0.5774*AP49+1.1547*AR49</f>
        <v>0.10389603939018321</v>
      </c>
      <c r="AT49" s="132">
        <f>AP49</f>
        <v>7.5775454654266466E-2</v>
      </c>
    </row>
    <row r="50" spans="1:46">
      <c r="A50" s="128"/>
      <c r="B50" s="184"/>
      <c r="C50" s="185"/>
      <c r="D50" s="185"/>
      <c r="E50" s="185"/>
      <c r="F50" s="185"/>
      <c r="G50" s="185"/>
      <c r="H50" s="185"/>
      <c r="I50" s="186"/>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9">
        <v>0</v>
      </c>
      <c r="AL50" s="130">
        <v>1</v>
      </c>
      <c r="AM50" s="130">
        <v>0</v>
      </c>
      <c r="AN50" s="131">
        <f>0.5774*AK50+1.1547*AM50</f>
        <v>0</v>
      </c>
      <c r="AO50" s="132">
        <f>AK50</f>
        <v>0</v>
      </c>
      <c r="AP50" s="129">
        <v>0</v>
      </c>
      <c r="AQ50" s="130">
        <v>1</v>
      </c>
      <c r="AR50" s="130">
        <v>0</v>
      </c>
      <c r="AS50" s="131">
        <f>0.5774*AP50+1.1547*AR50</f>
        <v>0</v>
      </c>
      <c r="AT50" s="132">
        <f>AP50</f>
        <v>0</v>
      </c>
    </row>
    <row r="51" spans="1:46">
      <c r="B51" s="41"/>
      <c r="C51" s="41"/>
      <c r="D51" s="41"/>
      <c r="E51" s="44"/>
      <c r="F51" s="44"/>
      <c r="G51" s="44"/>
      <c r="H51" s="44"/>
      <c r="I51" s="41"/>
    </row>
    <row r="52" spans="1:46">
      <c r="A52" s="31" t="s">
        <v>69</v>
      </c>
      <c r="D52" s="41"/>
      <c r="E52" s="44"/>
      <c r="F52" s="44"/>
      <c r="G52" s="44"/>
      <c r="H52" s="44"/>
      <c r="I52" s="41"/>
    </row>
    <row r="53" spans="1:46">
      <c r="A53" s="154" t="s">
        <v>150</v>
      </c>
      <c r="B53" s="154"/>
      <c r="C53" s="154"/>
      <c r="D53" s="106"/>
      <c r="E53" s="106"/>
      <c r="F53" s="106"/>
      <c r="G53" s="106"/>
      <c r="H53" s="106"/>
      <c r="I53" s="106"/>
      <c r="J53" s="192"/>
      <c r="K53" s="192"/>
      <c r="L53" s="192"/>
      <c r="M53" s="192"/>
      <c r="N53" s="192"/>
      <c r="O53" s="192"/>
      <c r="P53" s="54"/>
      <c r="Q53" s="54"/>
      <c r="R53" s="54"/>
      <c r="T53" s="55"/>
      <c r="U53" s="54"/>
      <c r="V53" s="54"/>
    </row>
    <row r="54" spans="1:46">
      <c r="A54" s="154"/>
      <c r="B54" s="198" t="s">
        <v>70</v>
      </c>
      <c r="C54" s="198" t="s">
        <v>71</v>
      </c>
      <c r="D54" s="190"/>
      <c r="E54" s="190"/>
      <c r="F54" s="190"/>
      <c r="G54" s="190"/>
      <c r="H54" s="190"/>
      <c r="I54" s="191"/>
      <c r="J54" s="190"/>
      <c r="K54" s="190"/>
      <c r="L54" s="190"/>
      <c r="M54" s="190"/>
      <c r="N54" s="190"/>
      <c r="O54" s="191"/>
      <c r="P54" s="54"/>
      <c r="Q54" s="54"/>
      <c r="R54" s="54"/>
      <c r="T54" s="56"/>
      <c r="U54" s="56"/>
      <c r="V54" s="57"/>
    </row>
    <row r="55" spans="1:46">
      <c r="A55" s="154" t="s">
        <v>72</v>
      </c>
      <c r="B55" s="200">
        <f>Input!AF3</f>
        <v>-10</v>
      </c>
      <c r="C55" s="200">
        <f>Input!AG3</f>
        <v>-20</v>
      </c>
      <c r="D55" s="54" t="s">
        <v>152</v>
      </c>
      <c r="E55" s="54"/>
      <c r="F55" s="54"/>
      <c r="G55" s="54"/>
      <c r="H55" s="54"/>
      <c r="I55" s="55"/>
      <c r="J55"/>
      <c r="K55"/>
      <c r="L55" s="54"/>
      <c r="M55"/>
      <c r="N55"/>
      <c r="O55"/>
      <c r="P55" s="54"/>
      <c r="Q55" s="54"/>
      <c r="R55" s="54"/>
      <c r="S55" s="58"/>
      <c r="T55" s="54"/>
      <c r="U55" s="54"/>
      <c r="V55" s="54"/>
    </row>
    <row r="56" spans="1:46">
      <c r="A56" s="154">
        <v>100</v>
      </c>
      <c r="B56" s="154">
        <f>B55-5.24</f>
        <v>-15.24</v>
      </c>
      <c r="C56" s="154">
        <f>C55-27.8</f>
        <v>-47.8</v>
      </c>
      <c r="D56" s="54"/>
      <c r="E56" s="54"/>
      <c r="F56" s="54"/>
      <c r="G56" s="54"/>
      <c r="H56" s="54"/>
      <c r="I56" s="55"/>
      <c r="J56" s="54"/>
      <c r="K56" s="54"/>
      <c r="L56" s="54"/>
      <c r="M56" s="54"/>
      <c r="N56" s="54"/>
      <c r="O56" s="54"/>
      <c r="P56" s="54"/>
      <c r="Q56" s="54"/>
      <c r="R56" s="54"/>
      <c r="S56" s="55"/>
      <c r="T56" s="54"/>
      <c r="U56" s="54"/>
      <c r="V56" s="54"/>
    </row>
    <row r="57" spans="1:46">
      <c r="A57" s="154">
        <v>120</v>
      </c>
      <c r="B57" s="154">
        <f>B55-4.53</f>
        <v>-14.530000000000001</v>
      </c>
      <c r="C57" s="154">
        <f>C55-21.5</f>
        <v>-41.5</v>
      </c>
      <c r="D57" s="54"/>
      <c r="E57" s="54"/>
      <c r="F57" s="54"/>
      <c r="G57" s="54"/>
      <c r="H57" s="54"/>
      <c r="I57" s="55"/>
      <c r="J57"/>
      <c r="K57"/>
      <c r="L57" s="54"/>
      <c r="M57" s="19"/>
      <c r="N57" s="19"/>
      <c r="O57" s="18"/>
      <c r="P57" s="54"/>
      <c r="Q57" s="54"/>
      <c r="R57" s="54"/>
      <c r="S57" s="55"/>
      <c r="T57" s="54"/>
      <c r="U57" s="55"/>
      <c r="V57" s="54"/>
    </row>
    <row r="58" spans="1:46">
      <c r="A58" s="154">
        <v>140</v>
      </c>
      <c r="B58" s="154">
        <f>B55-3.91</f>
        <v>-13.91</v>
      </c>
      <c r="C58" s="154">
        <f>C55-16.3</f>
        <v>-36.299999999999997</v>
      </c>
      <c r="D58" s="54"/>
      <c r="E58" s="54"/>
      <c r="F58" s="54"/>
      <c r="G58" s="54"/>
      <c r="H58" s="54"/>
      <c r="I58" s="60"/>
      <c r="J58" s="61"/>
      <c r="K58" s="61"/>
      <c r="L58" s="59"/>
      <c r="M58" s="62"/>
      <c r="N58" s="61"/>
      <c r="O58" s="61"/>
      <c r="P58" s="63"/>
      <c r="Q58" s="63"/>
      <c r="R58" s="54"/>
      <c r="S58" s="54"/>
      <c r="T58" s="64"/>
      <c r="U58" s="65"/>
      <c r="V58" s="66"/>
    </row>
    <row r="59" spans="1:46">
      <c r="A59" s="154">
        <v>160</v>
      </c>
      <c r="B59" s="154">
        <f>B55-3.37</f>
        <v>-13.370000000000001</v>
      </c>
      <c r="C59" s="154">
        <f>C55-11.7</f>
        <v>-31.7</v>
      </c>
      <c r="D59" s="51"/>
      <c r="E59" s="67"/>
      <c r="F59" s="47"/>
      <c r="G59" s="51"/>
      <c r="H59" s="51"/>
      <c r="I59" s="51"/>
      <c r="J59" s="68"/>
      <c r="K59" s="68"/>
      <c r="L59" s="68"/>
      <c r="M59" s="68"/>
      <c r="N59" s="68"/>
      <c r="O59" s="68"/>
      <c r="P59" s="63"/>
      <c r="Q59" s="63"/>
      <c r="R59" s="54"/>
      <c r="S59" s="63"/>
      <c r="T59" s="67"/>
      <c r="U59" s="19"/>
      <c r="V59" s="69"/>
    </row>
    <row r="60" spans="1:46">
      <c r="A60" s="154">
        <v>180</v>
      </c>
      <c r="B60" s="154">
        <f>B55-2.9</f>
        <v>-12.9</v>
      </c>
      <c r="C60" s="154">
        <f>C55-7.4</f>
        <v>-27.4</v>
      </c>
      <c r="D60" s="51"/>
      <c r="E60" s="67"/>
      <c r="F60" s="47"/>
      <c r="G60" s="51"/>
      <c r="H60" s="51"/>
      <c r="I60" s="51"/>
      <c r="J60" s="68"/>
      <c r="K60" s="68"/>
      <c r="L60" s="68"/>
      <c r="M60" s="68"/>
      <c r="N60" s="68"/>
      <c r="O60" s="68"/>
      <c r="P60" s="63"/>
      <c r="Q60" s="63"/>
      <c r="R60" s="54"/>
      <c r="S60" s="63"/>
      <c r="T60" s="67"/>
      <c r="U60" s="19"/>
      <c r="V60" s="69"/>
    </row>
    <row r="61" spans="1:46">
      <c r="A61" s="154">
        <v>200</v>
      </c>
      <c r="B61" s="154">
        <f>B55-2.48</f>
        <v>-12.48</v>
      </c>
      <c r="C61" s="154">
        <f>C55-3.5</f>
        <v>-23.5</v>
      </c>
      <c r="D61" s="51"/>
      <c r="E61" s="67"/>
      <c r="F61" s="47"/>
      <c r="G61" s="51"/>
      <c r="H61" s="51"/>
      <c r="I61" s="51"/>
      <c r="J61" s="68"/>
      <c r="K61" s="68"/>
      <c r="L61" s="68"/>
      <c r="M61" s="68"/>
      <c r="N61" s="68"/>
      <c r="O61" s="68"/>
      <c r="P61" s="63"/>
      <c r="Q61" s="63"/>
      <c r="R61" s="54"/>
      <c r="S61" s="63"/>
      <c r="T61" s="67"/>
      <c r="U61" s="19"/>
      <c r="V61" s="69"/>
      <c r="W61" s="39"/>
    </row>
    <row r="62" spans="1:46">
      <c r="A62" s="154">
        <v>220</v>
      </c>
      <c r="B62" s="154">
        <f>B55-2.1</f>
        <v>-12.1</v>
      </c>
      <c r="C62" s="154">
        <f>C55-0.1</f>
        <v>-20.100000000000001</v>
      </c>
      <c r="D62" s="51"/>
      <c r="E62" s="67"/>
      <c r="F62" s="47"/>
      <c r="G62" s="51"/>
      <c r="H62" s="51"/>
      <c r="I62" s="51"/>
      <c r="J62" s="68"/>
      <c r="K62" s="68"/>
      <c r="L62" s="68"/>
      <c r="M62" s="68"/>
      <c r="N62" s="68"/>
      <c r="O62" s="68"/>
      <c r="P62" s="63"/>
      <c r="Q62" s="63"/>
      <c r="R62" s="54"/>
      <c r="S62" s="63"/>
      <c r="T62" s="67"/>
      <c r="U62" s="19"/>
      <c r="V62" s="69"/>
      <c r="W62" s="39"/>
    </row>
    <row r="63" spans="1:46">
      <c r="A63" s="154">
        <v>240</v>
      </c>
      <c r="B63" s="154">
        <f>B55-1.77</f>
        <v>-11.77</v>
      </c>
      <c r="C63" s="154">
        <f>C55--2.2</f>
        <v>-17.8</v>
      </c>
      <c r="D63" s="51"/>
      <c r="E63" s="67"/>
      <c r="F63" s="47"/>
      <c r="G63" s="51"/>
      <c r="H63" s="51"/>
      <c r="I63" s="51"/>
      <c r="J63" s="68"/>
      <c r="K63" s="68"/>
      <c r="L63" s="68"/>
      <c r="M63" s="68"/>
      <c r="N63" s="68"/>
      <c r="O63" s="68"/>
      <c r="P63" s="63"/>
      <c r="Q63" s="63"/>
      <c r="R63" s="54"/>
      <c r="S63" s="63"/>
      <c r="T63" s="67"/>
      <c r="U63" s="19"/>
      <c r="V63" s="69"/>
      <c r="W63" s="39"/>
    </row>
    <row r="64" spans="1:46">
      <c r="A64" s="154">
        <v>260</v>
      </c>
      <c r="B64" s="154">
        <f>B55-1.46</f>
        <v>-11.46</v>
      </c>
      <c r="C64" s="154">
        <f>C55--3.6</f>
        <v>-16.399999999999999</v>
      </c>
      <c r="D64" s="51"/>
      <c r="E64" s="67"/>
      <c r="F64" s="47"/>
      <c r="G64" s="51"/>
      <c r="H64" s="51"/>
      <c r="I64" s="51"/>
      <c r="J64" s="68"/>
      <c r="K64" s="68"/>
      <c r="L64" s="68"/>
      <c r="M64" s="68"/>
      <c r="N64" s="68"/>
      <c r="O64" s="68"/>
      <c r="P64" s="63"/>
      <c r="Q64" s="63"/>
      <c r="R64" s="54"/>
      <c r="S64" s="63"/>
      <c r="T64" s="67"/>
      <c r="U64" s="19"/>
      <c r="V64" s="69"/>
      <c r="W64" s="39"/>
    </row>
    <row r="65" spans="1:23">
      <c r="A65" s="154">
        <v>280</v>
      </c>
      <c r="B65" s="154">
        <f>B55-1.19</f>
        <v>-11.19</v>
      </c>
      <c r="C65" s="154">
        <f>C55--4</f>
        <v>-16</v>
      </c>
      <c r="D65" s="51"/>
      <c r="E65" s="67"/>
      <c r="F65" s="47"/>
      <c r="G65" s="51"/>
      <c r="H65" s="51"/>
      <c r="I65" s="51"/>
      <c r="J65" s="68"/>
      <c r="K65" s="68"/>
      <c r="L65" s="68"/>
      <c r="M65" s="68"/>
      <c r="N65" s="68"/>
      <c r="O65" s="68"/>
      <c r="P65" s="63"/>
      <c r="Q65" s="63"/>
      <c r="R65" s="54"/>
      <c r="S65" s="63"/>
      <c r="T65" s="67"/>
      <c r="U65" s="19"/>
      <c r="V65" s="69"/>
      <c r="W65" s="39"/>
    </row>
    <row r="66" spans="1:23">
      <c r="A66" s="154">
        <v>300</v>
      </c>
      <c r="B66" s="154">
        <f>B55-0.94</f>
        <v>-10.94</v>
      </c>
      <c r="C66" s="154">
        <f>C55+3.4</f>
        <v>-16.600000000000001</v>
      </c>
      <c r="D66" s="51"/>
      <c r="E66" s="67"/>
      <c r="F66" s="47"/>
      <c r="G66" s="51"/>
      <c r="H66" s="51"/>
      <c r="I66" s="51"/>
      <c r="J66" s="68"/>
      <c r="K66" s="68"/>
      <c r="L66" s="68"/>
      <c r="M66" s="68"/>
      <c r="N66" s="68"/>
      <c r="O66" s="68"/>
      <c r="P66" s="63"/>
      <c r="Q66" s="63"/>
      <c r="R66" s="54"/>
      <c r="S66" s="63"/>
      <c r="T66" s="67"/>
      <c r="U66" s="19"/>
      <c r="V66" s="69"/>
      <c r="W66" s="39"/>
    </row>
    <row r="67" spans="1:23">
      <c r="A67" s="195" t="s">
        <v>73</v>
      </c>
      <c r="B67" s="148"/>
      <c r="C67" s="148"/>
      <c r="D67" s="51"/>
      <c r="E67" s="67"/>
      <c r="F67" s="47"/>
      <c r="G67" s="51"/>
      <c r="H67" s="51"/>
      <c r="I67" s="51"/>
      <c r="J67" s="68"/>
      <c r="K67" s="68"/>
      <c r="L67" s="68"/>
      <c r="M67" s="68"/>
      <c r="N67" s="68"/>
      <c r="O67" s="68"/>
      <c r="P67" s="63"/>
      <c r="Q67" s="63"/>
      <c r="R67" s="54"/>
      <c r="S67" s="63"/>
      <c r="T67" s="67"/>
      <c r="U67" s="19"/>
      <c r="V67" s="69"/>
    </row>
    <row r="68" spans="1:23">
      <c r="A68" s="148"/>
      <c r="B68" s="197" t="s">
        <v>75</v>
      </c>
      <c r="C68" s="197" t="s">
        <v>71</v>
      </c>
      <c r="D68" s="51"/>
      <c r="E68" s="67"/>
      <c r="F68" s="47"/>
      <c r="G68" s="51"/>
      <c r="H68" s="51"/>
      <c r="I68" s="51"/>
      <c r="J68" s="68"/>
      <c r="K68" s="68"/>
      <c r="L68" s="68"/>
      <c r="M68" s="68"/>
      <c r="N68" s="68"/>
      <c r="O68" s="68"/>
      <c r="P68" s="63"/>
      <c r="Q68" s="63"/>
      <c r="R68" s="54"/>
      <c r="S68" s="63"/>
      <c r="T68" s="67"/>
      <c r="U68" s="19"/>
      <c r="V68" s="69"/>
    </row>
    <row r="69" spans="1:23">
      <c r="A69" s="148"/>
      <c r="B69" s="195">
        <v>-1</v>
      </c>
      <c r="C69" s="195">
        <f>8*B69+10</f>
        <v>2</v>
      </c>
      <c r="D69" s="51"/>
      <c r="E69" s="67"/>
      <c r="F69" s="47"/>
      <c r="G69" s="51"/>
      <c r="H69" s="51"/>
      <c r="I69" s="51"/>
      <c r="J69" s="68"/>
      <c r="K69" s="68"/>
      <c r="L69" s="68"/>
      <c r="M69" s="68"/>
      <c r="N69" s="68"/>
      <c r="O69" s="68"/>
      <c r="P69" s="63"/>
      <c r="Q69" s="63"/>
      <c r="R69" s="54"/>
      <c r="S69" s="63"/>
      <c r="T69" s="67"/>
      <c r="U69" s="19"/>
      <c r="V69" s="69"/>
    </row>
    <row r="70" spans="1:23">
      <c r="A70" s="148"/>
      <c r="B70" s="201">
        <f>Input!AF4</f>
        <v>-16</v>
      </c>
      <c r="C70" s="195">
        <f>8*B70+10</f>
        <v>-118</v>
      </c>
      <c r="D70" s="51"/>
      <c r="E70" s="67"/>
      <c r="F70" s="47"/>
      <c r="G70" s="51"/>
      <c r="H70" s="51"/>
      <c r="I70" s="51"/>
      <c r="J70" s="68"/>
      <c r="K70" s="68"/>
      <c r="L70" s="68"/>
      <c r="M70" s="68"/>
      <c r="N70" s="68"/>
      <c r="O70" s="68"/>
      <c r="P70" s="63"/>
      <c r="Q70" s="63"/>
      <c r="R70" s="70"/>
      <c r="S70" s="63"/>
      <c r="T70" s="67"/>
      <c r="U70" s="19"/>
      <c r="V70" s="69"/>
    </row>
    <row r="71" spans="1:23">
      <c r="A71" s="148"/>
      <c r="B71" s="195">
        <v>-22</v>
      </c>
      <c r="C71" s="195">
        <f>8*B71+10</f>
        <v>-166</v>
      </c>
      <c r="D71" s="51"/>
      <c r="E71" s="67"/>
      <c r="F71" s="47"/>
      <c r="G71" s="51"/>
      <c r="H71" s="51"/>
      <c r="I71" s="51"/>
      <c r="J71" s="68"/>
      <c r="K71" s="68"/>
      <c r="L71" s="68"/>
      <c r="M71" s="68"/>
      <c r="N71" s="68"/>
      <c r="O71" s="68"/>
      <c r="P71" s="63"/>
      <c r="Q71" s="63"/>
      <c r="R71" s="70"/>
      <c r="S71" s="63"/>
      <c r="T71" s="67"/>
      <c r="U71" s="19"/>
      <c r="V71" s="69"/>
    </row>
    <row r="72" spans="1:23">
      <c r="A72" s="196" t="s">
        <v>74</v>
      </c>
      <c r="B72" s="133"/>
      <c r="C72" s="133"/>
      <c r="D72" s="51"/>
      <c r="E72" s="67"/>
      <c r="F72" s="47"/>
      <c r="G72" s="51"/>
      <c r="H72" s="51"/>
      <c r="I72" s="51"/>
      <c r="J72" s="68"/>
      <c r="K72" s="68"/>
      <c r="L72" s="68"/>
      <c r="M72" s="68"/>
      <c r="N72" s="68"/>
      <c r="O72" s="68"/>
      <c r="P72" s="63"/>
      <c r="Q72" s="63"/>
      <c r="R72" s="70"/>
      <c r="S72" s="63"/>
      <c r="T72" s="67"/>
      <c r="U72" s="19"/>
      <c r="V72" s="69"/>
    </row>
    <row r="73" spans="1:23">
      <c r="A73" s="133"/>
      <c r="B73" s="196">
        <v>8</v>
      </c>
      <c r="C73" s="196">
        <v>-10</v>
      </c>
    </row>
    <row r="74" spans="1:23">
      <c r="A74" s="133"/>
      <c r="B74" s="196">
        <v>8</v>
      </c>
      <c r="C74" s="196">
        <v>-30</v>
      </c>
    </row>
    <row r="75" spans="1:23">
      <c r="A75" s="133"/>
      <c r="B75" s="133">
        <v>10</v>
      </c>
      <c r="C75" s="133">
        <v>-30</v>
      </c>
    </row>
    <row r="76" spans="1:23">
      <c r="A76" s="133"/>
      <c r="B76" s="133">
        <v>10</v>
      </c>
      <c r="C76" s="133">
        <v>-10</v>
      </c>
    </row>
    <row r="77" spans="1:23">
      <c r="A77" s="133"/>
      <c r="B77" s="133">
        <v>8</v>
      </c>
      <c r="C77" s="133">
        <v>-10</v>
      </c>
    </row>
  </sheetData>
  <mergeCells count="8">
    <mergeCell ref="J29:N29"/>
    <mergeCell ref="H29:I29"/>
    <mergeCell ref="O29:R29"/>
    <mergeCell ref="AK1:AO1"/>
    <mergeCell ref="Q1:U1"/>
    <mergeCell ref="V1:Z1"/>
    <mergeCell ref="AA1:AE1"/>
    <mergeCell ref="AF1:AJ1"/>
  </mergeCells>
  <phoneticPr fontId="0" type="noConversion"/>
  <pageMargins left="0.75" right="0.75" top="1" bottom="1" header="0.5" footer="0.5"/>
  <headerFooter alignWithMargins="0"/>
  <legacyDrawing r:id="rId1"/>
</worksheet>
</file>

<file path=xl/worksheets/sheet3.xml><?xml version="1.0" encoding="utf-8"?>
<worksheet xmlns="http://schemas.openxmlformats.org/spreadsheetml/2006/main" xmlns:r="http://schemas.openxmlformats.org/officeDocument/2006/relationships">
  <dimension ref="A4:W38"/>
  <sheetViews>
    <sheetView showZeros="0" topLeftCell="A4" zoomScale="75" workbookViewId="0">
      <selection activeCell="A8" sqref="A8"/>
    </sheetView>
  </sheetViews>
  <sheetFormatPr defaultRowHeight="12.75"/>
  <cols>
    <col min="1" max="1" width="23.140625" customWidth="1"/>
    <col min="2" max="2" width="12.85546875" customWidth="1"/>
    <col min="3" max="3" width="13.5703125" customWidth="1"/>
    <col min="4" max="5" width="14" customWidth="1"/>
    <col min="6" max="6" width="13" customWidth="1"/>
    <col min="7" max="7" width="12.5703125" customWidth="1"/>
    <col min="8" max="8" width="16.7109375" hidden="1" customWidth="1"/>
    <col min="9" max="10" width="9" hidden="1" customWidth="1"/>
    <col min="11" max="11" width="11" customWidth="1"/>
    <col min="12" max="12" width="9.7109375" hidden="1" customWidth="1"/>
    <col min="13" max="14" width="8.42578125" hidden="1" customWidth="1"/>
    <col min="15" max="15" width="10.7109375" customWidth="1"/>
    <col min="16" max="16" width="12.85546875" customWidth="1"/>
    <col min="17" max="17" width="12" customWidth="1"/>
    <col min="18" max="18" width="15" customWidth="1"/>
    <col min="19" max="19" width="13" customWidth="1"/>
    <col min="20" max="20" width="16.42578125" customWidth="1"/>
    <col min="21" max="21" width="13.7109375" customWidth="1"/>
    <col min="22" max="22" width="15.7109375" customWidth="1"/>
    <col min="23" max="23" width="10.85546875" style="73" customWidth="1"/>
    <col min="24" max="24" width="9.28515625" bestFit="1" customWidth="1"/>
  </cols>
  <sheetData>
    <row r="4" spans="1:23" ht="24" customHeight="1">
      <c r="A4" s="80" t="s">
        <v>121</v>
      </c>
    </row>
    <row r="5" spans="1:23">
      <c r="A5" t="s">
        <v>225</v>
      </c>
    </row>
    <row r="6" spans="1:23" ht="14.25" customHeight="1" thickBot="1"/>
    <row r="7" spans="1:23" ht="43.5" customHeight="1">
      <c r="A7" s="74" t="str">
        <f>Input!A7</f>
        <v>Sample Name</v>
      </c>
      <c r="B7" s="78" t="s">
        <v>119</v>
      </c>
      <c r="C7" s="78" t="s">
        <v>254</v>
      </c>
      <c r="D7" s="78" t="s">
        <v>255</v>
      </c>
      <c r="E7" s="78" t="s">
        <v>256</v>
      </c>
      <c r="F7" s="78" t="s">
        <v>257</v>
      </c>
      <c r="G7" s="78" t="s">
        <v>218</v>
      </c>
      <c r="H7" s="78" t="s">
        <v>163</v>
      </c>
      <c r="I7" s="78" t="s">
        <v>164</v>
      </c>
      <c r="J7" s="78" t="s">
        <v>165</v>
      </c>
      <c r="K7" s="78" t="s">
        <v>120</v>
      </c>
      <c r="L7" s="78" t="s">
        <v>143</v>
      </c>
      <c r="M7" s="78" t="s">
        <v>142</v>
      </c>
      <c r="N7" s="78" t="s">
        <v>141</v>
      </c>
      <c r="O7" s="78" t="s">
        <v>140</v>
      </c>
      <c r="P7" s="78" t="s">
        <v>258</v>
      </c>
      <c r="Q7" s="78" t="s">
        <v>259</v>
      </c>
      <c r="R7" s="78" t="s">
        <v>260</v>
      </c>
      <c r="S7" s="78" t="s">
        <v>261</v>
      </c>
      <c r="T7" s="78" t="s">
        <v>262</v>
      </c>
      <c r="U7" s="78" t="s">
        <v>263</v>
      </c>
      <c r="V7" s="79" t="s">
        <v>264</v>
      </c>
      <c r="W7" s="214"/>
    </row>
    <row r="8" spans="1:23">
      <c r="A8" s="75" t="str">
        <f ca="1">INDIRECT("Input!R"&amp;CELL("row",A8)&amp;"C"&amp;CELL("col",A8),FALSE)</f>
        <v>Wairakei well</v>
      </c>
      <c r="B8" s="76">
        <f ca="1">IF(Input!AT8=0, 0, 731/(4.52-LOG(Input!AT8))-273.15)</f>
        <v>144.76775473856929</v>
      </c>
      <c r="C8" s="76">
        <f ca="1">IF(Input!AT8=0,0,1000/(4.78-LOG(Input!$AT8))-273.15)</f>
        <v>224.57341599253402</v>
      </c>
      <c r="D8" s="76">
        <f ca="1">IF(Input!AT8=0,0,781/(4.51-LOG(Input!$AT8))-273.15)</f>
        <v>175.9204673944617</v>
      </c>
      <c r="E8" s="76">
        <f ca="1">IF(Input!AT8=0,0,1032/(4.69-LOG(Input!$AT8))-273.15)</f>
        <v>264.58862477538491</v>
      </c>
      <c r="F8" s="76">
        <f ca="1">IF(Input!AT8=0,0, 0.00000031665*Input!AT8^3 - 0.00036686* Input!AT8^2 + 0.28831* Input!AT8 + 77.034 *LOG(Input!AT8) - 42.198)</f>
        <v>278.68400821484101</v>
      </c>
      <c r="G8" s="76">
        <f ca="1">IF(Input!AT8=0,0,1522/(5.75-LOG(Input!AT8))-273.15)</f>
        <v>237.73432194298135</v>
      </c>
      <c r="H8" s="207">
        <f ca="1">LOG(Input!$AR8^0.5/Input!$AP8)+2.06</f>
        <v>-0.35767086391417102</v>
      </c>
      <c r="I8" s="76">
        <f ca="1">IF(Input!AO8=0,0,1647/(LOG(Input!$AP8/Input!$AQ8)+1.333*(LOG(Input!$AR8^0.5/Input!$AP8)+2.06)+2.47)-273.15)</f>
        <v>307.04635971827042</v>
      </c>
      <c r="J8" s="208">
        <f ca="1">IF(AND(H8&gt;0, I8&lt;100), 1.333, 0.333)</f>
        <v>0.33300000000000002</v>
      </c>
      <c r="K8" s="76">
        <f ca="1">IF(Input!AP8=0,0,1647/(LOG(Input!$AP8/Input!$AQ8)+J8*(LOG(Input!$AR8^0.5/Input!$AP8)+2.06)+2.47)-273.15)</f>
        <v>242.12281885849256</v>
      </c>
      <c r="L8" s="207">
        <f ca="1">IF(Input!AP8=0,0,100*(0.08226*Input!AS8/(0.08226*Input!AS8+0.0499*Input!AR8+0.02557*Input!AQ8)))</f>
        <v>1.5612033267865026E-2</v>
      </c>
      <c r="M8" s="207">
        <f ca="1">IF(L8=0,0,IF(L8&lt;1.5,0.01,(-1.03+59.971*LOG(L8)+145.05*((LOG(L8))^2)-36711*((LOG(L8))^2)/(K8+273)-16700000*LOG(L8)/((K8+273)^2))))</f>
        <v>0.01</v>
      </c>
      <c r="N8" s="207">
        <f ca="1">IF(L8=0,0,IF(L8&lt;1.5,0.01,(10.66-4.7415*(L8)+325.87*(LOG(L8))^2-103200*((LOG(L8))^2)/(K8+273)-19680000*((LOG(L8))^2)/((K8+273)^2)+16050000*((LOG(L8))^3)/((K8+273)^2))))</f>
        <v>0.01</v>
      </c>
      <c r="O8" s="76">
        <f ca="1">IF(K8=0,0,IF(L8&lt;5,IF(M8&lt;0,K8,K8-M8),IF(N8&lt;0,K8,K8-N8)))</f>
        <v>242.11281885849257</v>
      </c>
      <c r="P8" s="76">
        <f ca="1">IF(Input!$AP8=0,0,1217/(LOG(Input!$AP8/Input!$AQ8)+1.483)-273.15)</f>
        <v>249.51093980610437</v>
      </c>
      <c r="Q8" s="76">
        <f ca="1">IF(Input!$AP8=0,0,855.6/(LOG(Input!$AP8/Input!$AQ8)+0.8573)-273.15)</f>
        <v>229.32555818420548</v>
      </c>
      <c r="R8" s="76">
        <f ca="1">IF(Input!$AP8=0,0,1390/(1.75-LOG(Input!$AQ8/Input!$AP8))-273.15)</f>
        <v>262.3986005864366</v>
      </c>
      <c r="S8" s="76">
        <f ca="1">IF(Input!$AP8=0,0,883/(0.78-LOG(Input!$AQ8/Input!$AP8))-273.15)</f>
        <v>270.07770093802606</v>
      </c>
      <c r="T8" s="76">
        <f ca="1">IF(Input!$AP8=0,0,1178/(1.47-LOG(Input!$AQ8/Input!$AP8))-273.15)</f>
        <v>235.60213673002687</v>
      </c>
      <c r="U8" s="76">
        <f ca="1">IF(Input!$AP8=0,0,933/(0.993-LOG(Input!$AQ8/Input!$AP8))-273.15)</f>
        <v>234.33737225166914</v>
      </c>
      <c r="V8" s="217">
        <f ca="1">IF(Input!AQ8=0,0,4410/(13.95-LOG(Input!AQ8^2/Input!AS8))-273.15)</f>
        <v>314.49216057904573</v>
      </c>
      <c r="W8" s="215"/>
    </row>
    <row r="9" spans="1:23">
      <c r="A9" s="75" t="str">
        <f t="shared" ref="A9:A37" ca="1" si="0">INDIRECT("Input!R"&amp;CELL("row",A9)&amp;"C"&amp;CELL("col",A9),FALSE)</f>
        <v>Wairakei spring</v>
      </c>
      <c r="B9" s="76">
        <f ca="1">IF(Input!AT9=0, 0, 731/(4.52-LOG(Input!AT9))-273.15)</f>
        <v>89.656160326738188</v>
      </c>
      <c r="C9" s="76">
        <f ca="1">IF(Input!AT9=0,0,1000/(4.78-LOG(Input!$AT9))-273.15)</f>
        <v>166.43941928903439</v>
      </c>
      <c r="D9" s="76">
        <f ca="1">IF(Input!AT9=0,0,781/(4.51-LOG(Input!$AT9))-273.15)</f>
        <v>116.40532411622019</v>
      </c>
      <c r="E9" s="76">
        <f ca="1">IF(Input!AT9=0,0,1032/(4.69-LOG(Input!AT9))-273.15)</f>
        <v>199.19363446440047</v>
      </c>
      <c r="F9" s="76">
        <f ca="1">IF(Input!AT9=0,0, 0.00000031665*Input!AT9^3 - 0.00036686* Input!AT9^2 + 0.28831* Input!AT9 + 77.034 *LOG(Input!AT9) - 42.198)</f>
        <v>215.85244662989564</v>
      </c>
      <c r="G9" s="76">
        <f ca="1">IF(Input!AT9=0,0,1522/(5.75-LOG(Input!AT9))-273.15)</f>
        <v>195.90095453747671</v>
      </c>
      <c r="H9" s="207">
        <f ca="1">LOG(Input!$AR9^0.5/Input!$AP9)+2.06</f>
        <v>-0.28779920331491704</v>
      </c>
      <c r="I9" s="76">
        <f ca="1">IF(Input!AO9=0,0,1647/(LOG(Input!$AP9/Input!$AQ9)+1.333*(LOG(Input!$AR9^0.5/Input!$AP9)+2.06)+2.47)-273.15)</f>
        <v>271.0257986528693</v>
      </c>
      <c r="J9" s="208">
        <f t="shared" ref="J9:J37" ca="1" si="1">IF(AND(H9&gt;0, I9&lt;100), 1.333, 0.333)</f>
        <v>0.33300000000000002</v>
      </c>
      <c r="K9" s="76">
        <f ca="1">IF(Input!AP9=0,0,1647/(LOG(Input!$AP9/Input!$AQ9)+J9*(LOG(Input!$AR9^0.5/Input!$AP9)+2.06)+2.47)-273.15)</f>
        <v>223.77332048790441</v>
      </c>
      <c r="L9" s="207">
        <f ca="1">IF(Input!AP9=0,0,100*(0.08226*Input!AS9/(0.08226*Input!AS9+0.0499*Input!AR9+0.02557*Input!AQ9)))</f>
        <v>6.7958883562788124</v>
      </c>
      <c r="M9" s="207">
        <f t="shared" ref="M9:M37" ca="1" si="2">IF(L9=0,0,IF(L9&lt;1.5,0.01,(-1.03+59.971*LOG(L9)+145.05*((LOG(L9))^2)-36711*((LOG(L9))^2)/(K9+273)-16700000*LOG(L9)/((K9+273)^2))))</f>
        <v>41.84370694083605</v>
      </c>
      <c r="N9" s="207">
        <f t="shared" ref="N9:N37" ca="1" si="3">IF(L9=0,0,IF(L9&lt;1.5,0.01,(10.66-4.7415*(L9)+325.87*(LOG(L9))^2-103200*((LOG(L9))^2)/(K9+273)-19680000*((LOG(L9))^2)/((K9+273)^2)+16050000*((LOG(L9))^3)/((K9+273)^2))))</f>
        <v>42.512839736193051</v>
      </c>
      <c r="O9" s="76">
        <f t="shared" ref="O9:O37" ca="1" si="4">IF(K9=0,0,IF(L9&lt;5,IF(M9&lt;0,K9,K9-M9),IF(N9&lt;0,K9,K9-N9)))</f>
        <v>181.26048075171136</v>
      </c>
      <c r="P9" s="76">
        <f ca="1">IF(Input!$AP9=0,0,1217/(LOG(Input!$AP9/Input!$AQ9)+1.483)-273.15)</f>
        <v>229.07186854466914</v>
      </c>
      <c r="Q9" s="76">
        <f ca="1">IF(Input!$AP9=0,0,855.6/(LOG(Input!$AP9/Input!$AQ9)+0.8573)-273.15)</f>
        <v>202.83601726077461</v>
      </c>
      <c r="R9" s="76">
        <f ca="1">IF(Input!AP9=0,0,1390/(1.75-LOG(Input!AQ9/Input!AP9))-273.15)</f>
        <v>243.53410230866484</v>
      </c>
      <c r="S9" s="76">
        <f ca="1">IF(Input!$AP9=0,0,883/(0.78-LOG(Input!$AQ9/Input!$AP9))-273.15)</f>
        <v>240.15291799529916</v>
      </c>
      <c r="T9" s="76">
        <f ca="1">IF(Input!$AP9=0,0,1178/(1.47-LOG(Input!$AQ9/Input!$AP9))-273.15)</f>
        <v>215.59967231178933</v>
      </c>
      <c r="U9" s="76">
        <f ca="1">IF(Input!$AP9=0,0,933/(0.993-LOG(Input!$AQ9/Input!$AP9))-273.15)</f>
        <v>209.46155357300768</v>
      </c>
      <c r="V9" s="217">
        <f ca="1">IF(Input!AQ9=0,0,4410/(13.95-LOG(Input!AQ9^2/Input!AS9))-273.15)</f>
        <v>154.55038110697808</v>
      </c>
      <c r="W9" s="215"/>
    </row>
    <row r="10" spans="1:23">
      <c r="A10" s="75" t="str">
        <f t="shared" ca="1" si="0"/>
        <v>Ngawha well</v>
      </c>
      <c r="B10" s="76">
        <f ca="1">IF(Input!AT10=0, 0, 731/(4.52-LOG(Input!AT10))-273.15)</f>
        <v>104.71774926222014</v>
      </c>
      <c r="C10" s="76">
        <f ca="1">IF(Input!AT10=0,0,1000/(4.78-LOG(Input!$AT10))-273.15)</f>
        <v>182.52651189765913</v>
      </c>
      <c r="D10" s="76">
        <f ca="1">IF(Input!AT10=0,0,781/(4.51-LOG(Input!$AT10))-273.15)</f>
        <v>132.66141261957415</v>
      </c>
      <c r="E10" s="76">
        <f ca="1">IF(Input!AT10=0,0,1032/(4.69-LOG(Input!AT10))-273.15)</f>
        <v>217.21861153889705</v>
      </c>
      <c r="F10" s="76">
        <f ca="1">IF(Input!AT10=0,0, 0.00000031665*Input!AT10^3 - 0.00036686* Input!AT10^2 + 0.28831* Input!AT10 + 77.034 *LOG(Input!AT10) - 42.198)</f>
        <v>231.66205514320788</v>
      </c>
      <c r="G10" s="76">
        <f ca="1">IF(Input!AT10=0,0,1522/(5.75-LOG(Input!AT10))-273.15)</f>
        <v>207.80468878906066</v>
      </c>
      <c r="H10" s="207">
        <f ca="1">LOG(Input!$AR10^0.5/Input!$AP10)+2.06</f>
        <v>-0.64592204479033732</v>
      </c>
      <c r="I10" s="76">
        <f ca="1">IF(Input!AO10=0,0,1647/(LOG(Input!$AP10/Input!$AQ10)+1.333*(LOG(Input!$AR10^0.5/Input!$AP10)+2.06)+2.47)-273.15)</f>
        <v>341.76767358322763</v>
      </c>
      <c r="J10" s="208">
        <f t="shared" ca="1" si="1"/>
        <v>0.33300000000000002</v>
      </c>
      <c r="K10" s="76">
        <f ca="1">IF(Input!AP10=0,0,1647/(LOG(Input!$AP10/Input!$AQ10)+J10*(LOG(Input!$AR10^0.5/Input!$AP10)+2.06)+2.47)-273.15)</f>
        <v>222.28827273304103</v>
      </c>
      <c r="L10" s="207">
        <f ca="1">IF(Input!AP10=0,0,100*(0.08226*Input!AS10/(0.08226*Input!AS10+0.0499*Input!AR10+0.02557*Input!AQ10)))</f>
        <v>0.39630462557740237</v>
      </c>
      <c r="M10" s="207">
        <f t="shared" ca="1" si="2"/>
        <v>0.01</v>
      </c>
      <c r="N10" s="207">
        <f t="shared" ca="1" si="3"/>
        <v>0.01</v>
      </c>
      <c r="O10" s="76">
        <f t="shared" ca="1" si="4"/>
        <v>222.27827273304104</v>
      </c>
      <c r="P10" s="76">
        <f ca="1">IF(Input!$AP10=0,0,1217/(LOG(Input!$AP10/Input!$AQ10)+1.483)-273.15)</f>
        <v>203.65214396570389</v>
      </c>
      <c r="Q10" s="76">
        <f ca="1">IF(Input!$AP10=0,0,855.6/(LOG(Input!$AP10/Input!$AQ10)+0.8573)-273.15)</f>
        <v>170.92042767606318</v>
      </c>
      <c r="R10" s="76">
        <f ca="1">IF(Input!AP10=0,0,1390/(1.75-LOG(Input!AQ10/Input!AP10))-273.15)</f>
        <v>219.85895413576583</v>
      </c>
      <c r="S10" s="76">
        <f ca="1">IF(Input!$AP10=0,0,883/(0.78-LOG(Input!$AQ10/Input!$AP10))-273.15)</f>
        <v>204.29661969321802</v>
      </c>
      <c r="T10" s="76">
        <f ca="1">IF(Input!$AP10=0,0,1178/(1.47-LOG(Input!$AQ10/Input!$AP10))-273.15)</f>
        <v>190.73519681572975</v>
      </c>
      <c r="U10" s="76">
        <f ca="1">IF(Input!$AP10=0,0,933/(0.993-LOG(Input!$AQ10/Input!$AP10))-273.15)</f>
        <v>179.23087426645031</v>
      </c>
      <c r="V10" s="217">
        <f ca="1">IF(Input!AQ10=0,0,4410/(13.95-LOG(Input!AQ10^2/Input!AS10))-273.15)</f>
        <v>206.20421018798743</v>
      </c>
      <c r="W10" s="215"/>
    </row>
    <row r="11" spans="1:23">
      <c r="A11" s="75" t="str">
        <f t="shared" ca="1" si="0"/>
        <v>Ngawha spring</v>
      </c>
      <c r="B11" s="76">
        <f ca="1">IF(Input!AT11=0, 0, 731/(4.52-LOG(Input!AT11))-273.15)</f>
        <v>38.722210393947933</v>
      </c>
      <c r="C11" s="76">
        <f ca="1">IF(Input!AT11=0,0,1000/(4.78-LOG(Input!$AT11))-273.15)</f>
        <v>110.88803646257804</v>
      </c>
      <c r="D11" s="76">
        <f ca="1">IF(Input!AT11=0,0,781/(4.51-LOG(Input!$AT11))-273.15)</f>
        <v>61.481764429658483</v>
      </c>
      <c r="E11" s="76">
        <f ca="1">IF(Input!AT11=0,0,1032/(4.69-LOG(Input!AT11))-273.15)</f>
        <v>137.36609519140376</v>
      </c>
      <c r="F11" s="76">
        <f ca="1">IF(Input!AT11=0,0, 0.00000031665*Input!AT11^3 - 0.00036686* Input!AT11^2 + 0.28831* Input!AT11 + 77.034 *LOG(Input!AT11) - 42.198)</f>
        <v>161.49585780009537</v>
      </c>
      <c r="G11" s="76">
        <f ca="1">IF(Input!AT11=0,0,1522/(5.75-LOG(Input!AT11))-273.15)</f>
        <v>152.71425964470723</v>
      </c>
      <c r="H11" s="207">
        <f ca="1">LOG(Input!$AR11^0.5/Input!$AP11)+2.06</f>
        <v>-0.37834504974198113</v>
      </c>
      <c r="I11" s="76">
        <f ca="1">IF(Input!AO11=0,0,1647/(LOG(Input!$AP11/Input!$AQ11)+1.333*(LOG(Input!$AR11^0.5/Input!$AP11)+2.06)+2.47)-273.15)</f>
        <v>254.98387645674723</v>
      </c>
      <c r="J11" s="208">
        <f t="shared" ca="1" si="1"/>
        <v>0.33300000000000002</v>
      </c>
      <c r="K11" s="76">
        <f ca="1">IF(Input!AP11=0,0,1647/(LOG(Input!$AP11/Input!$AQ11)+J11*(LOG(Input!$AR11^0.5/Input!$AP11)+2.06)+2.47)-273.15)</f>
        <v>197.84229156910544</v>
      </c>
      <c r="L11" s="207">
        <f ca="1">IF(Input!AP11=0,0,100*(0.08226*Input!AS11/(0.08226*Input!AS11+0.0499*Input!AR11+0.02557*Input!AQ11)))</f>
        <v>5.0059464196294439</v>
      </c>
      <c r="M11" s="207">
        <f t="shared" ca="1" si="2"/>
        <v>21.048447175459728</v>
      </c>
      <c r="N11" s="207">
        <f t="shared" ca="1" si="3"/>
        <v>20.468339752794332</v>
      </c>
      <c r="O11" s="76">
        <f t="shared" ca="1" si="4"/>
        <v>177.37395181631112</v>
      </c>
      <c r="P11" s="76">
        <f ca="1">IF(Input!$AP11=0,0,1217/(LOG(Input!$AP11/Input!$AQ11)+1.483)-273.15)</f>
        <v>188.55864353245335</v>
      </c>
      <c r="Q11" s="76">
        <f ca="1">IF(Input!$AP11=0,0,855.6/(LOG(Input!$AP11/Input!$AQ11)+0.8573)-273.15)</f>
        <v>152.48745985521271</v>
      </c>
      <c r="R11" s="76">
        <f ca="1">IF(Input!AP11=0,0,1390/(1.75-LOG(Input!AQ11/Input!AP11))-273.15)</f>
        <v>205.68787741965605</v>
      </c>
      <c r="S11" s="76">
        <f ca="1">IF(Input!$AP11=0,0,883/(0.78-LOG(Input!$AQ11/Input!$AP11))-273.15)</f>
        <v>183.68564875521361</v>
      </c>
      <c r="T11" s="76">
        <f ca="1">IF(Input!$AP11=0,0,1178/(1.47-LOG(Input!$AQ11/Input!$AP11))-273.15)</f>
        <v>175.97780818851157</v>
      </c>
      <c r="U11" s="76">
        <f ca="1">IF(Input!$AP11=0,0,933/(0.993-LOG(Input!$AQ11/Input!$AP11))-273.15)</f>
        <v>161.64042589943523</v>
      </c>
      <c r="V11" s="217">
        <f ca="1">IF(Input!AQ11=0,0,4410/(13.95-LOG(Input!AQ11^2/Input!AS11))-273.15)</f>
        <v>147.50028175981856</v>
      </c>
      <c r="W11" s="215"/>
    </row>
    <row r="12" spans="1:23">
      <c r="A12" s="75" t="str">
        <f t="shared" ca="1" si="0"/>
        <v>Zunil well</v>
      </c>
      <c r="B12" s="76">
        <f ca="1">IF(Input!AT12=0, 0, 731/(4.52-LOG(Input!AT12))-273.15)</f>
        <v>192.27426388008729</v>
      </c>
      <c r="C12" s="76">
        <f ca="1">IF(Input!AT12=0,0,1000/(4.78-LOG(Input!$AT12))-273.15)</f>
        <v>273.11600074832427</v>
      </c>
      <c r="D12" s="76">
        <f ca="1">IF(Input!AT12=0,0,781/(4.51-LOG(Input!$AT12))-273.15)</f>
        <v>227.2953408125129</v>
      </c>
      <c r="E12" s="76">
        <f ca="1">IF(Input!AT12=0,0,1032/(4.69-LOG(Input!AT12))-273.15)</f>
        <v>319.74559633676665</v>
      </c>
      <c r="F12" s="76">
        <f ca="1">IF(Input!AT12=0,0, 0.00000031665*Input!AT12^3 - 0.00036686* Input!AT12^2 + 0.28831* Input!AT12 + 77.034 *LOG(Input!AT12) - 42.198)</f>
        <v>374.23983762188425</v>
      </c>
      <c r="G12" s="76">
        <f ca="1">IF(Input!AT12=0,0,1522/(5.75-LOG(Input!AT12))-273.15)</f>
        <v>270.30303473571757</v>
      </c>
      <c r="H12" s="207">
        <f ca="1">LOG(Input!$AR12^0.5/Input!$AP12)+2.06</f>
        <v>-0.43214088212605972</v>
      </c>
      <c r="I12" s="76">
        <f ca="1">IF(Input!AO12=0,0,1647/(LOG(Input!$AP12/Input!$AQ12)+1.333*(LOG(Input!$AR12^0.5/Input!$AP12)+2.06)+2.47)-273.15)</f>
        <v>364.09231325842495</v>
      </c>
      <c r="J12" s="208">
        <f t="shared" ca="1" si="1"/>
        <v>0.33300000000000002</v>
      </c>
      <c r="K12" s="76">
        <f ca="1">IF(Input!AP12=0,0,1647/(LOG(Input!$AP12/Input!$AQ12)+J12*(LOG(Input!$AR12^0.5/Input!$AP12)+2.06)+2.47)-273.15)</f>
        <v>272.80810049765114</v>
      </c>
      <c r="L12" s="207">
        <f ca="1">IF(Input!AP12=0,0,100*(0.08226*Input!AS12/(0.08226*Input!AS12+0.0499*Input!AR12+0.02557*Input!AQ12)))</f>
        <v>1.3896625660752792E-2</v>
      </c>
      <c r="M12" s="207">
        <f t="shared" ca="1" si="2"/>
        <v>0.01</v>
      </c>
      <c r="N12" s="207">
        <f t="shared" ca="1" si="3"/>
        <v>0.01</v>
      </c>
      <c r="O12" s="76">
        <f t="shared" ca="1" si="4"/>
        <v>272.79810049765115</v>
      </c>
      <c r="P12" s="76">
        <f ca="1">IF(Input!$AP12=0,0,1217/(LOG(Input!$AP12/Input!$AQ12)+1.483)-273.15)</f>
        <v>286.74600712214192</v>
      </c>
      <c r="Q12" s="76">
        <f ca="1">IF(Input!$AP12=0,0,855.6/(LOG(Input!$AP12/Input!$AQ12)+0.8573)-273.15)</f>
        <v>279.59248294022268</v>
      </c>
      <c r="R12" s="76">
        <f ca="1">IF(Input!AP12=0,0,1390/(1.75-LOG(Input!AQ12/Input!AP12))-273.15)</f>
        <v>296.37789821402828</v>
      </c>
      <c r="S12" s="76">
        <f ca="1">IF(Input!$AP12=0,0,883/(0.78-LOG(Input!$AQ12/Input!$AP12))-273.15)</f>
        <v>327.27787593189521</v>
      </c>
      <c r="T12" s="76">
        <f ca="1">IF(Input!$AP12=0,0,1178/(1.47-LOG(Input!$AQ12/Input!$AP12))-273.15)</f>
        <v>272.06439614993531</v>
      </c>
      <c r="U12" s="76">
        <f ca="1">IF(Input!$AP12=0,0,933/(0.993-LOG(Input!$AQ12/Input!$AP12))-273.15)</f>
        <v>281.01373477082814</v>
      </c>
      <c r="V12" s="217">
        <f ca="1">IF(Input!AQ12=0,0,4410/(13.95-LOG(Input!AQ12^2/Input!AS12))-273.15)</f>
        <v>330.49970632404302</v>
      </c>
      <c r="W12" s="215"/>
    </row>
    <row r="13" spans="1:23">
      <c r="A13" s="75" t="str">
        <f t="shared" ca="1" si="0"/>
        <v>Zunil spring</v>
      </c>
      <c r="B13" s="76">
        <f ca="1">IF(Input!AT13=0, 0, 731/(4.52-LOG(Input!AT13))-273.15)</f>
        <v>56.282123269614431</v>
      </c>
      <c r="C13" s="76">
        <f ca="1">IF(Input!AT13=0,0,1000/(4.78-LOG(Input!$AT13))-273.15)</f>
        <v>130.24334411101341</v>
      </c>
      <c r="D13" s="76">
        <f ca="1">IF(Input!AT13=0,0,781/(4.51-LOG(Input!$AT13))-273.15)</f>
        <v>80.408445097472622</v>
      </c>
      <c r="E13" s="76">
        <f ca="1">IF(Input!AT13=0,0,1032/(4.69-LOG(Input!AT13))-273.15)</f>
        <v>158.83533180697265</v>
      </c>
      <c r="F13" s="76">
        <f ca="1">IF(Input!AT13=0,0, 0.00000031665*Input!AT13^3 - 0.00036686* Input!AT13^2 + 0.28831* Input!AT13 + 77.034 *LOG(Input!AT13) - 42.198)</f>
        <v>180.58034468597916</v>
      </c>
      <c r="G13" s="76">
        <f ca="1">IF(Input!AT13=0,0,1522/(5.75-LOG(Input!AT13))-273.15)</f>
        <v>168.14116753307604</v>
      </c>
      <c r="H13" s="207">
        <f ca="1">LOG(Input!$AR13^0.5/Input!$AP13)+2.06</f>
        <v>0.4617608798189754</v>
      </c>
      <c r="I13" s="76">
        <f ca="1">IF(Input!AO13=0,0,1647/(LOG(Input!$AP13/Input!$AQ13)+1.333*(LOG(Input!$AR13^0.5/Input!$AP13)+2.06)+2.47)-273.15)</f>
        <v>145.68896713901722</v>
      </c>
      <c r="J13" s="208">
        <f t="shared" ca="1" si="1"/>
        <v>0.33300000000000002</v>
      </c>
      <c r="K13" s="76">
        <f ca="1">IF(Input!AP13=0,0,1647/(LOG(Input!$AP13/Input!$AQ13)+J13*(LOG(Input!$AR13^0.5/Input!$AP13)+2.06)+2.47)-273.15)</f>
        <v>201.41619160457702</v>
      </c>
      <c r="L13" s="207">
        <f ca="1">IF(Input!AP13=0,0,100*(0.08226*Input!AS13/(0.08226*Input!AS13+0.0499*Input!AR13+0.02557*Input!AQ13)))</f>
        <v>53.359420845169005</v>
      </c>
      <c r="M13" s="207">
        <f t="shared" ca="1" si="2"/>
        <v>176.26825134675693</v>
      </c>
      <c r="N13" s="207">
        <f t="shared" ca="1" si="3"/>
        <v>187.45225788672656</v>
      </c>
      <c r="O13" s="76">
        <f t="shared" ca="1" si="4"/>
        <v>13.963933717850466</v>
      </c>
      <c r="P13" s="76">
        <f ca="1">IF(Input!$AP13=0,0,1217/(LOG(Input!$AP13/Input!$AQ13)+1.483)-273.15)</f>
        <v>249.21879680110658</v>
      </c>
      <c r="Q13" s="76">
        <f ca="1">IF(Input!$AP13=0,0,855.6/(LOG(Input!$AP13/Input!$AQ13)+0.8573)-273.15)</f>
        <v>228.9415717380021</v>
      </c>
      <c r="R13" s="76">
        <f ca="1">IF(Input!AP13=0,0,1390/(1.75-LOG(Input!AQ13/Input!AP13))-273.15)</f>
        <v>262.13003279331951</v>
      </c>
      <c r="S13" s="76">
        <f ca="1">IF(Input!$AP13=0,0,883/(0.78-LOG(Input!$AQ13/Input!$AP13))-273.15)</f>
        <v>269.6428462884254</v>
      </c>
      <c r="T13" s="76">
        <f ca="1">IF(Input!$AP13=0,0,1178/(1.47-LOG(Input!$AQ13/Input!$AP13))-273.15)</f>
        <v>235.31617242964938</v>
      </c>
      <c r="U13" s="76">
        <f ca="1">IF(Input!$AP13=0,0,933/(0.993-LOG(Input!$AQ13/Input!$AP13))-273.15)</f>
        <v>233.97816084219266</v>
      </c>
      <c r="V13" s="217">
        <f ca="1">IF(Input!AQ13=0,0,4410/(13.95-LOG(Input!AQ13^2/Input!AS13))-273.15)</f>
        <v>81.150391085129115</v>
      </c>
      <c r="W13" s="215"/>
    </row>
    <row r="14" spans="1:23">
      <c r="A14" s="75" t="str">
        <f t="shared" ca="1" si="0"/>
        <v>Miravalles well</v>
      </c>
      <c r="B14" s="76">
        <f ca="1">IF(Input!AT14=0, 0, 731/(4.52-LOG(Input!AT14))-273.15)</f>
        <v>144.76775473856929</v>
      </c>
      <c r="C14" s="76">
        <f ca="1">IF(Input!AT14=0,0,1000/(4.78-LOG(Input!$AT14))-273.15)</f>
        <v>224.57341599253402</v>
      </c>
      <c r="D14" s="76">
        <f ca="1">IF(Input!AT14=0,0,781/(4.51-LOG(Input!$AT14))-273.15)</f>
        <v>175.9204673944617</v>
      </c>
      <c r="E14" s="76">
        <f ca="1">IF(Input!AT14=0,0,1032/(4.69-LOG(Input!AT14))-273.15)</f>
        <v>264.58862477538491</v>
      </c>
      <c r="F14" s="76">
        <f ca="1">IF(Input!AT14=0,0, 0.00000031665*Input!AT14^3 - 0.00036686* Input!AT14^2 + 0.28831* Input!AT14 + 77.034 *LOG(Input!AT14) - 42.198)</f>
        <v>278.68400821484101</v>
      </c>
      <c r="G14" s="76">
        <f ca="1">IF(Input!AT14=0,0,1522/(5.75-LOG(Input!AT14))-273.15)</f>
        <v>237.73432194298135</v>
      </c>
      <c r="H14" s="207">
        <f ca="1">LOG(Input!$AR14^0.5/Input!$AP14)+2.06</f>
        <v>-0.3028047961013649</v>
      </c>
      <c r="I14" s="76">
        <f ca="1">IF(Input!AO14=0,0,1647/(LOG(Input!$AP14/Input!$AQ14)+1.333*(LOG(Input!$AR14^0.5/Input!$AP14)+2.06)+2.47)-273.15)</f>
        <v>278.74737366204488</v>
      </c>
      <c r="J14" s="208">
        <f t="shared" ca="1" si="1"/>
        <v>0.33300000000000002</v>
      </c>
      <c r="K14" s="76">
        <f ca="1">IF(Input!AP14=0,0,1647/(LOG(Input!$AP14/Input!$AQ14)+J14*(LOG(Input!$AR14^0.5/Input!$AP14)+2.06)+2.47)-273.15)</f>
        <v>227.9063752997742</v>
      </c>
      <c r="L14" s="207">
        <f ca="1">IF(Input!AP14=0,0,100*(0.08226*Input!AS14/(0.08226*Input!AS14+0.0499*Input!AR14+0.02557*Input!AQ14)))</f>
        <v>1.6908521282188008E-2</v>
      </c>
      <c r="M14" s="207">
        <f t="shared" ca="1" si="2"/>
        <v>0.01</v>
      </c>
      <c r="N14" s="207">
        <f t="shared" ca="1" si="3"/>
        <v>0.01</v>
      </c>
      <c r="O14" s="76">
        <f t="shared" ca="1" si="4"/>
        <v>227.89637529977421</v>
      </c>
      <c r="P14" s="76">
        <f ca="1">IF(Input!$AP14=0,0,1217/(LOG(Input!$AP14/Input!$AQ14)+1.483)-273.15)</f>
        <v>233.74551394997502</v>
      </c>
      <c r="Q14" s="76">
        <f ca="1">IF(Input!$AP14=0,0,855.6/(LOG(Input!$AP14/Input!$AQ14)+0.8573)-273.15)</f>
        <v>208.82677559831706</v>
      </c>
      <c r="R14" s="76">
        <f ca="1">IF(Input!AP14=0,0,1390/(1.75-LOG(Input!AQ14/Input!AP14))-273.15)</f>
        <v>247.86112894624102</v>
      </c>
      <c r="S14" s="76">
        <f ca="1">IF(Input!$AP14=0,0,883/(0.78-LOG(Input!$AQ14/Input!$AP14))-273.15)</f>
        <v>246.90747139529856</v>
      </c>
      <c r="T14" s="76">
        <f ca="1">IF(Input!$AP14=0,0,1178/(1.47-LOG(Input!$AQ14/Input!$AP14))-273.15)</f>
        <v>220.17270773237487</v>
      </c>
      <c r="U14" s="76">
        <f ca="1">IF(Input!$AP14=0,0,933/(0.993-LOG(Input!$AQ14/Input!$AP14))-273.15)</f>
        <v>215.10435104198797</v>
      </c>
      <c r="V14" s="217">
        <f ca="1">IF(Input!AQ14=0,0,4410/(13.95-LOG(Input!AQ14^2/Input!AS14))-273.15)</f>
        <v>315.01656237505847</v>
      </c>
      <c r="W14" s="215"/>
    </row>
    <row r="15" spans="1:23">
      <c r="A15" s="75" t="str">
        <f t="shared" ca="1" si="0"/>
        <v>Miravalles spring</v>
      </c>
      <c r="B15" s="76">
        <f ca="1">IF(Input!AT15=0, 0, 731/(4.52-LOG(Input!AT15))-273.15)</f>
        <v>22.707751394962827</v>
      </c>
      <c r="C15" s="76">
        <f ca="1">IF(Input!AT15=0,0,1000/(4.78-LOG(Input!$AT15))-273.15)</f>
        <v>93.045473787991057</v>
      </c>
      <c r="D15" s="76">
        <f ca="1">IF(Input!AT15=0,0,781/(4.51-LOG(Input!$AT15))-273.15)</f>
        <v>44.228787391583182</v>
      </c>
      <c r="E15" s="76">
        <f ca="1">IF(Input!AT15=0,0,1032/(4.69-LOG(Input!AT15))-273.15)</f>
        <v>117.64333654173493</v>
      </c>
      <c r="F15" s="76">
        <f ca="1">IF(Input!AT15=0,0, 0.00000031665*Input!AT15^3 - 0.00036686* Input!AT15^2 + 0.28831* Input!AT15 + 77.034 *LOG(Input!AT15) - 42.198)</f>
        <v>143.79515976957478</v>
      </c>
      <c r="G15" s="76">
        <f ca="1">IF(Input!AT15=0,0,1522/(5.75-LOG(Input!AT15))-273.15)</f>
        <v>138.11443257761181</v>
      </c>
      <c r="H15" s="207">
        <f ca="1">LOG(Input!$AR15^0.5/Input!$AP15)+2.06</f>
        <v>-0.56325488575048954</v>
      </c>
      <c r="I15" s="76">
        <f ca="1">IF(Input!AO15=0,0,1647/(LOG(Input!$AP15/Input!$AQ15)+1.333*(LOG(Input!$AR15^0.5/Input!$AP15)+2.06)+2.47)-273.15)</f>
        <v>255.40880363043789</v>
      </c>
      <c r="J15" s="208">
        <f t="shared" ca="1" si="1"/>
        <v>0.33300000000000002</v>
      </c>
      <c r="K15" s="76">
        <f ca="1">IF(Input!AP15=0,0,1647/(LOG(Input!$AP15/Input!$AQ15)+J15*(LOG(Input!$AR15^0.5/Input!$AP15)+2.06)+2.47)-273.15)</f>
        <v>174.49250689218076</v>
      </c>
      <c r="L15" s="207">
        <f ca="1">IF(Input!AP15=0,0,100*(0.08226*Input!AS15/(0.08226*Input!AS15+0.0499*Input!AR15+0.02557*Input!AQ15)))</f>
        <v>14.638934215281507</v>
      </c>
      <c r="M15" s="207">
        <f t="shared" ca="1" si="2"/>
        <v>57.265465189035879</v>
      </c>
      <c r="N15" s="207">
        <f t="shared" ca="1" si="3"/>
        <v>64.036127887953441</v>
      </c>
      <c r="O15" s="76">
        <f t="shared" ca="1" si="4"/>
        <v>110.45637900422732</v>
      </c>
      <c r="P15" s="76">
        <f ca="1">IF(Input!$AP15=0,0,1217/(LOG(Input!$AP15/Input!$AQ15)+1.483)-273.15)</f>
        <v>149.44304877959809</v>
      </c>
      <c r="Q15" s="76">
        <f ca="1">IF(Input!$AP15=0,0,855.6/(LOG(Input!$AP15/Input!$AQ15)+0.8573)-273.15)</f>
        <v>106.41840674296128</v>
      </c>
      <c r="R15" s="76">
        <f ca="1">IF(Input!AP15=0,0,1390/(1.75-LOG(Input!AQ15/Input!AP15))-273.15)</f>
        <v>168.56307792538752</v>
      </c>
      <c r="S15" s="76">
        <f ca="1">IF(Input!$AP15=0,0,883/(0.78-LOG(Input!$AQ15/Input!$AP15))-273.15)</f>
        <v>132.48401578696132</v>
      </c>
      <c r="T15" s="76">
        <f ca="1">IF(Input!$AP15=0,0,1178/(1.47-LOG(Input!$AQ15/Input!$AP15))-273.15)</f>
        <v>137.75551111544831</v>
      </c>
      <c r="U15" s="76">
        <f ca="1">IF(Input!$AP15=0,0,933/(0.993-LOG(Input!$AQ15/Input!$AP15))-273.15)</f>
        <v>117.25284611051984</v>
      </c>
      <c r="V15" s="217">
        <f ca="1">IF(Input!AQ15=0,0,4410/(13.95-LOG(Input!AQ15^2/Input!AS15))-273.15)</f>
        <v>128.94126943235574</v>
      </c>
      <c r="W15" s="215"/>
    </row>
    <row r="16" spans="1:23">
      <c r="A16" s="75" t="str">
        <f t="shared" ca="1" si="0"/>
        <v>Ruiz acid spring</v>
      </c>
      <c r="B16" s="76">
        <f ca="1">IF(Input!AT16=0, 0, 731/(4.52-LOG(Input!AT16))-273.15)</f>
        <v>40.25042611746079</v>
      </c>
      <c r="C16" s="76">
        <f ca="1">IF(Input!AT16=0,0,1000/(4.78-LOG(Input!$AT16))-273.15)</f>
        <v>112.58114471435613</v>
      </c>
      <c r="D16" s="76">
        <f ca="1">IF(Input!AT16=0,0,781/(4.51-LOG(Input!$AT16))-273.15)</f>
        <v>63.128565327517038</v>
      </c>
      <c r="E16" s="76">
        <f ca="1">IF(Input!AT16=0,0,1032/(4.69-LOG(Input!AT16))-273.15)</f>
        <v>139.24102700780395</v>
      </c>
      <c r="F16" s="76">
        <f ca="1">IF(Input!AT16=0,0, 0.00000031665*Input!AT16^3 - 0.00036686* Input!AT16^2 + 0.28831* Input!AT16 + 77.034 *LOG(Input!AT16) - 42.198)</f>
        <v>163.1712488445161</v>
      </c>
      <c r="G16" s="76">
        <f ca="1">IF(Input!AT16=0,0,1522/(5.75-LOG(Input!AT16))-273.15)</f>
        <v>154.08055510862164</v>
      </c>
      <c r="H16" s="207">
        <f ca="1">LOG(Input!$AR16^0.5/Input!$AP16)+2.06</f>
        <v>0.77804885533237633</v>
      </c>
      <c r="I16" s="76">
        <f ca="1">IF(Input!AO16=0,0,1647/(LOG(Input!$AP16/Input!$AQ16)+1.333*(LOG(Input!$AR16^0.5/Input!$AP16)+2.06)+2.47)-273.15)</f>
        <v>183.83600027829982</v>
      </c>
      <c r="J16" s="208">
        <f t="shared" ca="1" si="1"/>
        <v>0.33300000000000002</v>
      </c>
      <c r="K16" s="76">
        <f ca="1">IF(Input!AP16=0,0,1647/(LOG(Input!$AP16/Input!$AQ16)+J16*(LOG(Input!$AR16^0.5/Input!$AP16)+2.06)+2.47)-273.15)</f>
        <v>309.65248964847706</v>
      </c>
      <c r="L16" s="207">
        <f ca="1">IF(Input!AP16=0,0,100*(0.08226*Input!AS16/(0.08226*Input!AS16+0.0499*Input!AR16+0.02557*Input!AQ16)))</f>
        <v>43.730437520449925</v>
      </c>
      <c r="M16" s="207">
        <f t="shared" ca="1" si="2"/>
        <v>237.53017987887759</v>
      </c>
      <c r="N16" s="207">
        <f t="shared" ca="1" si="3"/>
        <v>256.54199540442778</v>
      </c>
      <c r="O16" s="76">
        <f t="shared" ca="1" si="4"/>
        <v>53.110494244049278</v>
      </c>
      <c r="P16" s="76">
        <f ca="1">IF(Input!$AP16=0,0,1217/(LOG(Input!$AP16/Input!$AQ16)+1.483)-273.15)</f>
        <v>497.14703589440705</v>
      </c>
      <c r="Q16" s="76">
        <f ca="1">IF(Input!$AP16=0,0,855.6/(LOG(Input!$AP16/Input!$AQ16)+0.8573)-273.15)</f>
        <v>623.5079561482512</v>
      </c>
      <c r="R16" s="76">
        <f ca="1">IF(Input!AP16=0,0,1390/(1.75-LOG(Input!AQ16/Input!AP16))-273.15)</f>
        <v>479.45840550434366</v>
      </c>
      <c r="S16" s="76">
        <f ca="1">IF(Input!$AP16=0,0,883/(0.78-LOG(Input!$AQ16/Input!$AP16))-273.15)</f>
        <v>733.7948254685258</v>
      </c>
      <c r="T16" s="76">
        <f ca="1">IF(Input!$AP16=0,0,1178/(1.47-LOG(Input!$AQ16/Input!$AP16))-273.15)</f>
        <v>478.64811873085739</v>
      </c>
      <c r="U16" s="76">
        <f ca="1">IF(Input!$AP16=0,0,933/(0.993-LOG(Input!$AQ16/Input!$AP16))-273.15)</f>
        <v>582.88397424068216</v>
      </c>
      <c r="V16" s="217">
        <f ca="1">IF(Input!AQ16=0,0,4410/(13.95-LOG(Input!AQ16^2/Input!AS16))-273.15)</f>
        <v>112.34504822353369</v>
      </c>
      <c r="W16" s="215"/>
    </row>
    <row r="17" spans="1:23">
      <c r="A17" s="75" t="str">
        <f t="shared" ca="1" si="0"/>
        <v>Ruiz neutral spring</v>
      </c>
      <c r="B17" s="76">
        <f ca="1">IF(Input!AT17=0, 0, 731/(4.52-LOG(Input!AT17))-273.15)</f>
        <v>49.626140461590012</v>
      </c>
      <c r="C17" s="76">
        <f ca="1">IF(Input!AT17=0,0,1000/(4.78-LOG(Input!$AT17))-273.15)</f>
        <v>122.93235028189355</v>
      </c>
      <c r="D17" s="76">
        <f ca="1">IF(Input!AT17=0,0,781/(4.51-LOG(Input!$AT17))-273.15)</f>
        <v>73.233322050092625</v>
      </c>
      <c r="E17" s="76">
        <f ca="1">IF(Input!AT17=0,0,1032/(4.69-LOG(Input!AT17))-273.15)</f>
        <v>150.71673751502851</v>
      </c>
      <c r="F17" s="76">
        <f ca="1">IF(Input!AT17=0,0, 0.00000031665*Input!AT17^3 - 0.00036686* Input!AT17^2 + 0.28831* Input!AT17 + 77.034 *LOG(Input!AT17) - 42.198)</f>
        <v>173.39090095812807</v>
      </c>
      <c r="G17" s="76">
        <f ca="1">IF(Input!AT17=0,0,1522/(5.75-LOG(Input!AT17))-273.15)</f>
        <v>162.36321303951661</v>
      </c>
      <c r="H17" s="207">
        <f ca="1">LOG(Input!$AR17^0.5/Input!$AP17)+2.06</f>
        <v>0.1152907836770265</v>
      </c>
      <c r="I17" s="76">
        <f ca="1">IF(Input!AO17=0,0,1647/(LOG(Input!$AP17/Input!$AQ17)+1.333*(LOG(Input!$AR17^0.5/Input!$AP17)+2.06)+2.47)-273.15)</f>
        <v>195.15778302735447</v>
      </c>
      <c r="J17" s="208">
        <f t="shared" ca="1" si="1"/>
        <v>0.33300000000000002</v>
      </c>
      <c r="K17" s="76">
        <f ca="1">IF(Input!AP17=0,0,1647/(LOG(Input!$AP17/Input!$AQ17)+J17*(LOG(Input!$AR17^0.5/Input!$AP17)+2.06)+2.47)-273.15)</f>
        <v>211.03006129384335</v>
      </c>
      <c r="L17" s="207">
        <f ca="1">IF(Input!AP17=0,0,100*(0.08226*Input!AS17/(0.08226*Input!AS17+0.0499*Input!AR17+0.02557*Input!AQ17)))</f>
        <v>8.7234305348139998</v>
      </c>
      <c r="M17" s="207">
        <f t="shared" ca="1" si="2"/>
        <v>49.570601012080289</v>
      </c>
      <c r="N17" s="207">
        <f t="shared" ca="1" si="3"/>
        <v>51.683893225552715</v>
      </c>
      <c r="O17" s="76">
        <f t="shared" ca="1" si="4"/>
        <v>159.34616806829064</v>
      </c>
      <c r="P17" s="76">
        <f ca="1">IF(Input!$AP17=0,0,1217/(LOG(Input!$AP17/Input!$AQ17)+1.483)-273.15)</f>
        <v>239.00468209839403</v>
      </c>
      <c r="Q17" s="76">
        <f ca="1">IF(Input!$AP17=0,0,855.6/(LOG(Input!$AP17/Input!$AQ17)+0.8573)-273.15)</f>
        <v>215.61479844734441</v>
      </c>
      <c r="R17" s="76">
        <f ca="1">IF(Input!AP17=0,0,1390/(1.75-LOG(Input!AQ17/Input!AP17))-273.15)</f>
        <v>252.72071441985474</v>
      </c>
      <c r="S17" s="76">
        <f ca="1">IF(Input!$AP17=0,0,883/(0.78-LOG(Input!$AQ17/Input!$AP17))-273.15)</f>
        <v>254.57018120580574</v>
      </c>
      <c r="T17" s="76">
        <f ca="1">IF(Input!$AP17=0,0,1178/(1.47-LOG(Input!$AQ17/Input!$AP17))-273.15)</f>
        <v>225.31921029668666</v>
      </c>
      <c r="U17" s="76">
        <f ca="1">IF(Input!$AP17=0,0,933/(0.993-LOG(Input!$AQ17/Input!$AP17))-273.15)</f>
        <v>221.4860793252189</v>
      </c>
      <c r="V17" s="217">
        <f ca="1">IF(Input!AQ17=0,0,4410/(13.95-LOG(Input!AQ17^2/Input!AS17))-273.15)</f>
        <v>132.42762225719304</v>
      </c>
      <c r="W17" s="215"/>
    </row>
    <row r="18" spans="1:23">
      <c r="A18" s="75" t="str">
        <f t="shared" ca="1" si="0"/>
        <v>Araro spring</v>
      </c>
      <c r="B18" s="76">
        <f ca="1">IF(Input!AT18=0, 0, 731/(4.52-LOG(Input!AT18))-273.15)</f>
        <v>32.750460224364417</v>
      </c>
      <c r="C18" s="76">
        <f ca="1">IF(Input!AT18=0,0,1000/(4.78-LOG(Input!$AT18))-273.15)</f>
        <v>104.2560249965922</v>
      </c>
      <c r="D18" s="76">
        <f ca="1">IF(Input!AT18=0,0,781/(4.51-LOG(Input!$AT18))-273.15)</f>
        <v>55.047286518649798</v>
      </c>
      <c r="E18" s="76">
        <f ca="1">IF(Input!AT18=0,0,1032/(4.69-LOG(Input!AT18))-273.15)</f>
        <v>130.02756561300578</v>
      </c>
      <c r="F18" s="76">
        <f ca="1">IF(Input!AT18=0,0, 0.00000031665*Input!AT18^3 - 0.00036686* Input!AT18^2 + 0.28831* Input!AT18 + 77.034 *LOG(Input!AT18) - 42.198)</f>
        <v>154.92503576599429</v>
      </c>
      <c r="G18" s="76">
        <f ca="1">IF(Input!AT18=0,0,1522/(5.75-LOG(Input!AT18))-273.15)</f>
        <v>147.33075779826225</v>
      </c>
      <c r="H18" s="207">
        <f ca="1">LOG(Input!$AR18^0.5/Input!$AP18)+2.06</f>
        <v>-4.9628489631567518E-2</v>
      </c>
      <c r="I18" s="76">
        <f ca="1">IF(Input!AO18=0,0,1647/(LOG(Input!$AP18/Input!$AQ18)+1.333*(LOG(Input!$AR18^0.5/Input!$AP18)+2.06)+2.47)-273.15)</f>
        <v>190.39353432988133</v>
      </c>
      <c r="J18" s="208">
        <f t="shared" ca="1" si="1"/>
        <v>0.33300000000000002</v>
      </c>
      <c r="K18" s="76">
        <f ca="1">IF(Input!AP18=0,0,1647/(LOG(Input!$AP18/Input!$AQ18)+J18*(LOG(Input!$AR18^0.5/Input!$AP18)+2.06)+2.47)-273.15)</f>
        <v>184.00804253225965</v>
      </c>
      <c r="L18" s="207">
        <f ca="1">IF(Input!AP18=0,0,100*(0.08226*Input!AS18/(0.08226*Input!AS18+0.0499*Input!AR18+0.02557*Input!AQ18)))</f>
        <v>0.88130111728611538</v>
      </c>
      <c r="M18" s="207">
        <f t="shared" ca="1" si="2"/>
        <v>0.01</v>
      </c>
      <c r="N18" s="207">
        <f t="shared" ca="1" si="3"/>
        <v>0.01</v>
      </c>
      <c r="O18" s="76">
        <f t="shared" ca="1" si="4"/>
        <v>183.99804253225966</v>
      </c>
      <c r="P18" s="76">
        <f ca="1">IF(Input!$AP18=0,0,1217/(LOG(Input!$AP18/Input!$AQ18)+1.483)-273.15)</f>
        <v>189.19752804157383</v>
      </c>
      <c r="Q18" s="76">
        <f ca="1">IF(Input!$AP18=0,0,855.6/(LOG(Input!$AP18/Input!$AQ18)+0.8573)-273.15)</f>
        <v>153.26009228549992</v>
      </c>
      <c r="R18" s="76">
        <f ca="1">IF(Input!AP18=0,0,1390/(1.75-LOG(Input!AQ18/Input!AP18))-273.15)</f>
        <v>206.2894442049971</v>
      </c>
      <c r="S18" s="76">
        <f ca="1">IF(Input!$AP18=0,0,883/(0.78-LOG(Input!$AQ18/Input!$AP18))-273.15)</f>
        <v>184.54814025149147</v>
      </c>
      <c r="T18" s="76">
        <f ca="1">IF(Input!$AP18=0,0,1178/(1.47-LOG(Input!$AQ18/Input!$AP18))-273.15)</f>
        <v>176.60236867668419</v>
      </c>
      <c r="U18" s="76">
        <f ca="1">IF(Input!$AP18=0,0,933/(0.993-LOG(Input!$AQ18/Input!$AP18))-273.15)</f>
        <v>162.37967784117251</v>
      </c>
      <c r="V18" s="217">
        <f ca="1">IF(Input!AQ18=0,0,4410/(13.95-LOG(Input!AQ18^2/Input!AS18))-273.15)</f>
        <v>166.56685143669392</v>
      </c>
      <c r="W18" s="215"/>
    </row>
    <row r="19" spans="1:23">
      <c r="A19" s="75" t="str">
        <f t="shared" ca="1" si="0"/>
        <v>Manikaran spring</v>
      </c>
      <c r="B19" s="76">
        <f ca="1">IF(Input!AT19=0, 0, 731/(4.52-LOG(Input!AT19))-273.15)</f>
        <v>3.2269118287358651</v>
      </c>
      <c r="C19" s="76">
        <f ca="1">IF(Input!AT19=0,0,1000/(4.78-LOG(Input!$AT19))-273.15)</f>
        <v>71.091338861267445</v>
      </c>
      <c r="D19" s="76">
        <f ca="1">IF(Input!AT19=0,0,781/(4.51-LOG(Input!$AT19))-273.15)</f>
        <v>23.251578203410304</v>
      </c>
      <c r="E19" s="76">
        <f ca="1">IF(Input!AT19=0,0,1032/(4.69-LOG(Input!AT19))-273.15)</f>
        <v>93.465438758517905</v>
      </c>
      <c r="F19" s="76">
        <f ca="1">IF(Input!AT19=0,0, 0.00000031665*Input!AT19^3 - 0.00036686* Input!AT19^2 + 0.28831* Input!AT19 + 77.034 *LOG(Input!AT19) - 42.198)</f>
        <v>121.93871858286622</v>
      </c>
      <c r="G19" s="76">
        <f ca="1">IF(Input!AT19=0,0,1522/(5.75-LOG(Input!AT19))-273.15)</f>
        <v>119.63040337024614</v>
      </c>
      <c r="H19" s="207">
        <f ca="1">LOG(Input!$AR19^0.5/Input!$AP19)+2.06</f>
        <v>0.94530213949503317</v>
      </c>
      <c r="I19" s="76">
        <f ca="1">IF(Input!AO19=0,0,1647/(LOG(Input!$AP19/Input!$AQ19)+1.333*(LOG(Input!$AR19^0.5/Input!$AP19)+2.06)+2.47)-273.15)</f>
        <v>103.19089388472815</v>
      </c>
      <c r="J19" s="208">
        <f t="shared" ca="1" si="1"/>
        <v>0.33300000000000002</v>
      </c>
      <c r="K19" s="76">
        <f ca="1">IF(Input!AP19=0,0,1647/(LOG(Input!$AP19/Input!$AQ19)+J19*(LOG(Input!$AR19^0.5/Input!$AP19)+2.06)+2.47)-273.15)</f>
        <v>206.87808242669479</v>
      </c>
      <c r="L19" s="207">
        <f ca="1">IF(Input!AP19=0,0,100*(0.08226*Input!AS19/(0.08226*Input!AS19+0.0499*Input!AR19+0.02557*Input!AQ19)))</f>
        <v>8.0951818611242317</v>
      </c>
      <c r="M19" s="207">
        <f t="shared" ca="1" si="2"/>
        <v>44.117801656052976</v>
      </c>
      <c r="N19" s="207">
        <f t="shared" ca="1" si="3"/>
        <v>45.40673654212037</v>
      </c>
      <c r="O19" s="76">
        <f t="shared" ca="1" si="4"/>
        <v>161.47134588457442</v>
      </c>
      <c r="P19" s="76">
        <f ca="1">IF(Input!$AP19=0,0,1217/(LOG(Input!$AP19/Input!$AQ19)+1.483)-273.15)</f>
        <v>298.40909171540841</v>
      </c>
      <c r="Q19" s="76">
        <f ca="1">IF(Input!$AP19=0,0,855.6/(LOG(Input!$AP19/Input!$AQ19)+0.8573)-273.15)</f>
        <v>295.89807310699985</v>
      </c>
      <c r="R19" s="76">
        <f ca="1">IF(Input!AP19=0,0,1390/(1.75-LOG(Input!AQ19/Input!AP19))-273.15)</f>
        <v>306.91972554298218</v>
      </c>
      <c r="S19" s="76">
        <f ca="1">IF(Input!$AP19=0,0,883/(0.78-LOG(Input!$AQ19/Input!$AP19))-273.15)</f>
        <v>345.95012053874314</v>
      </c>
      <c r="T19" s="76">
        <f ca="1">IF(Input!$AP19=0,0,1178/(1.47-LOG(Input!$AQ19/Input!$AP19))-273.15)</f>
        <v>283.49141746876433</v>
      </c>
      <c r="U19" s="76">
        <f ca="1">IF(Input!$AP19=0,0,933/(0.993-LOG(Input!$AQ19/Input!$AP19))-273.15)</f>
        <v>296.00798616397526</v>
      </c>
      <c r="V19" s="217">
        <f ca="1">IF(Input!AQ19=0,0,4410/(13.95-LOG(Input!AQ19^2/Input!AS19))-273.15)</f>
        <v>99.817853240808859</v>
      </c>
      <c r="W19" s="215"/>
    </row>
    <row r="20" spans="1:23">
      <c r="A20" s="75" t="str">
        <f t="shared" ca="1" si="0"/>
        <v>Fang spring</v>
      </c>
      <c r="B20" s="76">
        <f ca="1">IF(Input!AT20=0, 0, 731/(4.52-LOG(Input!AT20))-273.15)</f>
        <v>54.657778418769169</v>
      </c>
      <c r="C20" s="76">
        <f ca="1">IF(Input!AT20=0,0,1000/(4.78-LOG(Input!$AT20))-273.15)</f>
        <v>128.46200816819527</v>
      </c>
      <c r="D20" s="76">
        <f ca="1">IF(Input!AT20=0,0,781/(4.51-LOG(Input!$AT20))-273.15)</f>
        <v>78.657286725016831</v>
      </c>
      <c r="E20" s="76">
        <f ca="1">IF(Input!AT20=0,0,1032/(4.69-LOG(Input!AT20))-273.15)</f>
        <v>156.85620129188237</v>
      </c>
      <c r="F20" s="76">
        <f ca="1">IF(Input!AT20=0,0, 0.00000031665*Input!AT20^3 - 0.00036686* Input!AT20^2 + 0.28831* Input!AT20 + 77.034 *LOG(Input!AT20) - 42.198)</f>
        <v>178.83104492045021</v>
      </c>
      <c r="G20" s="76">
        <f ca="1">IF(Input!AT20=0,0,1522/(5.75-LOG(Input!AT20))-273.15)</f>
        <v>166.73879339609709</v>
      </c>
      <c r="H20" s="207">
        <f ca="1">LOG(Input!$AR20^0.5/Input!$AP20)+2.06</f>
        <v>-2.6359830674748341E-2</v>
      </c>
      <c r="I20" s="76">
        <f ca="1">IF(Input!AO20=0,0,1647/(LOG(Input!$AP20/Input!$AQ20)+1.333*(LOG(Input!$AR20^0.5/Input!$AP20)+2.06)+2.47)-273.15)</f>
        <v>182.05724887504584</v>
      </c>
      <c r="J20" s="208">
        <f t="shared" ca="1" si="1"/>
        <v>0.33300000000000002</v>
      </c>
      <c r="K20" s="76">
        <f ca="1">IF(Input!AP20=0,0,1647/(LOG(Input!$AP20/Input!$AQ20)+J20*(LOG(Input!$AR20^0.5/Input!$AP20)+2.06)+2.47)-273.15)</f>
        <v>178.76483228140484</v>
      </c>
      <c r="L20" s="207">
        <f ca="1">IF(Input!AP20=0,0,100*(0.08226*Input!AS20/(0.08226*Input!AS20+0.0499*Input!AR20+0.02557*Input!AQ20)))</f>
        <v>3.1314953975468818</v>
      </c>
      <c r="M20" s="207">
        <f t="shared" ca="1" si="2"/>
        <v>3.8126523301082429</v>
      </c>
      <c r="N20" s="207">
        <f t="shared" ca="1" si="3"/>
        <v>5.6407749430960763</v>
      </c>
      <c r="O20" s="76">
        <f t="shared" ca="1" si="4"/>
        <v>174.95217995129659</v>
      </c>
      <c r="P20" s="76">
        <f ca="1">IF(Input!$AP20=0,0,1217/(LOG(Input!$AP20/Input!$AQ20)+1.483)-273.15)</f>
        <v>183.29292264094693</v>
      </c>
      <c r="Q20" s="76">
        <f ca="1">IF(Input!$AP20=0,0,855.6/(LOG(Input!$AP20/Input!$AQ20)+0.8573)-273.15)</f>
        <v>146.14464097921774</v>
      </c>
      <c r="R20" s="76">
        <f ca="1">IF(Input!AP20=0,0,1390/(1.75-LOG(Input!AQ20/Input!AP20))-273.15)</f>
        <v>200.72389298449787</v>
      </c>
      <c r="S20" s="76">
        <f ca="1">IF(Input!$AP20=0,0,883/(0.78-LOG(Input!$AQ20/Input!$AP20))-273.15)</f>
        <v>176.60987526178383</v>
      </c>
      <c r="T20" s="76">
        <f ca="1">IF(Input!$AP20=0,0,1178/(1.47-LOG(Input!$AQ20/Input!$AP20))-273.15)</f>
        <v>170.8304729265331</v>
      </c>
      <c r="U20" s="76">
        <f ca="1">IF(Input!$AP20=0,0,933/(0.993-LOG(Input!$AQ20/Input!$AP20))-273.15)</f>
        <v>155.56521778803204</v>
      </c>
      <c r="V20" s="217">
        <f ca="1">IF(Input!AQ20=0,0,4410/(13.95-LOG(Input!AQ20^2/Input!AS20))-273.15)</f>
        <v>122.58503427949421</v>
      </c>
      <c r="W20" s="215"/>
    </row>
    <row r="21" spans="1:23">
      <c r="A21" s="75" t="str">
        <f t="shared" ca="1" si="0"/>
        <v>Paraso spring</v>
      </c>
      <c r="B21" s="76">
        <f ca="1">IF(Input!AT21=0, 0, 731/(4.52-LOG(Input!AT21))-273.15)</f>
        <v>38.722210393947933</v>
      </c>
      <c r="C21" s="76">
        <f ca="1">IF(Input!AT21=0,0,1000/(4.78-LOG(Input!$AT21))-273.15)</f>
        <v>110.88803646257804</v>
      </c>
      <c r="D21" s="76">
        <f ca="1">IF(Input!AT21=0,0,781/(4.51-LOG(Input!$AT21))-273.15)</f>
        <v>61.481764429658483</v>
      </c>
      <c r="E21" s="76">
        <f ca="1">IF(Input!AT21=0,0,1032/(4.69-LOG(Input!AT21))-273.15)</f>
        <v>137.36609519140376</v>
      </c>
      <c r="F21" s="76">
        <f ca="1">IF(Input!AT21=0,0, 0.00000031665*Input!AT21^3 - 0.00036686* Input!AT21^2 + 0.28831* Input!AT21 + 77.034 *LOG(Input!AT21) - 42.198)</f>
        <v>161.49585780009537</v>
      </c>
      <c r="G21" s="76">
        <f ca="1">IF(Input!AT21=0,0,1522/(5.75-LOG(Input!AT21))-273.15)</f>
        <v>152.71425964470723</v>
      </c>
      <c r="H21" s="207">
        <f ca="1">LOG(Input!$AR21^0.5/Input!$AP21)+2.06</f>
        <v>0.20766355106182388</v>
      </c>
      <c r="I21" s="76">
        <f ca="1">IF(Input!AO21=0,0,1647/(LOG(Input!$AP21/Input!$AQ21)+1.333*(LOG(Input!$AR21^0.5/Input!$AP21)+2.06)+2.47)-273.15)</f>
        <v>187.01115264791576</v>
      </c>
      <c r="J21" s="208">
        <f t="shared" ca="1" si="1"/>
        <v>0.33300000000000002</v>
      </c>
      <c r="K21" s="76">
        <f ca="1">IF(Input!AP21=0,0,1647/(LOG(Input!$AP21/Input!$AQ21)+J21*(LOG(Input!$AR21^0.5/Input!$AP21)+2.06)+2.47)-273.15)</f>
        <v>215.35408838038046</v>
      </c>
      <c r="L21" s="207">
        <f ca="1">IF(Input!AP21=0,0,100*(0.08226*Input!AS21/(0.08226*Input!AS21+0.0499*Input!AR21+0.02557*Input!AQ21)))</f>
        <v>10.340482506324468</v>
      </c>
      <c r="M21" s="207">
        <f t="shared" ca="1" si="2"/>
        <v>60.694835942145446</v>
      </c>
      <c r="N21" s="207">
        <f t="shared" ca="1" si="3"/>
        <v>64.874577616997186</v>
      </c>
      <c r="O21" s="76">
        <f t="shared" ca="1" si="4"/>
        <v>150.47951076338327</v>
      </c>
      <c r="P21" s="76">
        <f ca="1">IF(Input!$AP21=0,0,1217/(LOG(Input!$AP21/Input!$AQ21)+1.483)-273.15)</f>
        <v>252.46898731657473</v>
      </c>
      <c r="Q21" s="76">
        <f ca="1">IF(Input!$AP21=0,0,855.6/(LOG(Input!$AP21/Input!$AQ21)+0.8573)-273.15)</f>
        <v>233.22245468842078</v>
      </c>
      <c r="R21" s="76">
        <f ca="1">IF(Input!AP21=0,0,1390/(1.75-LOG(Input!AQ21/Input!AP21))-273.15)</f>
        <v>265.11620245936194</v>
      </c>
      <c r="S21" s="76">
        <f ca="1">IF(Input!$AP21=0,0,883/(0.78-LOG(Input!$AQ21/Input!$AP21))-273.15)</f>
        <v>274.49262339071902</v>
      </c>
      <c r="T21" s="76">
        <f ca="1">IF(Input!$AP21=0,0,1178/(1.47-LOG(Input!$AQ21/Input!$AP21))-273.15)</f>
        <v>238.49772384472993</v>
      </c>
      <c r="U21" s="76">
        <f ca="1">IF(Input!$AP21=0,0,933/(0.993-LOG(Input!$AQ21/Input!$AP21))-273.15)</f>
        <v>237.98054753438157</v>
      </c>
      <c r="V21" s="217">
        <f ca="1">IF(Input!AQ21=0,0,4410/(13.95-LOG(Input!AQ21^2/Input!AS21))-273.15)</f>
        <v>132.40298105691636</v>
      </c>
      <c r="W21" s="215"/>
    </row>
    <row r="22" spans="1:23">
      <c r="A22" s="75" t="str">
        <f t="shared" ca="1" si="0"/>
        <v>Yasur spring</v>
      </c>
      <c r="B22" s="88">
        <f ca="1">IF(Input!AT22=0, 0, 731/(4.52-LOG(Input!AT22))-273.15)</f>
        <v>76.839140021625099</v>
      </c>
      <c r="C22" s="76">
        <f ca="1">IF(Input!AT22=0,0,1000/(4.78-LOG(Input!$AT22))-273.15)</f>
        <v>152.629005168893</v>
      </c>
      <c r="D22" s="76">
        <f ca="1">IF(Input!AT22=0,0,781/(4.51-LOG(Input!$AT22))-273.15)</f>
        <v>102.57711691134784</v>
      </c>
      <c r="E22" s="88">
        <f ca="1">IF(Input!AT22=0,0,1032/(4.69-LOG(Input!AT22))-273.15)</f>
        <v>183.76288558280407</v>
      </c>
      <c r="F22" s="88">
        <f ca="1">IF(Input!AT22=0,0, 0.00000031665*Input!AT22^3 - 0.00036686* Input!AT22^2 + 0.28831* Input!AT22 + 77.034 *LOG(Input!AT22) - 42.198)</f>
        <v>202.43190415822343</v>
      </c>
      <c r="G22" s="88">
        <f ca="1">IF(Input!AT22=0,0,1522/(5.75-LOG(Input!AT22))-273.15)</f>
        <v>185.47212422154581</v>
      </c>
      <c r="H22" s="207">
        <f ca="1">LOG(Input!$AR22^0.5/Input!$AP22)+2.06</f>
        <v>-0.42857926026681969</v>
      </c>
      <c r="I22" s="76">
        <f ca="1">IF(Input!AO22=0,0,1647/(LOG(Input!$AP22/Input!$AQ22)+1.333*(LOG(Input!$AR22^0.5/Input!$AP22)+2.06)+2.47)-273.15)</f>
        <v>251.50851925818358</v>
      </c>
      <c r="J22" s="208">
        <f t="shared" ca="1" si="1"/>
        <v>0.33300000000000002</v>
      </c>
      <c r="K22" s="76">
        <f ca="1">IF(Input!AP22=0,0,1647/(LOG(Input!$AP22/Input!$AQ22)+J22*(LOG(Input!$AR22^0.5/Input!$AP22)+2.06)+2.47)-273.15)</f>
        <v>188.48367732758675</v>
      </c>
      <c r="L22" s="211">
        <f ca="1">IF(Input!AP22=0,0,100*(0.08226*Input!AS22/(0.08226*Input!AS22+0.0499*Input!AR22+0.02557*Input!AQ22)))</f>
        <v>0.90079238192020106</v>
      </c>
      <c r="M22" s="207">
        <f t="shared" ca="1" si="2"/>
        <v>0.01</v>
      </c>
      <c r="N22" s="207">
        <f t="shared" ca="1" si="3"/>
        <v>0.01</v>
      </c>
      <c r="O22" s="76">
        <f t="shared" ca="1" si="4"/>
        <v>188.47367732758676</v>
      </c>
      <c r="P22" s="76">
        <f ca="1">IF(Input!$AP22=0,0,1217/(LOG(Input!$AP22/Input!$AQ22)+1.483)-273.15)</f>
        <v>173.70461811053542</v>
      </c>
      <c r="Q22" s="76">
        <f ca="1">IF(Input!$AP22=0,0,855.6/(LOG(Input!$AP22/Input!$AQ22)+0.8573)-273.15)</f>
        <v>134.70957006931269</v>
      </c>
      <c r="R22" s="88">
        <f ca="1">IF(Input!AP22=0,0,1390/(1.75-LOG(Input!AQ22/Input!AP22))-273.15)</f>
        <v>191.65819128588316</v>
      </c>
      <c r="S22" s="76">
        <f ca="1">IF(Input!$AP22=0,0,883/(0.78-LOG(Input!$AQ22/Input!$AP22))-273.15)</f>
        <v>163.87467918199712</v>
      </c>
      <c r="T22" s="76">
        <f ca="1">IF(Input!$AP22=0,0,1178/(1.47-LOG(Input!$AQ22/Input!$AP22))-273.15)</f>
        <v>161.45923005259056</v>
      </c>
      <c r="U22" s="76">
        <f ca="1">IF(Input!$AP22=0,0,933/(0.993-LOG(Input!$AQ22/Input!$AP22))-273.15)</f>
        <v>144.58359976363681</v>
      </c>
      <c r="V22" s="218">
        <f ca="1">IF(Input!AQ22=0,0,4410/(13.95-LOG(Input!AQ22^2/Input!AS22))-273.15)</f>
        <v>181.46688804073347</v>
      </c>
      <c r="W22" s="216"/>
    </row>
    <row r="23" spans="1:23">
      <c r="A23" s="75" t="str">
        <f t="shared" ca="1" si="0"/>
        <v>Lake Nyos</v>
      </c>
      <c r="B23" s="88">
        <f ca="1">IF(Input!AT23=0, 0, 731/(4.52-LOG(Input!AT23))-273.15)</f>
        <v>-18.160746868205308</v>
      </c>
      <c r="C23" s="76">
        <f ca="1">IF(Input!AT23=0,0,1000/(4.78-LOG(Input!$AT23))-273.15)</f>
        <v>46.66706604800936</v>
      </c>
      <c r="D23" s="76">
        <f ca="1">IF(Input!AT23=0,0,781/(4.51-LOG(Input!$AT23))-273.15)</f>
        <v>0.23400345351512897</v>
      </c>
      <c r="E23" s="88">
        <f ca="1">IF(Input!AT23=0,0,1032/(4.69-LOG(Input!AT23))-273.15)</f>
        <v>66.682801828021752</v>
      </c>
      <c r="F23" s="88">
        <f ca="1">IF(Input!AT23=0,0, 0.00000031665*Input!AT23^3 - 0.00036686* Input!AT23^2 + 0.28831* Input!AT23 + 77.034 *LOG(Input!AT23) - 42.198)</f>
        <v>97.415486017419823</v>
      </c>
      <c r="G23" s="88">
        <f ca="1">IF(Input!AT23=0,0,1522/(5.75-LOG(Input!AT23))-273.15)</f>
        <v>98.360605594673018</v>
      </c>
      <c r="H23" s="207">
        <f ca="1">LOG(Input!$AR23^0.5/Input!$AP23)+2.06</f>
        <v>1.62246936830415</v>
      </c>
      <c r="I23" s="76">
        <f ca="1">IF(Input!AO23=0,0,1647/(LOG(Input!$AP23/Input!$AQ23)+1.333*(LOG(Input!$AR23^0.5/Input!$AP23)+2.06)+2.47)-273.15)</f>
        <v>49.167213152867419</v>
      </c>
      <c r="J23" s="208">
        <f t="shared" ca="1" si="1"/>
        <v>1.333</v>
      </c>
      <c r="K23" s="76">
        <f ca="1">IF(Input!AP23=0,0,1647/(LOG(Input!$AP23/Input!$AQ23)+J23*(LOG(Input!$AR23^0.5/Input!$AP23)+2.06)+2.47)-273.15)</f>
        <v>49.167213152867419</v>
      </c>
      <c r="L23" s="211">
        <f ca="1">IF(Input!AP23=0,0,100*(0.08226*Input!AS23/(0.08226*Input!AS23+0.0499*Input!AR23+0.02557*Input!AQ23)))</f>
        <v>63.923889030739687</v>
      </c>
      <c r="M23" s="207">
        <f t="shared" ca="1" si="2"/>
        <v>-81.873690482672941</v>
      </c>
      <c r="N23" s="207">
        <f t="shared" ca="1" si="3"/>
        <v>17.795743770354989</v>
      </c>
      <c r="O23" s="76">
        <f t="shared" ca="1" si="4"/>
        <v>31.37146938251243</v>
      </c>
      <c r="P23" s="76">
        <f ca="1">IF(Input!$AP23=0,0,1217/(LOG(Input!$AP23/Input!$AQ23)+1.483)-273.15)</f>
        <v>347.72995682392411</v>
      </c>
      <c r="Q23" s="76">
        <f ca="1">IF(Input!$AP23=0,0,855.6/(LOG(Input!$AP23/Input!$AQ23)+0.8573)-273.15)</f>
        <v>368.02683750454503</v>
      </c>
      <c r="R23" s="88">
        <f ca="1">IF(Input!AP23=0,0,1390/(1.75-LOG(Input!AQ23/Input!AP23))-273.15)</f>
        <v>350.97407813644861</v>
      </c>
      <c r="S23" s="76">
        <f ca="1">IF(Input!$AP23=0,0,883/(0.78-LOG(Input!$AQ23/Input!$AP23))-273.15)</f>
        <v>429.24843347244075</v>
      </c>
      <c r="T23" s="76">
        <f ca="1">IF(Input!$AP23=0,0,1178/(1.47-LOG(Input!$AQ23/Input!$AP23))-273.15)</f>
        <v>331.84570694152944</v>
      </c>
      <c r="U23" s="76">
        <f ca="1">IF(Input!$AP23=0,0,933/(0.993-LOG(Input!$AQ23/Input!$AP23))-273.15)</f>
        <v>361.49152838053749</v>
      </c>
      <c r="V23" s="218">
        <f ca="1">IF(Input!AQ23=0,0,4410/(13.95-LOG(Input!AQ23^2/Input!AS23))-273.15)</f>
        <v>39.701868884703458</v>
      </c>
      <c r="W23" s="216"/>
    </row>
    <row r="24" spans="1:23">
      <c r="A24" s="75" t="str">
        <f t="shared" ca="1" si="0"/>
        <v>Waitangi soda spring</v>
      </c>
      <c r="B24" s="88">
        <f ca="1">IF(Input!AT24=0, 0, 731/(4.52-LOG(Input!AT24))-273.15)</f>
        <v>48.241106319105086</v>
      </c>
      <c r="C24" s="76">
        <f ca="1">IF(Input!AT24=0,0,1000/(4.78-LOG(Input!$AT24))-273.15)</f>
        <v>121.40711113677463</v>
      </c>
      <c r="D24" s="76">
        <f ca="1">IF(Input!AT24=0,0,781/(4.51-LOG(Input!$AT24))-273.15)</f>
        <v>71.740425704488871</v>
      </c>
      <c r="E24" s="88">
        <f ca="1">IF(Input!AT24=0,0,1032/(4.69-LOG(Input!AT24))-273.15)</f>
        <v>149.02441113805645</v>
      </c>
      <c r="F24" s="88">
        <f ca="1">IF(Input!AT24=0,0, 0.00000031665*Input!AT24^3 - 0.00036686* Input!AT24^2 + 0.28831* Input!AT24 + 77.034 *LOG(Input!AT24) - 42.198)</f>
        <v>171.88783236279525</v>
      </c>
      <c r="G24" s="88">
        <f ca="1">IF(Input!AT24=0,0,1522/(5.75-LOG(Input!AT24))-273.15)</f>
        <v>161.15032861630709</v>
      </c>
      <c r="H24" s="207">
        <f ca="1">LOG(Input!$AR24^0.5/Input!$AP24)+2.06</f>
        <v>0.2203796006806269</v>
      </c>
      <c r="I24" s="76">
        <f ca="1">IF(Input!AO24=0,0,1647/(LOG(Input!$AP24/Input!$AQ24)+1.333*(LOG(Input!$AR24^0.5/Input!$AP24)+2.06)+2.47)-273.15)</f>
        <v>155.93507723948142</v>
      </c>
      <c r="J24" s="208">
        <f t="shared" ca="1" si="1"/>
        <v>0.33300000000000002</v>
      </c>
      <c r="K24" s="76">
        <f ca="1">IF(Input!AP24=0,0,1647/(LOG(Input!$AP24/Input!$AQ24)+J24*(LOG(Input!$AR24^0.5/Input!$AP24)+2.06)+2.47)-273.15)</f>
        <v>182.07136098533937</v>
      </c>
      <c r="L24" s="211">
        <f ca="1">IF(Input!AP24=0,0,100*(0.08226*Input!AS24/(0.08226*Input!AS24+0.0499*Input!AR24+0.02557*Input!AQ24)))</f>
        <v>33.367485622767305</v>
      </c>
      <c r="M24" s="207">
        <f t="shared" ca="1" si="2"/>
        <v>116.87517679527126</v>
      </c>
      <c r="N24" s="207">
        <f t="shared" ca="1" si="3"/>
        <v>135.83549068942816</v>
      </c>
      <c r="O24" s="76">
        <f t="shared" ca="1" si="4"/>
        <v>46.235870295911212</v>
      </c>
      <c r="P24" s="76">
        <f ca="1">IF(Input!$AP24=0,0,1217/(LOG(Input!$AP24/Input!$AQ24)+1.483)-273.15)</f>
        <v>202.68046738742231</v>
      </c>
      <c r="Q24" s="76">
        <f ca="1">IF(Input!$AP24=0,0,855.6/(LOG(Input!$AP24/Input!$AQ24)+0.8573)-273.15)</f>
        <v>169.72235953492753</v>
      </c>
      <c r="R24" s="88">
        <f ca="1">IF(Input!AP24=0,0,1390/(1.75-LOG(Input!AQ24/Input!AP24))-273.15)</f>
        <v>218.94921987620188</v>
      </c>
      <c r="S24" s="76">
        <f ca="1">IF(Input!$AP24=0,0,883/(0.78-LOG(Input!$AQ24/Input!$AP24))-273.15)</f>
        <v>202.95481730124794</v>
      </c>
      <c r="T24" s="76">
        <f ca="1">IF(Input!$AP24=0,0,1178/(1.47-LOG(Input!$AQ24/Input!$AP24))-273.15)</f>
        <v>189.78501411351414</v>
      </c>
      <c r="U24" s="76">
        <f ca="1">IF(Input!$AP24=0,0,933/(0.993-LOG(Input!$AQ24/Input!$AP24))-273.15)</f>
        <v>178.09048658509715</v>
      </c>
      <c r="V24" s="218">
        <f ca="1">IF(Input!AQ24=0,0,4410/(13.95-LOG(Input!AQ24^2/Input!AS24))-273.15)</f>
        <v>90.14284113856661</v>
      </c>
      <c r="W24" s="216"/>
    </row>
    <row r="25" spans="1:23">
      <c r="A25" s="75" t="str">
        <f t="shared" ca="1" si="0"/>
        <v>Morere spring</v>
      </c>
      <c r="B25" s="88">
        <f ca="1">IF(Input!AT25=0, 0, 731/(4.52-LOG(Input!AT25))-273.15)</f>
        <v>-36.475965188984361</v>
      </c>
      <c r="C25" s="76">
        <f ca="1">IF(Input!AT25=0,0,1000/(4.78-LOG(Input!$AT25))-273.15)</f>
        <v>25.479032707952285</v>
      </c>
      <c r="D25" s="76">
        <f ca="1">IF(Input!AT25=0,0,781/(4.51-LOG(Input!$AT25))-273.15)</f>
        <v>-19.466245190738192</v>
      </c>
      <c r="E25" s="88">
        <f ca="1">IF(Input!AT25=0,0,1032/(4.69-LOG(Input!AT25))-273.15)</f>
        <v>43.546901804890751</v>
      </c>
      <c r="F25" s="88">
        <f ca="1">IF(Input!AT25=0,0, 0.00000031665*Input!AT25^3 - 0.00036686* Input!AT25^2 + 0.28831* Input!AT25 + 77.034 *LOG(Input!AT25) - 42.198)</f>
        <v>75.588837890173437</v>
      </c>
      <c r="G25" s="88">
        <f ca="1">IF(Input!AT25=0,0,1522/(5.75-LOG(Input!AT25))-273.15)</f>
        <v>79.276070843543835</v>
      </c>
      <c r="H25" s="207">
        <f ca="1">LOG(Input!$AR25^0.5/Input!$AP25)+2.06</f>
        <v>-7.9618801215773249E-2</v>
      </c>
      <c r="I25" s="76">
        <f ca="1">IF(Input!AO25=0,0,1647/(LOG(Input!$AP25/Input!$AQ25)+1.333*(LOG(Input!$AR25^0.5/Input!$AP25)+2.06)+2.47)-273.15)</f>
        <v>112.95639125680651</v>
      </c>
      <c r="J25" s="208">
        <f t="shared" ca="1" si="1"/>
        <v>0.33300000000000002</v>
      </c>
      <c r="K25" s="76">
        <f ca="1">IF(Input!AP25=0,0,1647/(LOG(Input!$AP25/Input!$AQ25)+J25*(LOG(Input!$AR25^0.5/Input!$AP25)+2.06)+2.47)-273.15)</f>
        <v>105.88174689799371</v>
      </c>
      <c r="L25" s="211">
        <f ca="1">IF(Input!AP25=0,0,100*(0.08226*Input!AS25/(0.08226*Input!AS25+0.0499*Input!AR25+0.02557*Input!AQ25)))</f>
        <v>5.2025144854231886</v>
      </c>
      <c r="M25" s="207">
        <f t="shared" ca="1" si="2"/>
        <v>-16.695727350691129</v>
      </c>
      <c r="N25" s="207">
        <f t="shared" ca="1" si="3"/>
        <v>-15.816864500780824</v>
      </c>
      <c r="O25" s="76">
        <f t="shared" ca="1" si="4"/>
        <v>105.88174689799371</v>
      </c>
      <c r="P25" s="76">
        <f ca="1">IF(Input!$AP25=0,0,1217/(LOG(Input!$AP25/Input!$AQ25)+1.483)-273.15)</f>
        <v>86.399046321257288</v>
      </c>
      <c r="Q25" s="76">
        <f ca="1">IF(Input!$AP25=0,0,855.6/(LOG(Input!$AP25/Input!$AQ25)+0.8573)-273.15)</f>
        <v>36.951623825719821</v>
      </c>
      <c r="R25" s="88">
        <f ca="1">IF(Input!AP25=0,0,1390/(1.75-LOG(Input!AQ25/Input!AP25))-273.15)</f>
        <v>107.48467509794585</v>
      </c>
      <c r="S25" s="76">
        <f ca="1">IF(Input!$AP25=0,0,883/(0.78-LOG(Input!$AQ25/Input!$AP25))-273.15)</f>
        <v>56.107019978410221</v>
      </c>
      <c r="T25" s="76">
        <f ca="1">IF(Input!$AP25=0,0,1178/(1.47-LOG(Input!$AQ25/Input!$AP25))-273.15)</f>
        <v>76.218754477213338</v>
      </c>
      <c r="U25" s="76">
        <f ca="1">IF(Input!$AP25=0,0,933/(0.993-LOG(Input!$AQ25/Input!$AP25))-273.15)</f>
        <v>49.152558034661013</v>
      </c>
      <c r="V25" s="218">
        <f ca="1">IF(Input!AQ25=0,0,4410/(13.95-LOG(Input!AQ25^2/Input!AS25))-273.15)</f>
        <v>94.211277803647306</v>
      </c>
      <c r="W25" s="216"/>
    </row>
    <row r="26" spans="1:23">
      <c r="A26" s="75" t="str">
        <f t="shared" ca="1" si="0"/>
        <v>Maui well</v>
      </c>
      <c r="B26" s="88">
        <f ca="1">IF(Input!AT26=0, 0, 731/(4.52-LOG(Input!AT26))-273.15)</f>
        <v>-26.498646348268466</v>
      </c>
      <c r="C26" s="76">
        <f ca="1">IF(Input!AT26=0,0,1000/(4.78-LOG(Input!$AT26))-273.15)</f>
        <v>37.052802911257857</v>
      </c>
      <c r="D26" s="76">
        <f ca="1">IF(Input!AT26=0,0,781/(4.51-LOG(Input!$AT26))-273.15)</f>
        <v>-8.735651474844019</v>
      </c>
      <c r="E26" s="88">
        <f ca="1">IF(Input!AT26=0,0,1032/(4.69-LOG(Input!AT26))-273.15)</f>
        <v>56.173427118503184</v>
      </c>
      <c r="F26" s="88">
        <f ca="1">IF(Input!AT26=0,0, 0.00000031665*Input!AT26^3 - 0.00036686* Input!AT26^2 + 0.28831* Input!AT26 + 77.034 *LOG(Input!AT26) - 42.198)</f>
        <v>87.608689906507209</v>
      </c>
      <c r="G26" s="88">
        <f ca="1">IF(Input!AT26=0,0,1522/(5.75-LOG(Input!AT26))-273.15)</f>
        <v>89.775556809585908</v>
      </c>
      <c r="H26" s="207">
        <f ca="1">LOG(Input!$AR26^0.5/Input!$AP26)+2.06</f>
        <v>-0.6977002027330057</v>
      </c>
      <c r="I26" s="76">
        <f ca="1">IF(Input!AO26=0,0,1647/(LOG(Input!$AP26/Input!$AQ26)+1.333*(LOG(Input!$AR26^0.5/Input!$AP26)+2.06)+2.47)-273.15)</f>
        <v>316.41397526399498</v>
      </c>
      <c r="J26" s="208">
        <f t="shared" ca="1" si="1"/>
        <v>0.33300000000000002</v>
      </c>
      <c r="K26" s="76">
        <f ca="1">IF(Input!AP26=0,0,1647/(LOG(Input!$AP26/Input!$AQ26)+J26*(LOG(Input!$AR26^0.5/Input!$AP26)+2.06)+2.47)-273.15)</f>
        <v>198.59537918417999</v>
      </c>
      <c r="L26" s="211">
        <f ca="1">IF(Input!AP26=0,0,100*(0.08226*Input!AS26/(0.08226*Input!AS26+0.0499*Input!AR26+0.02557*Input!AQ26)))</f>
        <v>15.998521896834234</v>
      </c>
      <c r="M26" s="207">
        <f t="shared" ca="1" si="2"/>
        <v>78.201918004513487</v>
      </c>
      <c r="N26" s="207">
        <f t="shared" ca="1" si="3"/>
        <v>87.677028175276703</v>
      </c>
      <c r="O26" s="76">
        <f t="shared" ca="1" si="4"/>
        <v>110.91835100890329</v>
      </c>
      <c r="P26" s="76">
        <f ca="1">IF(Input!$AP26=0,0,1217/(LOG(Input!$AP26/Input!$AQ26)+1.483)-273.15)</f>
        <v>171.55846367766009</v>
      </c>
      <c r="Q26" s="76">
        <f ca="1">IF(Input!$AP26=0,0,855.6/(LOG(Input!$AP26/Input!$AQ26)+0.8573)-273.15)</f>
        <v>132.17007195546392</v>
      </c>
      <c r="R26" s="88">
        <f ca="1">IF(Input!AP26=0,0,1390/(1.75-LOG(Input!AQ26/Input!AP26))-273.15)</f>
        <v>189.62425163765522</v>
      </c>
      <c r="S26" s="76">
        <f ca="1">IF(Input!$AP26=0,0,883/(0.78-LOG(Input!$AQ26/Input!$AP26))-273.15)</f>
        <v>161.0501560449332</v>
      </c>
      <c r="T26" s="76">
        <f ca="1">IF(Input!$AP26=0,0,1178/(1.47-LOG(Input!$AQ26/Input!$AP26))-273.15)</f>
        <v>159.3619248061795</v>
      </c>
      <c r="U26" s="76">
        <f ca="1">IF(Input!$AP26=0,0,933/(0.993-LOG(Input!$AQ26/Input!$AP26))-273.15)</f>
        <v>142.1397255238075</v>
      </c>
      <c r="V26" s="218">
        <f ca="1">IF(Input!AQ26=0,0,4410/(13.95-LOG(Input!AQ26^2/Input!AS26))-273.15)</f>
        <v>153.17026350277615</v>
      </c>
      <c r="W26" s="216"/>
    </row>
    <row r="27" spans="1:23">
      <c r="A27" s="75" t="str">
        <f t="shared" ca="1" si="0"/>
        <v>White Island spring</v>
      </c>
      <c r="B27" s="88">
        <f ca="1">IF(Input!AT27=0, 0, 731/(4.52-LOG(Input!AT27))-273.15)</f>
        <v>0</v>
      </c>
      <c r="C27" s="76">
        <f ca="1">IF(Input!AT27=0,0,1000/(4.78-LOG(Input!$AT27))-273.15)</f>
        <v>0</v>
      </c>
      <c r="D27" s="76">
        <f ca="1">IF(Input!AT27=0,0,781/(4.51-LOG(Input!$AT27))-273.15)</f>
        <v>0</v>
      </c>
      <c r="E27" s="88">
        <f ca="1">IF(Input!AT27=0,0,1032/(4.69-LOG(Input!AT27))-273.15)</f>
        <v>0</v>
      </c>
      <c r="F27" s="88">
        <f ca="1">IF(Input!AT27=0,0, 0.00000031665*Input!AT27^3 - 0.00036686* Input!AT27^2 + 0.28831* Input!AT27 + 77.034 *LOG(Input!AT27) - 42.198)</f>
        <v>0</v>
      </c>
      <c r="G27" s="88">
        <f ca="1">IF(Input!AT27=0,0,1522/(5.75-LOG(Input!AT27))-273.15)</f>
        <v>0</v>
      </c>
      <c r="H27" s="207">
        <f ca="1">LOG(Input!$AR27^0.5/Input!$AP27)+2.06</f>
        <v>3.7567796013544985E-2</v>
      </c>
      <c r="I27" s="76">
        <f ca="1">IF(Input!AO27=0,0,1647/(LOG(Input!$AP27/Input!$AQ27)+1.333*(LOG(Input!$AR27^0.5/Input!$AP27)+2.06)+2.47)-273.15)</f>
        <v>198.91969311838551</v>
      </c>
      <c r="J27" s="208">
        <f t="shared" ca="1" si="1"/>
        <v>0.33300000000000002</v>
      </c>
      <c r="K27" s="76">
        <f ca="1">IF(Input!AP27=0,0,1647/(LOG(Input!$AP27/Input!$AQ27)+J27*(LOG(Input!$AR27^0.5/Input!$AP27)+2.06)+2.47)-273.15)</f>
        <v>204.05819034445113</v>
      </c>
      <c r="L27" s="211">
        <f ca="1">IF(Input!AP27=0,0,100*(0.08226*Input!AS27/(0.08226*Input!AS27+0.0499*Input!AR27+0.02557*Input!AQ27)))</f>
        <v>64.317201736301911</v>
      </c>
      <c r="M27" s="207">
        <f t="shared" ca="1" si="2"/>
        <v>197.40414578931916</v>
      </c>
      <c r="N27" s="207">
        <f t="shared" ca="1" si="3"/>
        <v>198.16883889625188</v>
      </c>
      <c r="O27" s="76">
        <f t="shared" ca="1" si="4"/>
        <v>5.8893514481992497</v>
      </c>
      <c r="P27" s="76">
        <f ca="1">IF(Input!$AP27=0,0,1217/(LOG(Input!$AP27/Input!$AQ27)+1.483)-273.15)</f>
        <v>223.21722904652313</v>
      </c>
      <c r="Q27" s="76">
        <f ca="1">IF(Input!$AP27=0,0,855.6/(LOG(Input!$AP27/Input!$AQ27)+0.8573)-273.15)</f>
        <v>195.38598105880396</v>
      </c>
      <c r="R27" s="88">
        <f ca="1">IF(Input!AP27=0,0,1390/(1.75-LOG(Input!AQ27/Input!AP27))-273.15)</f>
        <v>238.10237877823272</v>
      </c>
      <c r="S27" s="76">
        <f ca="1">IF(Input!$AP27=0,0,883/(0.78-LOG(Input!$AQ27/Input!$AP27))-273.15)</f>
        <v>231.76368630758776</v>
      </c>
      <c r="T27" s="76">
        <f ca="1">IF(Input!$AP27=0,0,1178/(1.47-LOG(Input!$AQ27/Input!$AP27))-273.15)</f>
        <v>209.87171385586805</v>
      </c>
      <c r="U27" s="76">
        <f ca="1">IF(Input!$AP27=0,0,933/(0.993-LOG(Input!$AQ27/Input!$AP27))-273.15)</f>
        <v>202.43031303524538</v>
      </c>
      <c r="V27" s="218">
        <f ca="1">IF(Input!AQ27=0,0,4410/(13.95-LOG(Input!AQ27^2/Input!AS27))-273.15)</f>
        <v>96.685010477143919</v>
      </c>
      <c r="W27" s="216"/>
    </row>
    <row r="28" spans="1:23">
      <c r="A28" s="75" t="str">
        <f t="shared" ca="1" si="0"/>
        <v>Ohaaki well</v>
      </c>
      <c r="B28" s="88">
        <f ca="1">IF(Input!AT28=0, 0, 731/(4.52-LOG(Input!AT28))-273.15)</f>
        <v>0</v>
      </c>
      <c r="C28" s="76">
        <f ca="1">IF(Input!AT28=0,0,1000/(4.78-LOG(Input!$AT28))-273.15)</f>
        <v>0</v>
      </c>
      <c r="D28" s="76">
        <f ca="1">IF(Input!AT28=0,0,781/(4.51-LOG(Input!$AT28))-273.15)</f>
        <v>0</v>
      </c>
      <c r="E28" s="88">
        <f ca="1">IF(Input!AT28=0,0,1032/(4.69-LOG(Input!AT28))-273.15)</f>
        <v>0</v>
      </c>
      <c r="F28" s="88">
        <f ca="1">IF(Input!AT28=0,0, 0.00000031665*Input!AT28^3 - 0.00036686* Input!AT28^2 + 0.28831* Input!AT28 + 77.034 *LOG(Input!AT28) - 42.198)</f>
        <v>0</v>
      </c>
      <c r="G28" s="88">
        <f ca="1">IF(Input!AT28=0,0,1522/(5.75-LOG(Input!AT28))-273.15)</f>
        <v>0</v>
      </c>
      <c r="H28" s="207" t="e">
        <f ca="1">LOG(Input!$AR28^0.5/Input!$AP28)+2.06</f>
        <v>#DIV/0!</v>
      </c>
      <c r="I28" s="76">
        <f ca="1">IF(Input!AO28=0,0,1647/(LOG(Input!$AP28/Input!$AQ28)+1.333*(LOG(Input!$AR28^0.5/Input!$AP28)+2.06)+2.47)-273.15)</f>
        <v>0</v>
      </c>
      <c r="J28" s="208" t="e">
        <f t="shared" ca="1" si="1"/>
        <v>#DIV/0!</v>
      </c>
      <c r="K28" s="76">
        <f ca="1">IF(Input!AP28=0,0,1647/(LOG(Input!$AP28/Input!$AQ28)+J28*(LOG(Input!$AR28^0.5/Input!$AP28)+2.06)+2.47)-273.15)</f>
        <v>0</v>
      </c>
      <c r="L28" s="211">
        <f ca="1">IF(Input!AP28=0,0,100*(0.08226*Input!AS28/(0.08226*Input!AS28+0.0499*Input!AR28+0.02557*Input!AQ28)))</f>
        <v>0</v>
      </c>
      <c r="M28" s="207">
        <f t="shared" ca="1" si="2"/>
        <v>0</v>
      </c>
      <c r="N28" s="207">
        <f t="shared" ca="1" si="3"/>
        <v>0</v>
      </c>
      <c r="O28" s="76">
        <f ca="1">IF(K28=0,0,IF(L28&lt;5,IF(M28&lt;0,K28,K28-M28),IF(N28&lt;0,K28,K28-N28)))</f>
        <v>0</v>
      </c>
      <c r="P28" s="76">
        <f ca="1">IF(Input!$AP28=0,0,1217/(LOG(Input!$AP28/Input!$AQ28)+1.483)-273.15)</f>
        <v>0</v>
      </c>
      <c r="Q28" s="76">
        <f ca="1">IF(Input!$AP28=0,0,855.6/(LOG(Input!$AP28/Input!$AQ28)+0.8573)-273.15)</f>
        <v>0</v>
      </c>
      <c r="R28" s="88">
        <f ca="1">IF(Input!AP28=0,0,1390/(1.75-LOG(Input!AQ28/Input!AP28))-273.15)</f>
        <v>0</v>
      </c>
      <c r="S28" s="76">
        <f ca="1">IF(Input!$AP28=0,0,883/(0.78-LOG(Input!$AQ28/Input!$AP28))-273.15)</f>
        <v>0</v>
      </c>
      <c r="T28" s="76">
        <f ca="1">IF(Input!$AP28=0,0,1178/(1.47-LOG(Input!$AQ28/Input!$AP28))-273.15)</f>
        <v>0</v>
      </c>
      <c r="U28" s="76">
        <f ca="1">IF(Input!$AP28=0,0,933/(0.993-LOG(Input!$AQ28/Input!$AP28))-273.15)</f>
        <v>0</v>
      </c>
      <c r="V28" s="218">
        <f ca="1">IF(Input!AQ28=0,0,4410/(13.95-LOG(Input!AQ28^2/Input!AS28))-273.15)</f>
        <v>0</v>
      </c>
      <c r="W28" s="216"/>
    </row>
    <row r="29" spans="1:23">
      <c r="A29" s="75" t="str">
        <f t="shared" ca="1" si="0"/>
        <v>Ohaaki meteoric</v>
      </c>
      <c r="B29" s="88">
        <f ca="1">IF(Input!AT29=0, 0, 731/(4.52-LOG(Input!AT29))-273.15)</f>
        <v>0</v>
      </c>
      <c r="C29" s="76">
        <f ca="1">IF(Input!AT29=0,0,1000/(4.78-LOG(Input!$AT29))-273.15)</f>
        <v>0</v>
      </c>
      <c r="D29" s="76">
        <f ca="1">IF(Input!AT29=0,0,781/(4.51-LOG(Input!$AT29))-273.15)</f>
        <v>0</v>
      </c>
      <c r="E29" s="88">
        <f ca="1">IF(Input!AT29=0,0,1032/(4.69-LOG(Input!AT29))-273.15)</f>
        <v>0</v>
      </c>
      <c r="F29" s="88">
        <f ca="1">IF(Input!AT29=0,0, 0.00000031665*Input!AT29^3 - 0.00036686* Input!AT29^2 + 0.28831* Input!AT29 + 77.034 *LOG(Input!AT29) - 42.198)</f>
        <v>0</v>
      </c>
      <c r="G29" s="88">
        <f ca="1">IF(Input!AT29=0,0,1522/(5.75-LOG(Input!AT29))-273.15)</f>
        <v>0</v>
      </c>
      <c r="H29" s="207" t="e">
        <f ca="1">LOG(Input!$AR29^0.5/Input!$AP29)+2.06</f>
        <v>#DIV/0!</v>
      </c>
      <c r="I29" s="76">
        <f ca="1">IF(Input!AO29=0,0,1647/(LOG(Input!$AP29/Input!$AQ29)+1.333*(LOG(Input!$AR29^0.5/Input!$AP29)+2.06)+2.47)-273.15)</f>
        <v>0</v>
      </c>
      <c r="J29" s="208" t="e">
        <f t="shared" ca="1" si="1"/>
        <v>#DIV/0!</v>
      </c>
      <c r="K29" s="76">
        <f ca="1">IF(Input!AP29=0,0,1647/(LOG(Input!$AP29/Input!$AQ29)+J29*(LOG(Input!$AR29^0.5/Input!$AP29)+2.06)+2.47)-273.15)</f>
        <v>0</v>
      </c>
      <c r="L29" s="211">
        <f ca="1">IF(Input!AP29=0,0,100*(0.08226*Input!AS29/(0.08226*Input!AS29+0.0499*Input!AR29+0.02557*Input!AQ29)))</f>
        <v>0</v>
      </c>
      <c r="M29" s="207">
        <f t="shared" ca="1" si="2"/>
        <v>0</v>
      </c>
      <c r="N29" s="207">
        <f t="shared" ca="1" si="3"/>
        <v>0</v>
      </c>
      <c r="O29" s="76">
        <f t="shared" ca="1" si="4"/>
        <v>0</v>
      </c>
      <c r="P29" s="76">
        <f ca="1">IF(Input!$AP29=0,0,1217/(LOG(Input!$AP29/Input!$AQ29)+1.483)-273.15)</f>
        <v>0</v>
      </c>
      <c r="Q29" s="76">
        <f ca="1">IF(Input!$AP29=0,0,855.6/(LOG(Input!$AP29/Input!$AQ29)+0.8573)-273.15)</f>
        <v>0</v>
      </c>
      <c r="R29" s="88">
        <f ca="1">IF(Input!AP29=0,0,1390/(1.75-LOG(Input!AQ29/Input!AP29))-273.15)</f>
        <v>0</v>
      </c>
      <c r="S29" s="76">
        <f ca="1">IF(Input!$AP29=0,0,883/(0.78-LOG(Input!$AQ29/Input!$AP29))-273.15)</f>
        <v>0</v>
      </c>
      <c r="T29" s="76">
        <f ca="1">IF(Input!$AP29=0,0,1178/(1.47-LOG(Input!$AQ29/Input!$AP29))-273.15)</f>
        <v>0</v>
      </c>
      <c r="U29" s="76">
        <f ca="1">IF(Input!$AP29=0,0,933/(0.993-LOG(Input!$AQ29/Input!$AP29))-273.15)</f>
        <v>0</v>
      </c>
      <c r="V29" s="218">
        <f ca="1">IF(Input!AQ29=0,0,4410/(13.95-LOG(Input!AQ29^2/Input!AS29))-273.15)</f>
        <v>0</v>
      </c>
      <c r="W29" s="216"/>
    </row>
    <row r="30" spans="1:23">
      <c r="A30" s="75" t="str">
        <f t="shared" ca="1" si="0"/>
        <v>Wairakei well</v>
      </c>
      <c r="B30" s="88">
        <f ca="1">IF(Input!AT30=0, 0, 731/(4.52-LOG(Input!AT30))-273.15)</f>
        <v>0</v>
      </c>
      <c r="C30" s="76">
        <f ca="1">IF(Input!AT30=0,0,1000/(4.78-LOG(Input!$AT30))-273.15)</f>
        <v>0</v>
      </c>
      <c r="D30" s="76">
        <f ca="1">IF(Input!AT30=0,0,781/(4.51-LOG(Input!$AT30))-273.15)</f>
        <v>0</v>
      </c>
      <c r="E30" s="88">
        <f ca="1">IF(Input!AT30=0,0,1032/(4.69-LOG(Input!AT30))-273.15)</f>
        <v>0</v>
      </c>
      <c r="F30" s="88">
        <f ca="1">IF(Input!AT30=0,0, 0.00000031665*Input!AT30^3 - 0.00036686* Input!AT30^2 + 0.28831* Input!AT30 + 77.034 *LOG(Input!AT30) - 42.198)</f>
        <v>0</v>
      </c>
      <c r="G30" s="88">
        <f ca="1">IF(Input!AT30=0,0,1522/(5.75-LOG(Input!AT30))-273.15)</f>
        <v>0</v>
      </c>
      <c r="H30" s="207" t="e">
        <f ca="1">LOG(Input!$AR30^0.5/Input!$AP30)+2.06</f>
        <v>#DIV/0!</v>
      </c>
      <c r="I30" s="76">
        <f ca="1">IF(Input!AO30=0,0,1647/(LOG(Input!$AP30/Input!$AQ30)+1.333*(LOG(Input!$AR30^0.5/Input!$AP30)+2.06)+2.47)-273.15)</f>
        <v>0</v>
      </c>
      <c r="J30" s="208" t="e">
        <f t="shared" ca="1" si="1"/>
        <v>#DIV/0!</v>
      </c>
      <c r="K30" s="76">
        <f ca="1">IF(Input!AP30=0,0,1647/(LOG(Input!$AP30/Input!$AQ30)+J30*(LOG(Input!$AR30^0.5/Input!$AP30)+2.06)+2.47)-273.15)</f>
        <v>0</v>
      </c>
      <c r="L30" s="211">
        <f ca="1">IF(Input!AP30=0,0,100*(0.08226*Input!AS30/(0.08226*Input!AS30+0.0499*Input!AR30+0.02557*Input!AQ30)))</f>
        <v>0</v>
      </c>
      <c r="M30" s="207">
        <f t="shared" ca="1" si="2"/>
        <v>0</v>
      </c>
      <c r="N30" s="207">
        <f t="shared" ca="1" si="3"/>
        <v>0</v>
      </c>
      <c r="O30" s="76">
        <f t="shared" ca="1" si="4"/>
        <v>0</v>
      </c>
      <c r="P30" s="76">
        <f ca="1">IF(Input!$AP30=0,0,1217/(LOG(Input!$AP30/Input!$AQ30)+1.483)-273.15)</f>
        <v>0</v>
      </c>
      <c r="Q30" s="76">
        <f ca="1">IF(Input!$AP30=0,0,855.6/(LOG(Input!$AP30/Input!$AQ30)+0.8573)-273.15)</f>
        <v>0</v>
      </c>
      <c r="R30" s="88">
        <f ca="1">IF(Input!AP30=0,0,1390/(1.75-LOG(Input!AQ30/Input!AP30))-273.15)</f>
        <v>0</v>
      </c>
      <c r="S30" s="76">
        <f ca="1">IF(Input!$AP30=0,0,883/(0.78-LOG(Input!$AQ30/Input!$AP30))-273.15)</f>
        <v>0</v>
      </c>
      <c r="T30" s="76">
        <f ca="1">IF(Input!$AP30=0,0,1178/(1.47-LOG(Input!$AQ30/Input!$AP30))-273.15)</f>
        <v>0</v>
      </c>
      <c r="U30" s="76">
        <f ca="1">IF(Input!$AP30=0,0,933/(0.993-LOG(Input!$AQ30/Input!$AP30))-273.15)</f>
        <v>0</v>
      </c>
      <c r="V30" s="218">
        <f ca="1">IF(Input!AQ30=0,0,4410/(13.95-LOG(Input!AQ30^2/Input!AS30))-273.15)</f>
        <v>0</v>
      </c>
      <c r="W30" s="216"/>
    </row>
    <row r="31" spans="1:23">
      <c r="A31" s="75" t="str">
        <f t="shared" ca="1" si="0"/>
        <v>Wairakei meteoric</v>
      </c>
      <c r="B31" s="88">
        <f ca="1">IF(Input!AT31=0, 0, 731/(4.52-LOG(Input!AT31))-273.15)</f>
        <v>0</v>
      </c>
      <c r="C31" s="76">
        <f ca="1">IF(Input!AT31=0,0,1000/(4.78-LOG(Input!$AT31))-273.15)</f>
        <v>0</v>
      </c>
      <c r="D31" s="76">
        <f ca="1">IF(Input!AT31=0,0,781/(4.51-LOG(Input!$AT31))-273.15)</f>
        <v>0</v>
      </c>
      <c r="E31" s="88">
        <f ca="1">IF(Input!AT31=0,0,1032/(4.69-LOG(Input!AT31))-273.15)</f>
        <v>0</v>
      </c>
      <c r="F31" s="88">
        <f ca="1">IF(Input!AT31=0,0, 0.00000031665*Input!AT31^3 - 0.00036686* Input!AT31^2 + 0.28831* Input!AT31 + 77.034 *LOG(Input!AT31) - 42.198)</f>
        <v>0</v>
      </c>
      <c r="G31" s="88">
        <f ca="1">IF(Input!AT31=0,0,1522/(5.75-LOG(Input!AT31))-273.15)</f>
        <v>0</v>
      </c>
      <c r="H31" s="207" t="e">
        <f ca="1">LOG(Input!$AR31^0.5/Input!$AP31)+2.06</f>
        <v>#DIV/0!</v>
      </c>
      <c r="I31" s="76">
        <f ca="1">IF(Input!AO31=0,0,1647/(LOG(Input!$AP31/Input!$AQ31)+1.333*(LOG(Input!$AR31^0.5/Input!$AP31)+2.06)+2.47)-273.15)</f>
        <v>0</v>
      </c>
      <c r="J31" s="208" t="e">
        <f t="shared" ca="1" si="1"/>
        <v>#DIV/0!</v>
      </c>
      <c r="K31" s="76">
        <f ca="1">IF(Input!AP31=0,0,1647/(LOG(Input!$AP31/Input!$AQ31)+J31*(LOG(Input!$AR31^0.5/Input!$AP31)+2.06)+2.47)-273.15)</f>
        <v>0</v>
      </c>
      <c r="L31" s="211">
        <f ca="1">IF(Input!AP31=0,0,100*(0.08226*Input!AS31/(0.08226*Input!AS31+0.0499*Input!AR31+0.02557*Input!AQ31)))</f>
        <v>0</v>
      </c>
      <c r="M31" s="207">
        <f t="shared" ca="1" si="2"/>
        <v>0</v>
      </c>
      <c r="N31" s="207">
        <f t="shared" ca="1" si="3"/>
        <v>0</v>
      </c>
      <c r="O31" s="76">
        <f t="shared" ca="1" si="4"/>
        <v>0</v>
      </c>
      <c r="P31" s="76">
        <f ca="1">IF(Input!$AP31=0,0,1217/(LOG(Input!$AP31/Input!$AQ31)+1.483)-273.15)</f>
        <v>0</v>
      </c>
      <c r="Q31" s="76">
        <f ca="1">IF(Input!$AP31=0,0,855.6/(LOG(Input!$AP31/Input!$AQ31)+0.8573)-273.15)</f>
        <v>0</v>
      </c>
      <c r="R31" s="88">
        <f ca="1">IF(Input!AP31=0,0,1390/(1.75-LOG(Input!AQ31/Input!AP31))-273.15)</f>
        <v>0</v>
      </c>
      <c r="S31" s="76">
        <f ca="1">IF(Input!$AP31=0,0,883/(0.78-LOG(Input!$AQ31/Input!$AP31))-273.15)</f>
        <v>0</v>
      </c>
      <c r="T31" s="76">
        <f ca="1">IF(Input!$AP31=0,0,1178/(1.47-LOG(Input!$AQ31/Input!$AP31))-273.15)</f>
        <v>0</v>
      </c>
      <c r="U31" s="76">
        <f ca="1">IF(Input!$AP31=0,0,933/(0.993-LOG(Input!$AQ31/Input!$AP31))-273.15)</f>
        <v>0</v>
      </c>
      <c r="V31" s="218">
        <f ca="1">IF(Input!AQ31=0,0,4410/(13.95-LOG(Input!AQ31^2/Input!AS31))-273.15)</f>
        <v>0</v>
      </c>
      <c r="W31" s="216"/>
    </row>
    <row r="32" spans="1:23">
      <c r="A32" s="75" t="str">
        <f t="shared" ca="1" si="0"/>
        <v>Tongonan well</v>
      </c>
      <c r="B32" s="88">
        <f ca="1">IF(Input!AT32=0, 0, 731/(4.52-LOG(Input!AT32))-273.15)</f>
        <v>0</v>
      </c>
      <c r="C32" s="76">
        <f ca="1">IF(Input!AT32=0,0,1000/(4.78-LOG(Input!$AT32))-273.15)</f>
        <v>0</v>
      </c>
      <c r="D32" s="76">
        <f ca="1">IF(Input!AT32=0,0,781/(4.51-LOG(Input!$AT32))-273.15)</f>
        <v>0</v>
      </c>
      <c r="E32" s="88">
        <f ca="1">IF(Input!AT32=0,0,1032/(4.69-LOG(Input!AT32))-273.15)</f>
        <v>0</v>
      </c>
      <c r="F32" s="88">
        <f ca="1">IF(Input!AT32=0,0, 0.00000031665*Input!AT32^3 - 0.00036686* Input!AT32^2 + 0.28831* Input!AT32 + 77.034 *LOG(Input!AT32) - 42.198)</f>
        <v>0</v>
      </c>
      <c r="G32" s="88">
        <f ca="1">IF(Input!AT32=0,0,1522/(5.75-LOG(Input!AT32))-273.15)</f>
        <v>0</v>
      </c>
      <c r="H32" s="207" t="e">
        <f ca="1">LOG(Input!$AR32^0.5/Input!$AP32)+2.06</f>
        <v>#DIV/0!</v>
      </c>
      <c r="I32" s="76">
        <f ca="1">IF(Input!AO32=0,0,1647/(LOG(Input!$AP32/Input!$AQ32)+1.333*(LOG(Input!$AR32^0.5/Input!$AP32)+2.06)+2.47)-273.15)</f>
        <v>0</v>
      </c>
      <c r="J32" s="208" t="e">
        <f t="shared" ca="1" si="1"/>
        <v>#DIV/0!</v>
      </c>
      <c r="K32" s="76">
        <f ca="1">IF(Input!AP32=0,0,1647/(LOG(Input!$AP32/Input!$AQ32)+J32*(LOG(Input!$AR32^0.5/Input!$AP32)+2.06)+2.47)-273.15)</f>
        <v>0</v>
      </c>
      <c r="L32" s="211">
        <f ca="1">IF(Input!AP32=0,0,100*(0.08226*Input!AS32/(0.08226*Input!AS32+0.0499*Input!AR32+0.02557*Input!AQ32)))</f>
        <v>0</v>
      </c>
      <c r="M32" s="207">
        <f t="shared" ca="1" si="2"/>
        <v>0</v>
      </c>
      <c r="N32" s="207">
        <f t="shared" ca="1" si="3"/>
        <v>0</v>
      </c>
      <c r="O32" s="76">
        <f t="shared" ca="1" si="4"/>
        <v>0</v>
      </c>
      <c r="P32" s="76">
        <f ca="1">IF(Input!$AP32=0,0,1217/(LOG(Input!$AP32/Input!$AQ32)+1.483)-273.15)</f>
        <v>0</v>
      </c>
      <c r="Q32" s="76">
        <f ca="1">IF(Input!$AP32=0,0,855.6/(LOG(Input!$AP32/Input!$AQ32)+0.8573)-273.15)</f>
        <v>0</v>
      </c>
      <c r="R32" s="88">
        <f ca="1">IF(Input!AP32=0,0,1390/(1.75-LOG(Input!AQ32/Input!AP32))-273.15)</f>
        <v>0</v>
      </c>
      <c r="S32" s="76">
        <f ca="1">IF(Input!$AP32=0,0,883/(0.78-LOG(Input!$AQ32/Input!$AP32))-273.15)</f>
        <v>0</v>
      </c>
      <c r="T32" s="76">
        <f ca="1">IF(Input!$AP32=0,0,1178/(1.47-LOG(Input!$AQ32/Input!$AP32))-273.15)</f>
        <v>0</v>
      </c>
      <c r="U32" s="76">
        <f ca="1">IF(Input!$AP32=0,0,933/(0.993-LOG(Input!$AQ32/Input!$AP32))-273.15)</f>
        <v>0</v>
      </c>
      <c r="V32" s="218">
        <f ca="1">IF(Input!AQ32=0,0,4410/(13.95-LOG(Input!AQ32^2/Input!AS32))-273.15)</f>
        <v>0</v>
      </c>
      <c r="W32" s="216"/>
    </row>
    <row r="33" spans="1:23">
      <c r="A33" s="75" t="str">
        <f t="shared" ca="1" si="0"/>
        <v>Tongonan meteoric</v>
      </c>
      <c r="B33" s="88">
        <f ca="1">IF(Input!AT33=0, 0, 731/(4.52-LOG(Input!AT33))-273.15)</f>
        <v>0</v>
      </c>
      <c r="C33" s="76">
        <f ca="1">IF(Input!AT33=0,0,1000/(4.78-LOG(Input!$AT33))-273.15)</f>
        <v>0</v>
      </c>
      <c r="D33" s="76">
        <f ca="1">IF(Input!AT33=0,0,781/(4.51-LOG(Input!$AT33))-273.15)</f>
        <v>0</v>
      </c>
      <c r="E33" s="88">
        <f ca="1">IF(Input!AT33=0,0,1032/(4.69-LOG(Input!AT33))-273.15)</f>
        <v>0</v>
      </c>
      <c r="F33" s="88">
        <f ca="1">IF(Input!AT33=0,0, 0.00000031665*Input!AT33^3 - 0.00036686* Input!AT33^2 + 0.28831* Input!AT33 + 77.034 *LOG(Input!AT33) - 42.198)</f>
        <v>0</v>
      </c>
      <c r="G33" s="88">
        <f ca="1">IF(Input!AT33=0,0,1522/(5.75-LOG(Input!AT33))-273.15)</f>
        <v>0</v>
      </c>
      <c r="H33" s="207" t="e">
        <f ca="1">LOG(Input!$AR33^0.5/Input!$AP33)+2.06</f>
        <v>#DIV/0!</v>
      </c>
      <c r="I33" s="76">
        <f ca="1">IF(Input!AO33=0,0,1647/(LOG(Input!$AP33/Input!$AQ33)+1.333*(LOG(Input!$AR33^0.5/Input!$AP33)+2.06)+2.47)-273.15)</f>
        <v>0</v>
      </c>
      <c r="J33" s="208" t="e">
        <f t="shared" ca="1" si="1"/>
        <v>#DIV/0!</v>
      </c>
      <c r="K33" s="76">
        <f ca="1">IF(Input!AP33=0,0,1647/(LOG(Input!$AP33/Input!$AQ33)+J33*(LOG(Input!$AR33^0.5/Input!$AP33)+2.06)+2.47)-273.15)</f>
        <v>0</v>
      </c>
      <c r="L33" s="211">
        <f ca="1">IF(Input!AP33=0,0,100*(0.08226*Input!AS33/(0.08226*Input!AS33+0.0499*Input!AR33+0.02557*Input!AQ33)))</f>
        <v>0</v>
      </c>
      <c r="M33" s="207">
        <f t="shared" ca="1" si="2"/>
        <v>0</v>
      </c>
      <c r="N33" s="207">
        <f t="shared" ca="1" si="3"/>
        <v>0</v>
      </c>
      <c r="O33" s="76">
        <f t="shared" ca="1" si="4"/>
        <v>0</v>
      </c>
      <c r="P33" s="76">
        <f ca="1">IF(Input!$AP33=0,0,1217/(LOG(Input!$AP33/Input!$AQ33)+1.483)-273.15)</f>
        <v>0</v>
      </c>
      <c r="Q33" s="76">
        <f ca="1">IF(Input!$AP33=0,0,855.6/(LOG(Input!$AP33/Input!$AQ33)+0.8573)-273.15)</f>
        <v>0</v>
      </c>
      <c r="R33" s="88">
        <f ca="1">IF(Input!AP33=0,0,1390/(1.75-LOG(Input!AQ33/Input!AP33))-273.15)</f>
        <v>0</v>
      </c>
      <c r="S33" s="76">
        <f ca="1">IF(Input!$AP33=0,0,883/(0.78-LOG(Input!$AQ33/Input!$AP33))-273.15)</f>
        <v>0</v>
      </c>
      <c r="T33" s="76">
        <f ca="1">IF(Input!$AP33=0,0,1178/(1.47-LOG(Input!$AQ33/Input!$AP33))-273.15)</f>
        <v>0</v>
      </c>
      <c r="U33" s="76">
        <f ca="1">IF(Input!$AP33=0,0,933/(0.993-LOG(Input!$AQ33/Input!$AP33))-273.15)</f>
        <v>0</v>
      </c>
      <c r="V33" s="218">
        <f ca="1">IF(Input!AQ33=0,0,4410/(13.95-LOG(Input!AQ33^2/Input!AS33))-273.15)</f>
        <v>0</v>
      </c>
      <c r="W33" s="216"/>
    </row>
    <row r="34" spans="1:23">
      <c r="A34" s="75" t="str">
        <f t="shared" ca="1" si="0"/>
        <v>Miravalles well</v>
      </c>
      <c r="B34" s="76">
        <f ca="1">IF(Input!AT34=0, 0, 731/(4.52-LOG(Input!AT34))-273.15)</f>
        <v>0</v>
      </c>
      <c r="C34" s="76">
        <f ca="1">IF(Input!AT34=0,0,1000/(4.78-LOG(Input!$AT34))-273.15)</f>
        <v>0</v>
      </c>
      <c r="D34" s="76">
        <f ca="1">IF(Input!AT34=0,0,781/(4.51-LOG(Input!$AT34))-273.15)</f>
        <v>0</v>
      </c>
      <c r="E34" s="88">
        <f ca="1">IF(Input!AT34=0,0,1032/(4.69-LOG(Input!AT34))-273.15)</f>
        <v>0</v>
      </c>
      <c r="F34" s="76">
        <f ca="1">IF(Input!AT34=0,0, 0.00000031665*Input!AT34^3 - 0.00036686* Input!AT34^2 + 0.28831* Input!AT34 + 77.034 *LOG(Input!AT34) - 42.198)</f>
        <v>0</v>
      </c>
      <c r="G34" s="76">
        <f ca="1">IF(Input!AT34=0,0,1522/(5.75-LOG(Input!AT34))-273.15)</f>
        <v>0</v>
      </c>
      <c r="H34" s="207" t="e">
        <f ca="1">LOG(Input!$AR34^0.5/Input!$AP34)+2.06</f>
        <v>#DIV/0!</v>
      </c>
      <c r="I34" s="76">
        <f ca="1">IF(Input!AO34=0,0,1647/(LOG(Input!$AP34/Input!$AQ34)+1.333*(LOG(Input!$AR34^0.5/Input!$AP34)+2.06)+2.47)-273.15)</f>
        <v>0</v>
      </c>
      <c r="J34" s="208" t="e">
        <f t="shared" ca="1" si="1"/>
        <v>#DIV/0!</v>
      </c>
      <c r="K34" s="76">
        <f ca="1">IF(Input!AP34=0,0,1647/(LOG(Input!$AP34/Input!$AQ34)+J34*(LOG(Input!$AR34^0.5/Input!$AP34)+2.06)+2.47)-273.15)</f>
        <v>0</v>
      </c>
      <c r="L34" s="207">
        <f ca="1">IF(Input!AP34=0,0,100*(0.08226*Input!AS34/(0.08226*Input!AS34+0.0499*Input!AR34+0.02557*Input!AQ34)))</f>
        <v>0</v>
      </c>
      <c r="M34" s="207">
        <f t="shared" ca="1" si="2"/>
        <v>0</v>
      </c>
      <c r="N34" s="207">
        <f t="shared" ca="1" si="3"/>
        <v>0</v>
      </c>
      <c r="O34" s="76">
        <f t="shared" ca="1" si="4"/>
        <v>0</v>
      </c>
      <c r="P34" s="76">
        <f ca="1">IF(Input!$AP34=0,0,1217/(LOG(Input!$AP34/Input!$AQ34)+1.483)-273.15)</f>
        <v>0</v>
      </c>
      <c r="Q34" s="76">
        <f ca="1">IF(Input!$AP34=0,0,855.6/(LOG(Input!$AP34/Input!$AQ34)+0.8573)-273.15)</f>
        <v>0</v>
      </c>
      <c r="R34" s="88">
        <f ca="1">IF(Input!AP34=0,0,1390/(1.75-LOG(Input!AQ34/Input!AP34))-273.15)</f>
        <v>0</v>
      </c>
      <c r="S34" s="76">
        <f ca="1">IF(Input!$AP34=0,0,883/(0.78-LOG(Input!$AQ34/Input!$AP34))-273.15)</f>
        <v>0</v>
      </c>
      <c r="T34" s="76">
        <f ca="1">IF(Input!$AP34=0,0,1178/(1.47-LOG(Input!$AQ34/Input!$AP34))-273.15)</f>
        <v>0</v>
      </c>
      <c r="U34" s="76">
        <f ca="1">IF(Input!$AP34=0,0,933/(0.993-LOG(Input!$AQ34/Input!$AP34))-273.15)</f>
        <v>0</v>
      </c>
      <c r="V34" s="217">
        <f ca="1">IF(Input!AQ34=0,0,4410/(13.95-LOG(Input!AQ34^2/Input!AS34))-273.15)</f>
        <v>0</v>
      </c>
      <c r="W34" s="215"/>
    </row>
    <row r="35" spans="1:23">
      <c r="A35" s="75" t="str">
        <f t="shared" ca="1" si="0"/>
        <v>Miravalles meteoric</v>
      </c>
      <c r="B35" s="76">
        <f ca="1">IF(Input!AT35=0, 0, 731/(4.52-LOG(Input!AT35))-273.15)</f>
        <v>0</v>
      </c>
      <c r="C35" s="76">
        <f ca="1">IF(Input!AT35=0,0,1000/(4.78-LOG(Input!$AT35))-273.15)</f>
        <v>0</v>
      </c>
      <c r="D35" s="76">
        <f ca="1">IF(Input!AT35=0,0,781/(4.51-LOG(Input!$AT35))-273.15)</f>
        <v>0</v>
      </c>
      <c r="E35" s="88">
        <f ca="1">IF(Input!AT35=0,0,1032/(4.69-LOG(Input!AT35))-273.15)</f>
        <v>0</v>
      </c>
      <c r="F35" s="76">
        <f ca="1">IF(Input!AT35=0,0, 0.00000031665*Input!AT35^3 - 0.00036686* Input!AT35^2 + 0.28831* Input!AT35 + 77.034 *LOG(Input!AT35) - 42.198)</f>
        <v>0</v>
      </c>
      <c r="G35" s="76">
        <f ca="1">IF(Input!AT35=0,0,1522/(5.75-LOG(Input!AT35))-273.15)</f>
        <v>0</v>
      </c>
      <c r="H35" s="207" t="e">
        <f ca="1">LOG(Input!$AR35^0.5/Input!$AP35)+2.06</f>
        <v>#DIV/0!</v>
      </c>
      <c r="I35" s="76">
        <f ca="1">IF(Input!AO35=0,0,1647/(LOG(Input!$AP35/Input!$AQ35)+1.333*(LOG(Input!$AR35^0.5/Input!$AP35)+2.06)+2.47)-273.15)</f>
        <v>0</v>
      </c>
      <c r="J35" s="208" t="e">
        <f t="shared" ca="1" si="1"/>
        <v>#DIV/0!</v>
      </c>
      <c r="K35" s="76">
        <f ca="1">IF(Input!AP35=0,0,1647/(LOG(Input!$AP35/Input!$AQ35)+J35*(LOG(Input!$AR35^0.5/Input!$AP35)+2.06)+2.47)-273.15)</f>
        <v>0</v>
      </c>
      <c r="L35" s="207">
        <f ca="1">IF(Input!AP35=0,0,100*(0.08226*Input!AS35/(0.08226*Input!AS35+0.0499*Input!AR35+0.02557*Input!AQ35)))</f>
        <v>0</v>
      </c>
      <c r="M35" s="207">
        <f t="shared" ca="1" si="2"/>
        <v>0</v>
      </c>
      <c r="N35" s="207">
        <f t="shared" ca="1" si="3"/>
        <v>0</v>
      </c>
      <c r="O35" s="76">
        <f t="shared" ca="1" si="4"/>
        <v>0</v>
      </c>
      <c r="P35" s="76">
        <f ca="1">IF(Input!$AP35=0,0,1217/(LOG(Input!$AP35/Input!$AQ35)+1.483)-273.15)</f>
        <v>0</v>
      </c>
      <c r="Q35" s="76">
        <f ca="1">IF(Input!$AP35=0,0,855.6/(LOG(Input!$AP35/Input!$AQ35)+0.8573)-273.15)</f>
        <v>0</v>
      </c>
      <c r="R35" s="88">
        <f ca="1">IF(Input!AP35=0,0,1390/(1.75-LOG(Input!AQ35/Input!AP35))-273.15)</f>
        <v>0</v>
      </c>
      <c r="S35" s="76">
        <f ca="1">IF(Input!$AP35=0,0,883/(0.78-LOG(Input!$AQ35/Input!$AP35))-273.15)</f>
        <v>0</v>
      </c>
      <c r="T35" s="76">
        <f ca="1">IF(Input!$AP35=0,0,1178/(1.47-LOG(Input!$AQ35/Input!$AP35))-273.15)</f>
        <v>0</v>
      </c>
      <c r="U35" s="76">
        <f ca="1">IF(Input!$AP35=0,0,933/(0.993-LOG(Input!$AQ35/Input!$AP35))-273.15)</f>
        <v>0</v>
      </c>
      <c r="V35" s="217">
        <f ca="1">IF(Input!AQ35=0,0,4410/(13.95-LOG(Input!AQ35^2/Input!AS35))-273.15)</f>
        <v>0</v>
      </c>
      <c r="W35" s="215"/>
    </row>
    <row r="36" spans="1:23">
      <c r="A36" s="75" t="str">
        <f t="shared" ca="1" si="0"/>
        <v>Zunil well</v>
      </c>
      <c r="B36" s="76">
        <f ca="1">IF(Input!AT36=0, 0, 731/(4.52-LOG(Input!AT36))-273.15)</f>
        <v>0</v>
      </c>
      <c r="C36" s="76">
        <f ca="1">IF(Input!AT36=0,0,1000/(4.78-LOG(Input!$AT36))-273.15)</f>
        <v>0</v>
      </c>
      <c r="D36" s="76">
        <f ca="1">IF(Input!AT36=0,0,781/(4.51-LOG(Input!$AT36))-273.15)</f>
        <v>0</v>
      </c>
      <c r="E36" s="88">
        <f ca="1">IF(Input!AT36=0,0,1032/(4.69-LOG(Input!AT36))-273.15)</f>
        <v>0</v>
      </c>
      <c r="F36" s="76">
        <f ca="1">IF(Input!AT36=0,0, 0.00000031665*Input!AT36^3 - 0.00036686* Input!AT36^2 + 0.28831* Input!AT36 + 77.034 *LOG(Input!AT36) - 42.198)</f>
        <v>0</v>
      </c>
      <c r="G36" s="76">
        <f ca="1">IF(Input!AT36=0,0,1522/(5.75-LOG(Input!AT36))-273.15)</f>
        <v>0</v>
      </c>
      <c r="H36" s="207" t="e">
        <f ca="1">LOG(Input!$AR36^0.5/Input!$AP36)+2.06</f>
        <v>#DIV/0!</v>
      </c>
      <c r="I36" s="76">
        <f ca="1">IF(Input!AO36=0,0,1647/(LOG(Input!$AP36/Input!$AQ36)+1.333*(LOG(Input!$AR36^0.5/Input!$AP36)+2.06)+2.47)-273.15)</f>
        <v>0</v>
      </c>
      <c r="J36" s="208" t="e">
        <f t="shared" ca="1" si="1"/>
        <v>#DIV/0!</v>
      </c>
      <c r="K36" s="76">
        <f ca="1">IF(Input!AP36=0,0,1647/(LOG(Input!$AP36/Input!$AQ36)+J36*(LOG(Input!$AR36^0.5/Input!$AP36)+2.06)+2.47)-273.15)</f>
        <v>0</v>
      </c>
      <c r="L36" s="207">
        <f ca="1">IF(Input!AP36=0,0,100*(0.08226*Input!AS36/(0.08226*Input!AS36+0.0499*Input!AR36+0.02557*Input!AQ36)))</f>
        <v>0</v>
      </c>
      <c r="M36" s="207">
        <f t="shared" ca="1" si="2"/>
        <v>0</v>
      </c>
      <c r="N36" s="207">
        <f t="shared" ca="1" si="3"/>
        <v>0</v>
      </c>
      <c r="O36" s="76">
        <f t="shared" ca="1" si="4"/>
        <v>0</v>
      </c>
      <c r="P36" s="76">
        <f ca="1">IF(Input!$AP36=0,0,1217/(LOG(Input!$AP36/Input!$AQ36)+1.483)-273.15)</f>
        <v>0</v>
      </c>
      <c r="Q36" s="76">
        <f ca="1">IF(Input!$AP36=0,0,855.6/(LOG(Input!$AP36/Input!$AQ36)+0.8573)-273.15)</f>
        <v>0</v>
      </c>
      <c r="R36" s="88">
        <f ca="1">IF(Input!AP36=0,0,1390/(1.75-LOG(Input!AQ36/Input!AP36))-273.15)</f>
        <v>0</v>
      </c>
      <c r="S36" s="76">
        <f ca="1">IF(Input!$AP36=0,0,883/(0.78-LOG(Input!$AQ36/Input!$AP36))-273.15)</f>
        <v>0</v>
      </c>
      <c r="T36" s="76">
        <f ca="1">IF(Input!$AP36=0,0,1178/(1.47-LOG(Input!$AQ36/Input!$AP36))-273.15)</f>
        <v>0</v>
      </c>
      <c r="U36" s="76">
        <f ca="1">IF(Input!$AP36=0,0,933/(0.993-LOG(Input!$AQ36/Input!$AP36))-273.15)</f>
        <v>0</v>
      </c>
      <c r="V36" s="217">
        <f ca="1">IF(Input!AQ36=0,0,4410/(13.95-LOG(Input!AQ36^2/Input!AS36))-273.15)</f>
        <v>0</v>
      </c>
      <c r="W36" s="215"/>
    </row>
    <row r="37" spans="1:23" ht="13.5" thickBot="1">
      <c r="A37" s="206" t="str">
        <f t="shared" ca="1" si="0"/>
        <v>Zunil meteoric</v>
      </c>
      <c r="B37" s="77">
        <f ca="1">IF(Input!AT37=0, 0, 731/(4.52-LOG(Input!AT37))-273.15)</f>
        <v>0</v>
      </c>
      <c r="C37" s="77">
        <f ca="1">IF(Input!AT37=0,0,1000/(4.78-LOG(Input!$AT37))-273.15)</f>
        <v>0</v>
      </c>
      <c r="D37" s="77">
        <f ca="1">IF(Input!AT37=0,0,781/(4.51-LOG(Input!$AT37))-273.15)</f>
        <v>0</v>
      </c>
      <c r="E37" s="108">
        <f ca="1">IF(Input!AT37=0,0,1032/(4.69-LOG(Input!AT37))-273.15)</f>
        <v>0</v>
      </c>
      <c r="F37" s="77">
        <f ca="1">IF(Input!AT37=0,0, 0.00000031665*Input!AT37^3 - 0.00036686* Input!AT37^2 + 0.28831* Input!AT37 + 77.034 *LOG(Input!AT37) - 42.198)</f>
        <v>0</v>
      </c>
      <c r="G37" s="77">
        <f ca="1">IF(Input!AT37=0,0,1522/(5.75-LOG(Input!AT37))-273.15)</f>
        <v>0</v>
      </c>
      <c r="H37" s="210" t="e">
        <f ca="1">LOG(Input!$AR37^0.5/Input!$AP37)+2.06</f>
        <v>#DIV/0!</v>
      </c>
      <c r="I37" s="77">
        <f ca="1">IF(Input!AO37=0,0,1647/(LOG(Input!$AP37/Input!$AQ37)+1.333*(LOG(Input!$AR37^0.5/Input!$AP37)+2.06)+2.47)-273.15)</f>
        <v>0</v>
      </c>
      <c r="J37" s="209" t="e">
        <f t="shared" ca="1" si="1"/>
        <v>#DIV/0!</v>
      </c>
      <c r="K37" s="77">
        <f ca="1">IF(Input!AP37=0,0,1647/(LOG(Input!$AP37/Input!$AQ37)+J37*(LOG(Input!$AR37^0.5/Input!$AP37)+2.06)+2.47)-273.15)</f>
        <v>0</v>
      </c>
      <c r="L37" s="210">
        <f ca="1">IF(Input!AP37=0,0,100*(0.08226*Input!AS37/(0.08226*Input!AS37+0.0499*Input!AR37+0.02557*Input!AQ37)))</f>
        <v>0</v>
      </c>
      <c r="M37" s="210">
        <f t="shared" ca="1" si="2"/>
        <v>0</v>
      </c>
      <c r="N37" s="210">
        <f t="shared" ca="1" si="3"/>
        <v>0</v>
      </c>
      <c r="O37" s="77">
        <f t="shared" ca="1" si="4"/>
        <v>0</v>
      </c>
      <c r="P37" s="77">
        <f ca="1">IF(Input!$AP37=0,0,1217/(LOG(Input!$AP37/Input!$AQ37)+1.483)-273.15)</f>
        <v>0</v>
      </c>
      <c r="Q37" s="77">
        <f ca="1">IF(Input!$AP37=0,0,855.6/(LOG(Input!$AP37/Input!$AQ37)+0.8573)-273.15)</f>
        <v>0</v>
      </c>
      <c r="R37" s="108">
        <f ca="1">IF(Input!AP37=0,0,1390/(1.75-LOG(Input!AQ37/Input!AP37))-273.15)</f>
        <v>0</v>
      </c>
      <c r="S37" s="77">
        <f ca="1">IF(Input!$AP37=0,0,883/(0.78-LOG(Input!$AQ37/Input!$AP37))-273.15)</f>
        <v>0</v>
      </c>
      <c r="T37" s="77">
        <f ca="1">IF(Input!$AP37=0,0,1178/(1.47-LOG(Input!$AQ37/Input!$AP37))-273.15)</f>
        <v>0</v>
      </c>
      <c r="U37" s="77">
        <f ca="1">IF(Input!$AP37=0,0,933/(0.993-LOG(Input!$AQ37/Input!$AP37))-273.15)</f>
        <v>0</v>
      </c>
      <c r="V37" s="219">
        <f ca="1">IF(Input!AQ37=0,0,4410/(13.95-LOG(Input!AQ37^2/Input!AS37))-273.15)</f>
        <v>0</v>
      </c>
      <c r="W37" s="215"/>
    </row>
    <row r="38" spans="1:23">
      <c r="C38" s="76"/>
      <c r="D38" s="76"/>
      <c r="I38" s="76"/>
      <c r="J38" s="76"/>
    </row>
  </sheetData>
  <sheetProtection sheet="1" objects="1" scenarios="1" formatCells="0" formatColumns="0" formatRows="0"/>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DT62"/>
  <sheetViews>
    <sheetView showZeros="0" tabSelected="1" topLeftCell="X1" zoomScale="75" workbookViewId="0">
      <selection activeCell="BP1" sqref="BP1:DT1048576"/>
    </sheetView>
  </sheetViews>
  <sheetFormatPr defaultRowHeight="12.75"/>
  <cols>
    <col min="1" max="1" width="16.85546875" customWidth="1"/>
    <col min="2" max="2" width="14.28515625" customWidth="1"/>
    <col min="3" max="6" width="10.28515625" customWidth="1"/>
    <col min="7" max="7" width="11.85546875" customWidth="1"/>
    <col min="8" max="9" width="10.28515625" customWidth="1"/>
    <col min="10" max="10" width="10.140625" customWidth="1"/>
    <col min="11" max="11" width="9.28515625" customWidth="1"/>
    <col min="12" max="14" width="9.28515625" bestFit="1" customWidth="1"/>
    <col min="15" max="15" width="11.7109375" bestFit="1" customWidth="1"/>
    <col min="17" max="17" width="9.5703125" style="73" bestFit="1" customWidth="1"/>
    <col min="23" max="23" width="10.140625" bestFit="1" customWidth="1"/>
    <col min="24" max="24" width="9.5703125" bestFit="1" customWidth="1"/>
    <col min="26" max="26" width="10.140625" customWidth="1"/>
    <col min="28" max="28" width="10.42578125" customWidth="1"/>
    <col min="31" max="31" width="10.140625" customWidth="1"/>
    <col min="34" max="50" width="9.140625" style="227" hidden="1" customWidth="1"/>
    <col min="51" max="51" width="9.28515625" style="227" hidden="1" customWidth="1"/>
    <col min="52" max="52" width="9.140625" style="227" hidden="1" customWidth="1"/>
    <col min="53" max="53" width="10.28515625" style="227" hidden="1" customWidth="1"/>
    <col min="54" max="54" width="11" style="227" hidden="1" customWidth="1"/>
    <col min="55" max="60" width="9.140625" style="227" hidden="1" customWidth="1"/>
    <col min="61" max="61" width="10.140625" style="227" hidden="1" customWidth="1"/>
    <col min="62" max="64" width="9.140625" style="227" hidden="1" customWidth="1"/>
    <col min="65" max="66" width="9.140625" style="227"/>
    <col min="67" max="67" width="10.85546875" style="227" customWidth="1"/>
    <col min="68" max="68" width="9.140625" style="227" hidden="1" customWidth="1"/>
    <col min="69" max="69" width="9.5703125" style="227" hidden="1" customWidth="1"/>
    <col min="70" max="102" width="9.140625" style="227" hidden="1" customWidth="1"/>
    <col min="103" max="104" width="11.28515625" style="227" hidden="1" customWidth="1"/>
    <col min="105" max="105" width="15.5703125" style="227" hidden="1" customWidth="1"/>
    <col min="106" max="106" width="12.7109375" style="227" hidden="1" customWidth="1"/>
    <col min="107" max="107" width="9.140625" style="227" hidden="1" customWidth="1"/>
    <col min="108" max="108" width="10.42578125" style="227" hidden="1" customWidth="1"/>
    <col min="109" max="109" width="9.140625" style="227" hidden="1" customWidth="1"/>
    <col min="110" max="110" width="10.85546875" hidden="1" customWidth="1"/>
    <col min="111" max="124" width="9.140625" hidden="1" customWidth="1"/>
  </cols>
  <sheetData>
    <row r="1" spans="1:124" s="20" customFormat="1" ht="21.75" customHeight="1">
      <c r="A1" s="48" t="s">
        <v>279</v>
      </c>
      <c r="O1" s="427" t="s">
        <v>89</v>
      </c>
      <c r="P1" s="428"/>
      <c r="Q1" s="427" t="s">
        <v>24</v>
      </c>
      <c r="R1" s="428"/>
      <c r="S1" s="427" t="s">
        <v>23</v>
      </c>
      <c r="T1" s="428"/>
      <c r="U1" s="427" t="s">
        <v>41</v>
      </c>
      <c r="V1" s="428"/>
      <c r="W1" s="427" t="s">
        <v>53</v>
      </c>
      <c r="X1" s="429"/>
      <c r="Y1" s="430" t="s">
        <v>240</v>
      </c>
      <c r="Z1" s="431"/>
      <c r="AA1" s="431"/>
      <c r="AB1" s="332"/>
      <c r="AC1" s="333"/>
      <c r="AD1" s="333"/>
      <c r="AE1" s="334" t="s">
        <v>160</v>
      </c>
      <c r="AF1" s="333"/>
      <c r="AG1" s="335"/>
      <c r="AH1" s="224" t="s">
        <v>91</v>
      </c>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345" t="s">
        <v>285</v>
      </c>
      <c r="BN1" s="346"/>
      <c r="BO1" s="347"/>
      <c r="BP1" s="226"/>
      <c r="BQ1" s="446" t="s">
        <v>89</v>
      </c>
      <c r="BR1" s="447"/>
      <c r="BS1" s="447"/>
      <c r="BT1" s="447"/>
      <c r="BU1" s="448"/>
      <c r="BV1" s="446" t="s">
        <v>24</v>
      </c>
      <c r="BW1" s="447"/>
      <c r="BX1" s="447"/>
      <c r="BY1" s="447"/>
      <c r="BZ1" s="448"/>
      <c r="CA1" s="424" t="s">
        <v>23</v>
      </c>
      <c r="CB1" s="425"/>
      <c r="CC1" s="425"/>
      <c r="CD1" s="425"/>
      <c r="CE1" s="426"/>
      <c r="CF1" s="424" t="s">
        <v>41</v>
      </c>
      <c r="CG1" s="425"/>
      <c r="CH1" s="425"/>
      <c r="CI1" s="425"/>
      <c r="CJ1" s="426"/>
      <c r="CK1" s="424" t="s">
        <v>240</v>
      </c>
      <c r="CL1" s="425"/>
      <c r="CM1" s="425"/>
      <c r="CN1" s="425"/>
      <c r="CO1" s="425"/>
      <c r="CP1" s="425"/>
      <c r="CQ1" s="425"/>
      <c r="CR1" s="426"/>
      <c r="CS1" s="424" t="s">
        <v>53</v>
      </c>
      <c r="CT1" s="425"/>
      <c r="CU1" s="425"/>
      <c r="CV1" s="425"/>
      <c r="CW1" s="426"/>
      <c r="CX1" s="226"/>
      <c r="CY1" s="226"/>
      <c r="CZ1" s="226"/>
      <c r="DA1" s="226"/>
      <c r="DB1" s="226"/>
      <c r="DC1" s="226"/>
      <c r="DD1" s="226"/>
      <c r="DE1" s="226"/>
    </row>
    <row r="2" spans="1:124" s="20" customFormat="1" ht="16.5" customHeight="1" thickBot="1">
      <c r="A2" s="48"/>
      <c r="O2" s="49"/>
      <c r="P2" s="281" t="s">
        <v>239</v>
      </c>
      <c r="Q2" s="284"/>
      <c r="R2" s="281" t="s">
        <v>239</v>
      </c>
      <c r="S2" s="49"/>
      <c r="T2" s="281" t="s">
        <v>239</v>
      </c>
      <c r="U2" s="49"/>
      <c r="V2" s="281" t="s">
        <v>239</v>
      </c>
      <c r="W2" s="49"/>
      <c r="X2" s="281" t="s">
        <v>239</v>
      </c>
      <c r="Y2" s="282" t="s">
        <v>241</v>
      </c>
      <c r="Z2" s="50" t="s">
        <v>242</v>
      </c>
      <c r="AA2" s="50" t="s">
        <v>239</v>
      </c>
      <c r="AB2" s="3"/>
      <c r="AC2" s="336"/>
      <c r="AD2" s="336"/>
      <c r="AE2" s="337"/>
      <c r="AF2" s="336"/>
      <c r="AG2" s="338"/>
      <c r="AH2" s="224"/>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348" t="s">
        <v>274</v>
      </c>
      <c r="BN2" s="349"/>
      <c r="BO2" s="350"/>
      <c r="BP2" s="226"/>
      <c r="BQ2" s="274"/>
      <c r="BR2" s="275"/>
      <c r="BS2" s="275"/>
      <c r="BT2" s="275"/>
      <c r="BU2" s="275"/>
      <c r="BV2" s="274"/>
      <c r="BW2" s="275"/>
      <c r="BX2" s="275"/>
      <c r="BY2" s="275"/>
      <c r="BZ2" s="275"/>
      <c r="CA2" s="276"/>
      <c r="CB2" s="277"/>
      <c r="CC2" s="277"/>
      <c r="CD2" s="277"/>
      <c r="CE2" s="278"/>
      <c r="CF2" s="276"/>
      <c r="CG2" s="277"/>
      <c r="CH2" s="277"/>
      <c r="CI2" s="277"/>
      <c r="CJ2" s="278"/>
      <c r="CK2" s="277"/>
      <c r="CL2" s="277"/>
      <c r="CM2" s="277"/>
      <c r="CN2" s="276"/>
      <c r="CO2" s="277"/>
      <c r="CP2" s="277"/>
      <c r="CQ2" s="277"/>
      <c r="CR2" s="278"/>
      <c r="CS2" s="276"/>
      <c r="CT2" s="277"/>
      <c r="CU2" s="277"/>
      <c r="CV2" s="277"/>
      <c r="CW2" s="278"/>
      <c r="CX2" s="226"/>
      <c r="CY2" s="226"/>
      <c r="CZ2" s="226"/>
      <c r="DA2" s="226"/>
      <c r="DB2" s="226"/>
      <c r="DC2" s="226"/>
      <c r="DD2" s="226"/>
      <c r="DE2" s="226"/>
    </row>
    <row r="3" spans="1:124" ht="15.75" customHeight="1" thickBot="1">
      <c r="A3" s="328" t="s">
        <v>278</v>
      </c>
      <c r="B3" s="52"/>
      <c r="C3" s="52"/>
      <c r="D3" s="432" t="s">
        <v>238</v>
      </c>
      <c r="E3" s="433"/>
      <c r="F3" s="433"/>
      <c r="G3" s="433"/>
      <c r="H3" s="433"/>
      <c r="I3" s="433"/>
      <c r="J3" s="433"/>
      <c r="K3" s="433"/>
      <c r="L3" s="434"/>
      <c r="M3" s="420" t="s">
        <v>161</v>
      </c>
      <c r="N3" s="421"/>
      <c r="O3" s="282" t="s">
        <v>17</v>
      </c>
      <c r="P3" s="303">
        <v>1</v>
      </c>
      <c r="Q3" s="109" t="s">
        <v>17</v>
      </c>
      <c r="R3" s="303">
        <v>1</v>
      </c>
      <c r="S3" s="50" t="s">
        <v>15</v>
      </c>
      <c r="T3" s="303">
        <v>1</v>
      </c>
      <c r="U3" s="50" t="s">
        <v>17</v>
      </c>
      <c r="V3" s="303">
        <v>1</v>
      </c>
      <c r="W3" s="50" t="s">
        <v>42</v>
      </c>
      <c r="X3" s="279">
        <v>1</v>
      </c>
      <c r="Y3" s="300" t="s">
        <v>43</v>
      </c>
      <c r="Z3" s="287" t="str">
        <f ca="1">INDIRECT(Y3&amp;7,TRUE)</f>
        <v>Li</v>
      </c>
      <c r="AA3" s="202">
        <v>1</v>
      </c>
      <c r="AB3" s="3"/>
      <c r="AC3" s="7"/>
      <c r="AD3" s="7"/>
      <c r="AE3" s="50" t="s">
        <v>158</v>
      </c>
      <c r="AF3" s="339">
        <v>-10</v>
      </c>
      <c r="AG3" s="342">
        <v>-20</v>
      </c>
      <c r="AH3" s="311" t="s">
        <v>252</v>
      </c>
      <c r="AI3" s="225"/>
      <c r="AJ3" s="225"/>
      <c r="AK3" s="225"/>
      <c r="AL3" s="225"/>
      <c r="AM3" s="225"/>
      <c r="AN3" s="225"/>
      <c r="AO3" s="225"/>
      <c r="AP3" s="225"/>
      <c r="AQ3" s="225"/>
      <c r="AR3" s="225"/>
      <c r="AS3" s="225"/>
      <c r="AT3" s="225"/>
      <c r="AU3" s="225"/>
      <c r="AV3" s="225"/>
      <c r="AW3" s="225"/>
      <c r="BM3" s="292"/>
      <c r="BN3" s="341">
        <v>0.2</v>
      </c>
      <c r="BO3" s="234"/>
      <c r="BQ3" s="228" t="s">
        <v>17</v>
      </c>
      <c r="BR3" s="229" t="s">
        <v>46</v>
      </c>
      <c r="BS3" s="229" t="s">
        <v>16</v>
      </c>
      <c r="BT3" s="230"/>
      <c r="BU3" s="230"/>
      <c r="BV3" s="228" t="s">
        <v>17</v>
      </c>
      <c r="BW3" s="229" t="s">
        <v>15</v>
      </c>
      <c r="BX3" s="229" t="s">
        <v>16</v>
      </c>
      <c r="BY3" s="230"/>
      <c r="BZ3" s="230"/>
      <c r="CA3" s="228" t="s">
        <v>15</v>
      </c>
      <c r="CB3" s="229" t="s">
        <v>22</v>
      </c>
      <c r="CC3" s="229" t="s">
        <v>21</v>
      </c>
      <c r="CD3" s="230"/>
      <c r="CE3" s="231"/>
      <c r="CF3" s="228" t="s">
        <v>17</v>
      </c>
      <c r="CG3" s="229" t="s">
        <v>18</v>
      </c>
      <c r="CH3" s="229" t="s">
        <v>37</v>
      </c>
      <c r="CI3" s="230"/>
      <c r="CJ3" s="230"/>
      <c r="CK3" s="291"/>
      <c r="CL3" s="230"/>
      <c r="CM3" s="231"/>
      <c r="CN3" s="229" t="str">
        <f ca="1">Z3</f>
        <v>Li</v>
      </c>
      <c r="CO3" s="229" t="str">
        <f ca="1">Z4</f>
        <v>Rb</v>
      </c>
      <c r="CP3" s="229" t="str">
        <f ca="1">Z5</f>
        <v>Cs</v>
      </c>
      <c r="CQ3" s="230"/>
      <c r="CR3" s="231"/>
      <c r="CS3" s="228" t="s">
        <v>42</v>
      </c>
      <c r="CT3" s="229" t="s">
        <v>43</v>
      </c>
      <c r="CU3" s="229" t="s">
        <v>86</v>
      </c>
      <c r="CV3" s="230"/>
      <c r="CW3" s="231"/>
    </row>
    <row r="4" spans="1:124" ht="12.75" customHeight="1" thickBot="1">
      <c r="D4" s="435"/>
      <c r="E4" s="436"/>
      <c r="F4" s="436"/>
      <c r="G4" s="436"/>
      <c r="H4" s="436"/>
      <c r="I4" s="436"/>
      <c r="J4" s="436"/>
      <c r="K4" s="436"/>
      <c r="L4" s="437"/>
      <c r="M4" s="422"/>
      <c r="N4" s="423"/>
      <c r="O4" s="282" t="s">
        <v>46</v>
      </c>
      <c r="P4" s="304">
        <v>25</v>
      </c>
      <c r="Q4" s="109" t="s">
        <v>15</v>
      </c>
      <c r="R4" s="304">
        <v>100</v>
      </c>
      <c r="S4" s="50" t="s">
        <v>22</v>
      </c>
      <c r="T4" s="304">
        <v>4</v>
      </c>
      <c r="U4" s="50" t="s">
        <v>18</v>
      </c>
      <c r="V4" s="304">
        <v>1</v>
      </c>
      <c r="W4" s="50" t="s">
        <v>43</v>
      </c>
      <c r="X4" s="280">
        <v>10</v>
      </c>
      <c r="Y4" s="301" t="s">
        <v>2</v>
      </c>
      <c r="Z4" s="288" t="str">
        <f ca="1">INDIRECT(Y4&amp;7,TRUE)</f>
        <v>Rb</v>
      </c>
      <c r="AA4" s="331">
        <v>4</v>
      </c>
      <c r="AB4" s="3"/>
      <c r="AC4" s="7"/>
      <c r="AD4" s="7"/>
      <c r="AE4" s="50" t="s">
        <v>159</v>
      </c>
      <c r="AF4" s="340">
        <v>-16</v>
      </c>
      <c r="AG4" s="343"/>
      <c r="AH4" s="312" t="s">
        <v>251</v>
      </c>
      <c r="AI4" s="225"/>
      <c r="AJ4" s="225"/>
      <c r="AK4" s="225"/>
      <c r="AL4" s="225"/>
      <c r="AM4" s="225"/>
      <c r="AN4" s="225"/>
      <c r="AO4" s="225"/>
      <c r="AP4" s="225"/>
      <c r="AQ4" s="225"/>
      <c r="AR4" s="225"/>
      <c r="AS4" s="225"/>
      <c r="AT4" s="225"/>
      <c r="AU4" s="225"/>
      <c r="AV4" s="225"/>
      <c r="AW4" s="225"/>
      <c r="BM4" s="351"/>
      <c r="BN4" s="352"/>
      <c r="BO4" s="353"/>
      <c r="BQ4" s="232"/>
      <c r="BR4" s="233"/>
      <c r="BS4" s="233"/>
      <c r="BT4" s="225"/>
      <c r="BU4" s="225"/>
      <c r="BV4" s="232"/>
      <c r="BW4" s="233"/>
      <c r="BX4" s="233"/>
      <c r="BY4" s="225"/>
      <c r="BZ4" s="225"/>
      <c r="CA4" s="232"/>
      <c r="CB4" s="233"/>
      <c r="CC4" s="233"/>
      <c r="CD4" s="225"/>
      <c r="CE4" s="234"/>
      <c r="CF4" s="232"/>
      <c r="CG4" s="233"/>
      <c r="CH4" s="233"/>
      <c r="CI4" s="225"/>
      <c r="CJ4" s="225"/>
      <c r="CK4" s="292"/>
      <c r="CL4" s="225"/>
      <c r="CM4" s="234"/>
      <c r="CN4" s="233"/>
      <c r="CO4" s="233"/>
      <c r="CP4" s="233"/>
      <c r="CQ4" s="225"/>
      <c r="CR4" s="234"/>
      <c r="CS4" s="232"/>
      <c r="CT4" s="233"/>
      <c r="CU4" s="233"/>
      <c r="CV4" s="225"/>
      <c r="CW4" s="234"/>
    </row>
    <row r="5" spans="1:124" ht="12.75" customHeight="1" thickBot="1">
      <c r="A5" s="46"/>
      <c r="D5" s="438"/>
      <c r="E5" s="439"/>
      <c r="F5" s="439"/>
      <c r="G5" s="439"/>
      <c r="H5" s="439"/>
      <c r="I5" s="439"/>
      <c r="J5" s="439"/>
      <c r="K5" s="439"/>
      <c r="L5" s="440"/>
      <c r="M5" s="422"/>
      <c r="N5" s="423"/>
      <c r="O5" s="283" t="s">
        <v>16</v>
      </c>
      <c r="P5" s="305">
        <v>25</v>
      </c>
      <c r="Q5" s="306" t="s">
        <v>16</v>
      </c>
      <c r="R5" s="305">
        <v>25</v>
      </c>
      <c r="S5" s="285" t="s">
        <v>21</v>
      </c>
      <c r="T5" s="305">
        <v>10</v>
      </c>
      <c r="U5" s="285" t="s">
        <v>37</v>
      </c>
      <c r="V5" s="305">
        <v>1</v>
      </c>
      <c r="W5" s="285" t="s">
        <v>54</v>
      </c>
      <c r="X5" s="299">
        <v>1000</v>
      </c>
      <c r="Y5" s="302" t="s">
        <v>110</v>
      </c>
      <c r="Z5" s="289" t="str">
        <f ca="1">INDIRECT(Y5&amp;7,TRUE)</f>
        <v>Cs</v>
      </c>
      <c r="AA5" s="203">
        <v>10</v>
      </c>
      <c r="AB5" s="5"/>
      <c r="AC5" s="14"/>
      <c r="AD5" s="14"/>
      <c r="AE5" s="14"/>
      <c r="AF5" s="14"/>
      <c r="AG5" s="6"/>
      <c r="AH5" s="235" t="s">
        <v>118</v>
      </c>
      <c r="AI5" s="235" t="s">
        <v>92</v>
      </c>
      <c r="AJ5" s="235" t="s">
        <v>46</v>
      </c>
      <c r="AK5" s="235" t="s">
        <v>95</v>
      </c>
      <c r="AL5" s="236" t="s">
        <v>96</v>
      </c>
      <c r="AM5" s="236" t="s">
        <v>97</v>
      </c>
      <c r="AN5" s="236" t="s">
        <v>98</v>
      </c>
      <c r="AO5" s="236" t="s">
        <v>43</v>
      </c>
      <c r="AP5" s="236" t="s">
        <v>99</v>
      </c>
      <c r="AQ5" s="236" t="s">
        <v>78</v>
      </c>
      <c r="AR5" s="236" t="s">
        <v>100</v>
      </c>
      <c r="AS5" s="236" t="s">
        <v>101</v>
      </c>
      <c r="AT5" s="236" t="s">
        <v>102</v>
      </c>
      <c r="AU5" s="236" t="s">
        <v>103</v>
      </c>
      <c r="AV5" s="236" t="s">
        <v>104</v>
      </c>
      <c r="AW5" s="236" t="s">
        <v>105</v>
      </c>
      <c r="AX5" s="236" t="s">
        <v>106</v>
      </c>
      <c r="AY5" s="236" t="s">
        <v>107</v>
      </c>
      <c r="AZ5" s="236" t="s">
        <v>108</v>
      </c>
      <c r="BA5" s="236" t="s">
        <v>109</v>
      </c>
      <c r="BB5" s="236" t="s">
        <v>3</v>
      </c>
      <c r="BC5" s="236" t="s">
        <v>2</v>
      </c>
      <c r="BD5" s="236" t="s">
        <v>110</v>
      </c>
      <c r="BE5" s="236" t="s">
        <v>111</v>
      </c>
      <c r="BF5" s="236" t="s">
        <v>112</v>
      </c>
      <c r="BG5" s="236" t="s">
        <v>79</v>
      </c>
      <c r="BH5" s="236" t="s">
        <v>113</v>
      </c>
      <c r="BI5" s="235" t="s">
        <v>114</v>
      </c>
      <c r="BJ5" s="235" t="s">
        <v>115</v>
      </c>
      <c r="BK5" s="235" t="s">
        <v>249</v>
      </c>
      <c r="BL5" s="237" t="s">
        <v>118</v>
      </c>
      <c r="BQ5" s="232"/>
      <c r="BR5" s="233"/>
      <c r="BS5" s="233"/>
      <c r="BT5" s="225"/>
      <c r="BU5" s="225"/>
      <c r="BV5" s="232"/>
      <c r="BW5" s="233"/>
      <c r="BX5" s="233"/>
      <c r="BY5" s="225"/>
      <c r="BZ5" s="225"/>
      <c r="CA5" s="232"/>
      <c r="CB5" s="233"/>
      <c r="CC5" s="233"/>
      <c r="CD5" s="225"/>
      <c r="CE5" s="234"/>
      <c r="CF5" s="232"/>
      <c r="CG5" s="233"/>
      <c r="CH5" s="233"/>
      <c r="CI5" s="225"/>
      <c r="CJ5" s="225"/>
      <c r="CK5" s="449" t="s">
        <v>243</v>
      </c>
      <c r="CL5" s="450"/>
      <c r="CM5" s="451"/>
      <c r="CN5" s="233"/>
      <c r="CO5" s="233"/>
      <c r="CP5" s="233"/>
      <c r="CQ5" s="225"/>
      <c r="CR5" s="234"/>
      <c r="CS5" s="232"/>
      <c r="CT5" s="233"/>
      <c r="CU5" s="233"/>
      <c r="CV5" s="225"/>
      <c r="CW5" s="234"/>
    </row>
    <row r="6" spans="1:124" ht="12.75" customHeight="1" thickBot="1">
      <c r="J6" s="416" t="s">
        <v>25</v>
      </c>
      <c r="K6" s="417"/>
      <c r="L6" s="417"/>
      <c r="M6" s="417"/>
      <c r="N6" s="417"/>
      <c r="O6" s="417"/>
      <c r="P6" s="418"/>
      <c r="Q6" s="417"/>
      <c r="R6" s="418"/>
      <c r="S6" s="417"/>
      <c r="T6" s="418"/>
      <c r="U6" s="417"/>
      <c r="V6" s="418"/>
      <c r="W6" s="417"/>
      <c r="X6" s="417"/>
      <c r="Y6" s="418"/>
      <c r="Z6" s="418"/>
      <c r="AA6" s="418"/>
      <c r="AB6" s="418"/>
      <c r="AC6" s="418"/>
      <c r="AD6" s="418"/>
      <c r="AE6" s="419"/>
      <c r="AL6" s="238" t="s">
        <v>220</v>
      </c>
      <c r="AM6" s="239"/>
      <c r="AN6" s="239"/>
      <c r="AO6" s="239">
        <v>0.14410999999999999</v>
      </c>
      <c r="AP6" s="240">
        <v>4.3499999999999997E-2</v>
      </c>
      <c r="AQ6" s="239">
        <v>2.5569999999999999E-2</v>
      </c>
      <c r="AR6" s="240">
        <v>4.99E-2</v>
      </c>
      <c r="AS6" s="239">
        <v>8.226E-2</v>
      </c>
      <c r="AT6" s="239"/>
      <c r="AU6" s="239"/>
      <c r="AV6" s="239">
        <v>2.8209999999999999E-2</v>
      </c>
      <c r="AW6" s="239">
        <v>5.2639999999999999E-2</v>
      </c>
      <c r="AX6" s="239">
        <v>2.0820000000000002E-2</v>
      </c>
      <c r="AY6" s="239">
        <v>1.6389999999999998E-2</v>
      </c>
      <c r="AZ6" s="239">
        <v>3.3329999999999999E-2</v>
      </c>
      <c r="BA6" s="239">
        <v>5.5440000000000003E-2</v>
      </c>
      <c r="BB6" s="239"/>
      <c r="BC6" s="240"/>
      <c r="BD6" s="239"/>
      <c r="BE6" s="239"/>
      <c r="BF6" s="239"/>
      <c r="BG6" s="239">
        <v>3.5810000000000002E-2</v>
      </c>
      <c r="BH6" s="241"/>
      <c r="BP6" s="242" t="s">
        <v>11</v>
      </c>
      <c r="BQ6" s="243">
        <f>P3</f>
        <v>1</v>
      </c>
      <c r="BR6" s="244">
        <f>P4</f>
        <v>25</v>
      </c>
      <c r="BS6" s="244">
        <f>P5</f>
        <v>25</v>
      </c>
      <c r="BT6" s="225"/>
      <c r="BU6" s="225"/>
      <c r="BV6" s="243">
        <f>R3</f>
        <v>1</v>
      </c>
      <c r="BW6" s="244">
        <f>R4</f>
        <v>100</v>
      </c>
      <c r="BX6" s="244">
        <f>R5</f>
        <v>25</v>
      </c>
      <c r="BY6" s="225"/>
      <c r="BZ6" s="225"/>
      <c r="CA6" s="243">
        <f>T3</f>
        <v>1</v>
      </c>
      <c r="CB6" s="244">
        <f>T4</f>
        <v>4</v>
      </c>
      <c r="CC6" s="244">
        <f>T5</f>
        <v>10</v>
      </c>
      <c r="CD6" s="225"/>
      <c r="CE6" s="234"/>
      <c r="CF6" s="243">
        <f>V3</f>
        <v>1</v>
      </c>
      <c r="CG6" s="244">
        <f>V4</f>
        <v>1</v>
      </c>
      <c r="CH6" s="244">
        <f>V5</f>
        <v>1</v>
      </c>
      <c r="CI6" s="225"/>
      <c r="CJ6" s="225"/>
      <c r="CK6" s="293" t="s">
        <v>3</v>
      </c>
      <c r="CL6" s="290" t="s">
        <v>2</v>
      </c>
      <c r="CM6" s="294" t="s">
        <v>110</v>
      </c>
      <c r="CN6" s="244">
        <f>AA3</f>
        <v>1</v>
      </c>
      <c r="CO6" s="244">
        <f>AA4</f>
        <v>4</v>
      </c>
      <c r="CP6" s="244">
        <f>AA5</f>
        <v>10</v>
      </c>
      <c r="CQ6" s="225"/>
      <c r="CR6" s="234"/>
      <c r="CS6" s="243">
        <v>1</v>
      </c>
      <c r="CT6" s="244">
        <v>10</v>
      </c>
      <c r="CU6" s="244">
        <v>1000</v>
      </c>
      <c r="CV6" s="225"/>
      <c r="CW6" s="234"/>
      <c r="DC6" s="441" t="s">
        <v>282</v>
      </c>
      <c r="DD6" s="442"/>
      <c r="DE6" s="442"/>
      <c r="DF6" s="443"/>
      <c r="DG6" s="444" t="s">
        <v>273</v>
      </c>
      <c r="DH6" s="445"/>
      <c r="DI6" s="445"/>
      <c r="DJ6" s="445"/>
      <c r="DK6" s="445"/>
      <c r="DL6" s="445"/>
      <c r="DM6" s="445"/>
      <c r="DN6" s="445"/>
      <c r="DO6" s="445"/>
      <c r="DP6" s="445"/>
      <c r="DQ6" s="445"/>
      <c r="DR6" s="445"/>
      <c r="DS6" s="445"/>
      <c r="DT6" s="445"/>
    </row>
    <row r="7" spans="1:124" s="46" customFormat="1" ht="30.75" customHeight="1" thickBot="1">
      <c r="A7" s="89" t="s">
        <v>39</v>
      </c>
      <c r="B7" s="90" t="s">
        <v>145</v>
      </c>
      <c r="C7" s="91" t="s">
        <v>9</v>
      </c>
      <c r="D7" s="91" t="s">
        <v>40</v>
      </c>
      <c r="E7" s="92" t="s">
        <v>87</v>
      </c>
      <c r="F7" s="92" t="s">
        <v>88</v>
      </c>
      <c r="G7" s="91" t="s">
        <v>81</v>
      </c>
      <c r="H7" s="91" t="s">
        <v>76</v>
      </c>
      <c r="I7" s="91" t="s">
        <v>248</v>
      </c>
      <c r="J7" s="91" t="s">
        <v>38</v>
      </c>
      <c r="K7" s="91" t="s">
        <v>15</v>
      </c>
      <c r="L7" s="91" t="s">
        <v>42</v>
      </c>
      <c r="M7" s="91" t="s">
        <v>43</v>
      </c>
      <c r="N7" s="91" t="s">
        <v>14</v>
      </c>
      <c r="O7" s="91" t="s">
        <v>44</v>
      </c>
      <c r="P7" s="91" t="s">
        <v>45</v>
      </c>
      <c r="Q7" s="91" t="s">
        <v>16</v>
      </c>
      <c r="R7" s="91" t="s">
        <v>17</v>
      </c>
      <c r="S7" s="91" t="s">
        <v>46</v>
      </c>
      <c r="T7" s="91" t="s">
        <v>18</v>
      </c>
      <c r="U7" s="91" t="s">
        <v>37</v>
      </c>
      <c r="V7" s="91" t="s">
        <v>47</v>
      </c>
      <c r="W7" s="91" t="s">
        <v>48</v>
      </c>
      <c r="X7" s="91" t="s">
        <v>49</v>
      </c>
      <c r="Y7" s="91" t="s">
        <v>22</v>
      </c>
      <c r="Z7" s="91" t="s">
        <v>21</v>
      </c>
      <c r="AA7" s="91" t="s">
        <v>19</v>
      </c>
      <c r="AB7" s="91" t="s">
        <v>20</v>
      </c>
      <c r="AC7" s="91" t="s">
        <v>50</v>
      </c>
      <c r="AD7" s="91" t="s">
        <v>51</v>
      </c>
      <c r="AE7" s="93" t="s">
        <v>144</v>
      </c>
      <c r="AF7" s="204" t="s">
        <v>234</v>
      </c>
      <c r="AG7" s="93" t="s">
        <v>235</v>
      </c>
      <c r="AH7" s="245" t="s">
        <v>40</v>
      </c>
      <c r="AI7" s="246" t="s">
        <v>93</v>
      </c>
      <c r="AJ7" s="246" t="s">
        <v>94</v>
      </c>
      <c r="AK7" s="247" t="s">
        <v>81</v>
      </c>
      <c r="AL7" s="247" t="s">
        <v>76</v>
      </c>
      <c r="AM7" s="247" t="s">
        <v>248</v>
      </c>
      <c r="AN7" s="247" t="s">
        <v>38</v>
      </c>
      <c r="AO7" s="247" t="s">
        <v>15</v>
      </c>
      <c r="AP7" s="247" t="s">
        <v>42</v>
      </c>
      <c r="AQ7" s="247" t="s">
        <v>43</v>
      </c>
      <c r="AR7" s="247" t="s">
        <v>14</v>
      </c>
      <c r="AS7" s="247" t="s">
        <v>44</v>
      </c>
      <c r="AT7" s="247" t="s">
        <v>45</v>
      </c>
      <c r="AU7" s="247" t="s">
        <v>16</v>
      </c>
      <c r="AV7" s="247" t="s">
        <v>17</v>
      </c>
      <c r="AW7" s="247" t="s">
        <v>46</v>
      </c>
      <c r="AX7" s="247" t="s">
        <v>18</v>
      </c>
      <c r="AY7" s="247" t="s">
        <v>37</v>
      </c>
      <c r="AZ7" s="247" t="s">
        <v>47</v>
      </c>
      <c r="BA7" s="247" t="s">
        <v>48</v>
      </c>
      <c r="BB7" s="247" t="s">
        <v>49</v>
      </c>
      <c r="BC7" s="247" t="s">
        <v>22</v>
      </c>
      <c r="BD7" s="247" t="s">
        <v>21</v>
      </c>
      <c r="BE7" s="247" t="s">
        <v>19</v>
      </c>
      <c r="BF7" s="247" t="s">
        <v>20</v>
      </c>
      <c r="BG7" s="247" t="s">
        <v>50</v>
      </c>
      <c r="BH7" s="247" t="s">
        <v>51</v>
      </c>
      <c r="BI7" s="247" t="s">
        <v>221</v>
      </c>
      <c r="BJ7" s="247" t="s">
        <v>65</v>
      </c>
      <c r="BK7" s="248" t="s">
        <v>66</v>
      </c>
      <c r="BL7" s="248" t="s">
        <v>146</v>
      </c>
      <c r="BM7" s="249" t="s">
        <v>67</v>
      </c>
      <c r="BN7" s="249" t="s">
        <v>68</v>
      </c>
      <c r="BO7" s="249" t="s">
        <v>162</v>
      </c>
      <c r="BP7" s="250" t="s">
        <v>12</v>
      </c>
      <c r="BQ7" s="251" t="str">
        <f>IF(BQ6=1,BQ3,CONCATENATE(BQ6," ",BQ3))</f>
        <v>Cl</v>
      </c>
      <c r="BR7" s="252" t="str">
        <f>IF(BR6=1,BR3,CONCATENATE(BR6," ",BR3))</f>
        <v>25 F</v>
      </c>
      <c r="BS7" s="252" t="str">
        <f>IF(BS6=1,BS3,CONCATENATE(BS6," ",BS3))</f>
        <v>25 B</v>
      </c>
      <c r="BT7" s="252" t="s">
        <v>3</v>
      </c>
      <c r="BU7" s="252" t="s">
        <v>2</v>
      </c>
      <c r="BV7" s="251" t="str">
        <f>IF(BV6=1,BV3,CONCATENATE(BV6," ",BV3))</f>
        <v>Cl</v>
      </c>
      <c r="BW7" s="252" t="str">
        <f>IF(BW6=1,BW3,CONCATENATE(BW6," ",BW3))</f>
        <v>100 Li</v>
      </c>
      <c r="BX7" s="252" t="str">
        <f>IF(BX6=1,BX3,CONCATENATE(BX6," ",BX3))</f>
        <v>25 B</v>
      </c>
      <c r="BY7" s="252" t="s">
        <v>3</v>
      </c>
      <c r="BZ7" s="252" t="s">
        <v>2</v>
      </c>
      <c r="CA7" s="251" t="str">
        <f>IF(CA6=1,CA3,CONCATENATE(CA6," ",CA3))</f>
        <v>Li</v>
      </c>
      <c r="CB7" s="252" t="str">
        <f>IF(CB6=1,CB3,CONCATENATE(CB6," ",CB3))</f>
        <v>4 Rb</v>
      </c>
      <c r="CC7" s="252" t="str">
        <f>IF(CC6=1,CC3,CONCATENATE(CC6," ",CC3))</f>
        <v>10 Cs</v>
      </c>
      <c r="CD7" s="252" t="s">
        <v>3</v>
      </c>
      <c r="CE7" s="253" t="s">
        <v>2</v>
      </c>
      <c r="CF7" s="251" t="str">
        <f>IF(CF6=1,CF3,CONCATENATE(CF6," ",CF3))</f>
        <v>Cl</v>
      </c>
      <c r="CG7" s="252" t="str">
        <f>IF(CG6=1,CG3,CONCATENATE(CG6," ",CG3))</f>
        <v>SO4</v>
      </c>
      <c r="CH7" s="252" t="str">
        <f>IF(CH6=1,CH3,CONCATENATE(CH6," ",CH3))</f>
        <v>HCO3</v>
      </c>
      <c r="CI7" s="252" t="s">
        <v>3</v>
      </c>
      <c r="CJ7" s="252" t="s">
        <v>2</v>
      </c>
      <c r="CK7" s="297" t="str">
        <f ca="1">CN3</f>
        <v>Li</v>
      </c>
      <c r="CL7" s="286" t="str">
        <f ca="1">CO3</f>
        <v>Rb</v>
      </c>
      <c r="CM7" s="298" t="str">
        <f ca="1">CP3</f>
        <v>Cs</v>
      </c>
      <c r="CN7" s="252" t="str">
        <f ca="1">IF(CN6=1,CN3,CONCATENATE(CN6," ",CN3))</f>
        <v>Li</v>
      </c>
      <c r="CO7" s="252" t="str">
        <f ca="1">IF(CO6=1,CO3,CONCATENATE(CO6," ",CO3))</f>
        <v>4 Rb</v>
      </c>
      <c r="CP7" s="252" t="str">
        <f ca="1">IF(CP6=1,CP3,CONCATENATE(CP6," ",CP3))</f>
        <v>10 Cs</v>
      </c>
      <c r="CQ7" s="252" t="s">
        <v>3</v>
      </c>
      <c r="CR7" s="253" t="s">
        <v>2</v>
      </c>
      <c r="CS7" s="251" t="str">
        <f>IF(CS6=1,CS3,CONCATENATE(CS6," ",CS3))</f>
        <v>Na</v>
      </c>
      <c r="CT7" s="252" t="str">
        <f>IF(CT6=1,CT3,CONCATENATE(CT6," ",CT3))</f>
        <v>10 K</v>
      </c>
      <c r="CU7" s="252" t="str">
        <f>IF(CU6=1,CU3,CONCATENATE(CU6," ",CU3))</f>
        <v>1000 Mg^0.5</v>
      </c>
      <c r="CV7" s="252" t="s">
        <v>3</v>
      </c>
      <c r="CW7" s="253" t="s">
        <v>2</v>
      </c>
      <c r="CX7" s="254"/>
      <c r="CY7" s="254" t="s">
        <v>117</v>
      </c>
      <c r="CZ7" s="255" t="s">
        <v>116</v>
      </c>
      <c r="DA7" s="255" t="s">
        <v>82</v>
      </c>
      <c r="DB7" s="255" t="s">
        <v>206</v>
      </c>
      <c r="DC7" s="256" t="s">
        <v>80</v>
      </c>
      <c r="DD7" s="257" t="s">
        <v>281</v>
      </c>
      <c r="DE7" s="257" t="s">
        <v>90</v>
      </c>
      <c r="DF7" s="329" t="s">
        <v>280</v>
      </c>
      <c r="DG7" s="321" t="s">
        <v>272</v>
      </c>
      <c r="DH7" s="322" t="s">
        <v>14</v>
      </c>
      <c r="DI7" s="322" t="s">
        <v>44</v>
      </c>
      <c r="DJ7" s="322" t="s">
        <v>3</v>
      </c>
      <c r="DK7" s="323" t="s">
        <v>2</v>
      </c>
      <c r="DL7" s="321" t="s">
        <v>17</v>
      </c>
      <c r="DM7" s="322" t="s">
        <v>37</v>
      </c>
      <c r="DN7" s="322" t="s">
        <v>18</v>
      </c>
      <c r="DO7" s="322" t="s">
        <v>3</v>
      </c>
      <c r="DP7" s="323" t="s">
        <v>2</v>
      </c>
      <c r="DQ7" s="321" t="s">
        <v>272</v>
      </c>
      <c r="DR7" s="322" t="s">
        <v>37</v>
      </c>
      <c r="DS7" s="322" t="s">
        <v>3</v>
      </c>
      <c r="DT7" s="323" t="s">
        <v>2</v>
      </c>
    </row>
    <row r="8" spans="1:124" s="52" customFormat="1">
      <c r="A8" s="358" t="s">
        <v>166</v>
      </c>
      <c r="B8" s="354"/>
      <c r="C8" s="361"/>
      <c r="D8" s="365" t="s">
        <v>167</v>
      </c>
      <c r="E8" s="365"/>
      <c r="F8" s="368"/>
      <c r="G8" s="365"/>
      <c r="H8" s="365">
        <v>240</v>
      </c>
      <c r="I8" s="372"/>
      <c r="J8" s="375">
        <v>8.5</v>
      </c>
      <c r="K8" s="375">
        <v>10.7</v>
      </c>
      <c r="L8" s="376">
        <v>1170</v>
      </c>
      <c r="M8" s="376">
        <v>167</v>
      </c>
      <c r="N8" s="377">
        <v>20</v>
      </c>
      <c r="O8" s="378">
        <v>0.01</v>
      </c>
      <c r="P8" s="376">
        <v>590</v>
      </c>
      <c r="Q8" s="376">
        <v>26</v>
      </c>
      <c r="R8" s="376">
        <v>1970</v>
      </c>
      <c r="S8" s="376"/>
      <c r="T8" s="376">
        <v>35</v>
      </c>
      <c r="U8" s="376">
        <v>5</v>
      </c>
      <c r="V8" s="377"/>
      <c r="W8" s="377"/>
      <c r="X8" s="375"/>
      <c r="Y8" s="378">
        <v>2.2000000000000002</v>
      </c>
      <c r="Z8" s="378">
        <v>2</v>
      </c>
      <c r="AA8" s="375"/>
      <c r="AB8" s="375"/>
      <c r="AC8" s="375"/>
      <c r="AD8" s="375"/>
      <c r="AE8" s="379"/>
      <c r="AF8" s="380"/>
      <c r="AG8" s="380"/>
      <c r="AH8" s="307" t="str">
        <f t="shared" ref="AH8:AH37" ca="1" si="0">IF(ISERROR(BQ8),"",INDIRECT(AH$5&amp;(CELL("row", AH8))))</f>
        <v>WK</v>
      </c>
      <c r="AI8" s="205">
        <f t="shared" ref="AI8:AN17" ca="1" si="1">INDIRECT(AI$5&amp;(CELL("row", AI8)))</f>
        <v>0</v>
      </c>
      <c r="AJ8" s="205">
        <f t="shared" ca="1" si="1"/>
        <v>0</v>
      </c>
      <c r="AK8" s="205">
        <f t="shared" ca="1" si="1"/>
        <v>0</v>
      </c>
      <c r="AL8" s="205">
        <f t="shared" ca="1" si="1"/>
        <v>240</v>
      </c>
      <c r="AM8" s="205">
        <f t="shared" ca="1" si="1"/>
        <v>0</v>
      </c>
      <c r="AN8" s="205">
        <f t="shared" ca="1" si="1"/>
        <v>8.5</v>
      </c>
      <c r="AO8" s="205">
        <f t="shared" ref="AO8:AX17" ca="1" si="2">ABS(INDIRECT(AO$5&amp;(CELL("row", AO8))))</f>
        <v>10.7</v>
      </c>
      <c r="AP8" s="205">
        <f t="shared" ca="1" si="2"/>
        <v>1170</v>
      </c>
      <c r="AQ8" s="205">
        <f t="shared" ca="1" si="2"/>
        <v>167</v>
      </c>
      <c r="AR8" s="205">
        <f t="shared" ca="1" si="2"/>
        <v>20</v>
      </c>
      <c r="AS8" s="212">
        <f t="shared" ca="1" si="2"/>
        <v>0.01</v>
      </c>
      <c r="AT8" s="205">
        <f t="shared" ca="1" si="2"/>
        <v>590</v>
      </c>
      <c r="AU8" s="205">
        <f t="shared" ca="1" si="2"/>
        <v>26</v>
      </c>
      <c r="AV8" s="205">
        <f t="shared" ca="1" si="2"/>
        <v>1970</v>
      </c>
      <c r="AW8" s="205">
        <f t="shared" ca="1" si="2"/>
        <v>0</v>
      </c>
      <c r="AX8" s="205">
        <f t="shared" ca="1" si="2"/>
        <v>35</v>
      </c>
      <c r="AY8" s="205">
        <f t="shared" ref="AY8:BI17" ca="1" si="3">ABS(INDIRECT(AY$5&amp;(CELL("row", AY8))))</f>
        <v>5</v>
      </c>
      <c r="AZ8" s="205">
        <f t="shared" ca="1" si="3"/>
        <v>0</v>
      </c>
      <c r="BA8" s="205">
        <f t="shared" ca="1" si="3"/>
        <v>0</v>
      </c>
      <c r="BB8" s="205">
        <f t="shared" ca="1" si="3"/>
        <v>0</v>
      </c>
      <c r="BC8" s="205">
        <f t="shared" ca="1" si="3"/>
        <v>2.2000000000000002</v>
      </c>
      <c r="BD8" s="205">
        <f t="shared" ca="1" si="3"/>
        <v>2</v>
      </c>
      <c r="BE8" s="205">
        <f t="shared" ca="1" si="3"/>
        <v>0</v>
      </c>
      <c r="BF8" s="205">
        <f t="shared" ca="1" si="3"/>
        <v>0</v>
      </c>
      <c r="BG8" s="205">
        <f t="shared" ca="1" si="3"/>
        <v>0</v>
      </c>
      <c r="BH8" s="205">
        <f t="shared" ca="1" si="3"/>
        <v>0</v>
      </c>
      <c r="BI8" s="205">
        <f t="shared" ca="1" si="3"/>
        <v>0</v>
      </c>
      <c r="BJ8" s="205">
        <f t="shared" ref="BJ8:BJ37" ca="1" si="4">INDIRECT(BJ$5&amp;(CELL("row", BJ8)))</f>
        <v>0</v>
      </c>
      <c r="BK8" s="205">
        <f ca="1">IF(INDIRECT(BK$5&amp;(CELL("row", BK8)))=0,99,INDIRECT(BK$5&amp;(CELL("row", BK8))))</f>
        <v>99</v>
      </c>
      <c r="BL8" s="205" t="str">
        <f ca="1">IF(BK8=99,"",INDIRECT(BL$5&amp;(CELL("row", BL8))))</f>
        <v/>
      </c>
      <c r="BM8" s="258">
        <f ca="1">IF(AN8=0,ABS(AO8)*AO$6+ABS(AP8)*AP$6+ABS(AQ8)*AQ$6+ABS(AR8)*AR$6+ABS(AS8)*AS$6+ABS(BA8)*BA$6+ABS(BG8)*BG$6, ABS(AO8)*AO$6+ABS(AP8)*AP$6+ABS(AQ8)*AQ$6+ABS(AR8)*AR$6+ABS(AS8)*AS$6+ABS(BA8)*BA$6+0.992*10^(3-AN8)+ABS(BG8)*BG$6)</f>
        <v>57.705992736979432</v>
      </c>
      <c r="BN8" s="258">
        <f ca="1">ABS(AV8)*AV$6+ABS(AW8)*AW$6+ABS(AX8)*AX$6+ABS(AY8)*AY$6+ABS(AZ8)*AZ$6</f>
        <v>56.384349999999998</v>
      </c>
      <c r="BO8" s="259">
        <f ca="1">IF(BM8=0,"",(BM8-BN8)/(BM8+BN8))</f>
        <v>1.158417711152215E-2</v>
      </c>
      <c r="BP8" s="260"/>
      <c r="BQ8" s="261">
        <f t="shared" ref="BQ8:BQ37" ca="1" si="5">(AV8*BQ$6)/(AV8*BQ$6+AW8*BR$6+AU8*BS$6)</f>
        <v>0.75190839694656486</v>
      </c>
      <c r="BR8" s="261">
        <f t="shared" ref="BR8:BR37" ca="1" si="6">(AW8*BR$6)/(AV8*BQ$6+AW8*BR$6+AU8*BS$6)</f>
        <v>0</v>
      </c>
      <c r="BS8" s="261">
        <f t="shared" ref="BS8:BS37" ca="1" si="7">(AU8*BS$6)/(AV8*BQ$6+AW8*BR$6+AU8*BS$6)</f>
        <v>0.24809160305343511</v>
      </c>
      <c r="BT8" s="262">
        <f t="shared" ref="BT8:BT34" ca="1" si="8">0.5774*BQ8+1.1547*BS8</f>
        <v>0.72062328244274809</v>
      </c>
      <c r="BU8" s="263">
        <f ca="1">IF(ISERROR(BQ8),-1,BQ8)</f>
        <v>0.75190839694656486</v>
      </c>
      <c r="BV8" s="261">
        <f t="shared" ref="BV8:BV37" ca="1" si="9">(AV8*BV$6)/(AV8*BV$6+AO8*BW$6+AU8*BX$6)</f>
        <v>0.53387533875338755</v>
      </c>
      <c r="BW8" s="261">
        <f t="shared" ref="BW8:BW37" ca="1" si="10">(AO8*BW$6)/(AV8*BV$6+AO8*BW$6+AU8*BX$6)</f>
        <v>0.28997289972899731</v>
      </c>
      <c r="BX8" s="261">
        <f t="shared" ref="BX8:BX37" ca="1" si="11">(AU8*BX$6)/(AV8*BV$6+AO8*BW$6+AU8*BX$6)</f>
        <v>0.17615176151761516</v>
      </c>
      <c r="BY8" s="262">
        <f t="shared" ref="BY8:BY34" ca="1" si="12">0.5774*BV8+1.1547*BX8</f>
        <v>0.51166205962059619</v>
      </c>
      <c r="BZ8" s="263">
        <f ca="1">IF(ISERROR(BV8),-1,BV8)</f>
        <v>0.53387533875338755</v>
      </c>
      <c r="CA8" s="261">
        <f t="shared" ref="CA8:CA37" ca="1" si="13">(AO8*CA$6)/(AO8*$CA$6+BC8*$CB$6+BD8*$CC$6)</f>
        <v>0.27088607594936709</v>
      </c>
      <c r="CB8" s="261">
        <f t="shared" ref="CB8:CB37" ca="1" si="14">(BC8*CB$6)/(AO8*$CA$6+BC8*$CB$6+BD8*$CC$6)</f>
        <v>0.2227848101265823</v>
      </c>
      <c r="CC8" s="261">
        <f t="shared" ref="CC8:CC37" ca="1" si="15">(BD8*CC$6)/(AO8*$CA$6+BC8*$CB$6+BD8*$CC$6)</f>
        <v>0.50632911392405067</v>
      </c>
      <c r="CD8" s="262">
        <f t="shared" ref="CD8:CD34" ca="1" si="16">0.5774*CA8+1.1547*CC8</f>
        <v>0.7410678481012658</v>
      </c>
      <c r="CE8" s="263">
        <f ca="1">IF(ISERROR(CA8),-1,CA8)</f>
        <v>0.27088607594936709</v>
      </c>
      <c r="CF8" s="261">
        <f t="shared" ref="CF8:CF37" ca="1" si="17">(AV8*CF$6)/(AV8*CF$6+AX8*CG$6+AY8*CH$6)</f>
        <v>0.98009950248756217</v>
      </c>
      <c r="CG8" s="261">
        <f t="shared" ref="CG8:CG37" ca="1" si="18">(AX8*CG$6)/(AV8*CF$6+AX8*CG$6+AY8*CH$6)</f>
        <v>1.7412935323383085E-2</v>
      </c>
      <c r="CH8" s="261">
        <f t="shared" ref="CH8:CH37" ca="1" si="19">(AY8*CH$6)/(AV8*CF$6+AX8*CG$6+AY8*CH$6)</f>
        <v>2.4875621890547263E-3</v>
      </c>
      <c r="CI8" s="262">
        <f t="shared" ref="CI8:CI34" ca="1" si="20">0.5774*CF8+1.1547*CH8</f>
        <v>0.5687818407960199</v>
      </c>
      <c r="CJ8" s="263">
        <f ca="1">IF(ISERROR(CF8),-1,CF8)</f>
        <v>0.98009950248756217</v>
      </c>
      <c r="CK8" s="310">
        <f ca="1">INDIRECT("R"&amp;ROW(CK8)&amp;"C"&amp;(COLUMN(INDIRECT(Y$3&amp;ROW(CK8),TRUE))+30),FALSE)</f>
        <v>10.7</v>
      </c>
      <c r="CL8" s="310">
        <f ca="1">INDIRECT("R"&amp;ROW(CL8)&amp;"C"&amp;(COLUMN(INDIRECT($Y$4&amp;ROW(CL8),TRUE))+30),FALSE)</f>
        <v>2.2000000000000002</v>
      </c>
      <c r="CM8" s="310">
        <f ca="1">INDIRECT("R"&amp;ROW(CM8)&amp;"C"&amp;(COLUMN(INDIRECT($Y$5&amp;ROW(CM8),TRUE))+30),FALSE)</f>
        <v>2</v>
      </c>
      <c r="CN8" s="295">
        <f ca="1">(CK8*CN$6)/(CK8*CN$6+CL8*CO$6+CM8*CP$6)</f>
        <v>0.27088607594936709</v>
      </c>
      <c r="CO8" s="261">
        <f ca="1">(CL8*CO$6)/(CK8*CN$6+CL8*CO$6+CM8*CP$6)</f>
        <v>0.2227848101265823</v>
      </c>
      <c r="CP8" s="261">
        <f ca="1">(CM8*CP$6)/(CK8*CN$6+CL8*CO$6+CM8*CP$6)</f>
        <v>0.50632911392405067</v>
      </c>
      <c r="CQ8" s="262">
        <f t="shared" ref="CQ8:CQ34" ca="1" si="21">0.5774*CN8+1.1547*CP8</f>
        <v>0.7410678481012658</v>
      </c>
      <c r="CR8" s="263">
        <f ca="1">IF(ISERROR(CN8),-1,CN8)</f>
        <v>0.27088607594936709</v>
      </c>
      <c r="CS8" s="261">
        <f ca="1">((1-AM8)*AP8*CS$6)/((1-AM8)*AP8*CS$6+(1-AM8)*AQ8*CT$6+(((1-AM8)*AS8)^0.5)*CU$6)</f>
        <v>0.39795918367346939</v>
      </c>
      <c r="CT8" s="261">
        <f ca="1">((1-AM8)*AQ8*CT$6)/((1-AM8)*AP8*CS$6+(1-AM8)*AQ8*CT$6+(((1-AM8)*AS8)^0.5)*CU$6)</f>
        <v>0.56802721088435371</v>
      </c>
      <c r="CU8" s="261">
        <f ca="1">((((1-AM8)*AS8)^0.5)*CU$6)/((1-AM8)*AP8*CS$6+(1-AM8)*AQ8*CT$6+(((1-AM8)*AS8)^0.5)*CU$6)</f>
        <v>3.4013605442176874E-2</v>
      </c>
      <c r="CV8" s="262">
        <f t="shared" ref="CV8:CV34" ca="1" si="22">0.5774*CS8+1.1547*CU8</f>
        <v>0.26905714285714288</v>
      </c>
      <c r="CW8" s="263">
        <f ca="1">IF(ISERROR(CS8),-1,CS8)</f>
        <v>0.39795918367346939</v>
      </c>
      <c r="CX8" s="264"/>
      <c r="CY8" s="265">
        <f ca="1">IF(ISERROR(2*LOG((1-AM8)*AQ8)-LOG((1-AM8)*AS8)),-99,2*LOG((1-AM8)*AQ8)-LOG((1-AM8)*AS8))</f>
        <v>6.4454329422951666</v>
      </c>
      <c r="CZ8" s="266">
        <f ca="1">IF(ISERROR(2*LOG((1-AM8)*AQ8)-LOG((1-AM8)*AR8)),-99,2*LOG((1-AM8)*AQ8)-LOG((1-AM8)*AR8))</f>
        <v>3.1444029466311854</v>
      </c>
      <c r="DA8" s="265">
        <f ca="1">IF(ISERROR(10*(1-AM8)*AS8/(10*(1-AM8)*AS8+(1-AM8)*AR8)),-99,10*(1-AM8)*AS8/(10*(1-AM8)*AS8+(1-AM8)*AR8))</f>
        <v>4.9751243781094526E-3</v>
      </c>
      <c r="DB8" s="265">
        <f ca="1">IF(ISERROR(10*(1-AM8)*AQ8/(10*(1-AM8)*AQ8+(1-AM8)*AP8)),-99,10*(1-AM8)*AQ8/(10*(1-AM8)*AQ8+(1-AM8)*AP8))</f>
        <v>0.5880281690140845</v>
      </c>
      <c r="DC8" s="267">
        <f ca="1">0.00000031665*((1-AM8)*AT8)^3 - 0.00036686*((1-AM8)*AT8)^2 + 0.28831*(1-AM8)*AT8 + 77.034 *LOG((1-AM8)*AT8) - 42.198</f>
        <v>278.68400821484101</v>
      </c>
      <c r="DD8" s="330">
        <f ca="1">IF(AV8=0,-999,(1-AM8)*AV8)</f>
        <v>1970</v>
      </c>
      <c r="DE8" s="267">
        <f t="shared" ref="DE8:DE37" ca="1" si="23">IF(ISERROR(DC8),-999,418.84+10.286*DC8-0.05092*DC8^2+0.00026309*DC8^3-0.00000069303*DC8^4+0.00000000074566*DC8^5-1209.8*DC8^-1+11.99*DC8^-2-353.76*LOG(DC8))</f>
        <v>1228.8737614923843</v>
      </c>
      <c r="DF8" s="330">
        <f ca="1">IF(AL8=0,-999,IF(AL8&lt;50, 4.1868*AL8, 418.84+10.286*AL8-0.05092*AL8^2+0.00026309*AL8^3-0.00000069303*AL8^4+0.00000000074566*AL8^5-1209.8*AL8^-1+11.99*AL8^-2-353.76*LOG(AL8)))</f>
        <v>1038.8138143424917</v>
      </c>
      <c r="DG8" s="324">
        <f ca="1">(0.0435*$AP8+0.02557*$AQ8)/(0.0435*$AP8+0.02557*$AQ8+0.0499*$AR8+0.08226*$AS8)</f>
        <v>0.98221596795240385</v>
      </c>
      <c r="DH8" s="318">
        <f ca="1">(0.0499*$AR8)/(0.0435*$AP8+0.02557*$AQ8+0.0499*$AR8+0.08226*AS8)</f>
        <v>1.7769385658175003E-2</v>
      </c>
      <c r="DI8" s="318">
        <f ca="1">(0.08226*$AS8)/(0.0435*$AP8+0.02557*$AQ8+0.0499*$AR8+0.08226*$AS8)</f>
        <v>1.4646389421257273E-5</v>
      </c>
      <c r="DJ8" s="319">
        <f ca="1">IF(ISERROR(DG8),-1,0.5774*DI8+1.1547*DG8)</f>
        <v>1.1341732350198925</v>
      </c>
      <c r="DK8" s="320">
        <f ca="1">IF(ISERROR(DG8),-1,DI8)</f>
        <v>1.4646389421257273E-5</v>
      </c>
      <c r="DL8" s="324">
        <f ca="1">(0.02821*$AV8)/(0.02821*$AV8+0.01639*$AY8+0.02082*$AX8)</f>
        <v>0.98562278362701705</v>
      </c>
      <c r="DM8" s="318">
        <f ca="1">(0.01639*$AY8)/(0.02821*$AV8+0.01639*$AY8+0.02082*$AX8)</f>
        <v>1.4534174819785986E-3</v>
      </c>
      <c r="DN8" s="318">
        <f ca="1">(0.02082*$AX8)/(0.02821*$AV8+0.01639*$AY8+0.02082*$AX8)</f>
        <v>1.2923798891004331E-2</v>
      </c>
      <c r="DO8" s="319">
        <f ca="1">IF(ISERROR(DL8),-1,Tgrid!$A$46+0.5774*DN8+1.1547*DL8)</f>
        <v>2.5002608297337825</v>
      </c>
      <c r="DP8" s="320">
        <f ca="1">IF(ISERROR(DL8),-1,DN8)</f>
        <v>1.2923798891004331E-2</v>
      </c>
      <c r="DQ8" s="325">
        <f ca="1">DG8</f>
        <v>0.98221596795240385</v>
      </c>
      <c r="DR8" s="326">
        <f ca="1">DM8</f>
        <v>1.4534174819785986E-3</v>
      </c>
      <c r="DS8" s="319">
        <f ca="1">IF(ISERROR(DQ8),-1,0.5*Tgrid!$B$42+0.5774*(2+DQ8-DR8))</f>
        <v>1.8210922966416236</v>
      </c>
      <c r="DT8" s="320">
        <f ca="1">IF(ISERROR(DQ8),-1,2+Tgrid!$B$54-DQ8-DR8)</f>
        <v>1.1895306145656175</v>
      </c>
    </row>
    <row r="9" spans="1:124" s="52" customFormat="1">
      <c r="A9" s="359" t="s">
        <v>168</v>
      </c>
      <c r="B9" s="355"/>
      <c r="C9" s="362"/>
      <c r="D9" s="366" t="s">
        <v>172</v>
      </c>
      <c r="E9" s="366"/>
      <c r="F9" s="369"/>
      <c r="G9" s="366"/>
      <c r="H9" s="366">
        <v>99</v>
      </c>
      <c r="I9" s="373"/>
      <c r="J9" s="381">
        <v>7.7</v>
      </c>
      <c r="K9" s="381">
        <v>14.5</v>
      </c>
      <c r="L9" s="382">
        <v>1220</v>
      </c>
      <c r="M9" s="382">
        <v>140</v>
      </c>
      <c r="N9" s="383">
        <v>30</v>
      </c>
      <c r="O9" s="384">
        <v>4.5</v>
      </c>
      <c r="P9" s="385">
        <v>320</v>
      </c>
      <c r="Q9" s="382">
        <v>43</v>
      </c>
      <c r="R9" s="382">
        <v>2100</v>
      </c>
      <c r="S9" s="382"/>
      <c r="T9" s="382">
        <v>30</v>
      </c>
      <c r="U9" s="382">
        <v>30</v>
      </c>
      <c r="V9" s="383"/>
      <c r="W9" s="383"/>
      <c r="X9" s="381"/>
      <c r="Y9" s="384">
        <v>2.2999999999999998</v>
      </c>
      <c r="Z9" s="384">
        <v>2.1</v>
      </c>
      <c r="AA9" s="381"/>
      <c r="AB9" s="381"/>
      <c r="AC9" s="381"/>
      <c r="AD9" s="381"/>
      <c r="AE9" s="386"/>
      <c r="AF9" s="387"/>
      <c r="AG9" s="387"/>
      <c r="AH9" s="308" t="str">
        <f t="shared" ca="1" si="0"/>
        <v>wk</v>
      </c>
      <c r="AI9" s="71">
        <f t="shared" ca="1" si="1"/>
        <v>0</v>
      </c>
      <c r="AJ9" s="71">
        <f t="shared" ca="1" si="1"/>
        <v>0</v>
      </c>
      <c r="AK9" s="71">
        <f t="shared" ca="1" si="1"/>
        <v>0</v>
      </c>
      <c r="AL9" s="71">
        <f t="shared" ca="1" si="1"/>
        <v>99</v>
      </c>
      <c r="AM9" s="71">
        <f t="shared" ca="1" si="1"/>
        <v>0</v>
      </c>
      <c r="AN9" s="71">
        <f t="shared" ca="1" si="1"/>
        <v>7.7</v>
      </c>
      <c r="AO9" s="71">
        <f t="shared" ca="1" si="2"/>
        <v>14.5</v>
      </c>
      <c r="AP9" s="71">
        <f t="shared" ca="1" si="2"/>
        <v>1220</v>
      </c>
      <c r="AQ9" s="71">
        <f t="shared" ca="1" si="2"/>
        <v>140</v>
      </c>
      <c r="AR9" s="71">
        <f t="shared" ca="1" si="2"/>
        <v>30</v>
      </c>
      <c r="AS9" s="213">
        <f t="shared" ca="1" si="2"/>
        <v>4.5</v>
      </c>
      <c r="AT9" s="71">
        <f t="shared" ca="1" si="2"/>
        <v>320</v>
      </c>
      <c r="AU9" s="71">
        <f t="shared" ca="1" si="2"/>
        <v>43</v>
      </c>
      <c r="AV9" s="71">
        <f t="shared" ca="1" si="2"/>
        <v>2100</v>
      </c>
      <c r="AW9" s="71">
        <f t="shared" ca="1" si="2"/>
        <v>0</v>
      </c>
      <c r="AX9" s="71">
        <f t="shared" ca="1" si="2"/>
        <v>30</v>
      </c>
      <c r="AY9" s="71">
        <f t="shared" ca="1" si="3"/>
        <v>30</v>
      </c>
      <c r="AZ9" s="71">
        <f t="shared" ca="1" si="3"/>
        <v>0</v>
      </c>
      <c r="BA9" s="71">
        <f t="shared" ca="1" si="3"/>
        <v>0</v>
      </c>
      <c r="BB9" s="71">
        <f t="shared" ca="1" si="3"/>
        <v>0</v>
      </c>
      <c r="BC9" s="71">
        <f t="shared" ca="1" si="3"/>
        <v>2.2999999999999998</v>
      </c>
      <c r="BD9" s="71">
        <f t="shared" ca="1" si="3"/>
        <v>2.1</v>
      </c>
      <c r="BE9" s="71">
        <f t="shared" ca="1" si="3"/>
        <v>0</v>
      </c>
      <c r="BF9" s="71">
        <f t="shared" ca="1" si="3"/>
        <v>0</v>
      </c>
      <c r="BG9" s="71">
        <f t="shared" ca="1" si="3"/>
        <v>0</v>
      </c>
      <c r="BH9" s="71">
        <f t="shared" ca="1" si="3"/>
        <v>0</v>
      </c>
      <c r="BI9" s="71">
        <f t="shared" ca="1" si="3"/>
        <v>0</v>
      </c>
      <c r="BJ9" s="71">
        <f t="shared" ca="1" si="4"/>
        <v>0</v>
      </c>
      <c r="BK9" s="71">
        <f t="shared" ref="BK9:BK27" ca="1" si="24">IF(INDIRECT(BK$5&amp;(CELL("row", BK9)))=0,99,INDIRECT(BK$5&amp;(CELL("row", BK9))))</f>
        <v>99</v>
      </c>
      <c r="BL9" s="71" t="str">
        <f t="shared" ref="BL9:BL37" ca="1" si="25">IF(BK9=99,"",INDIRECT(BL$5&amp;(CELL("row", BL9))))</f>
        <v/>
      </c>
      <c r="BM9" s="268">
        <f t="shared" ref="BM9:BM27" ca="1" si="26">IF(AN9=0,ABS(AO9)*AO$6+ABS(AP9)*AP$6+ABS(AQ9)*AQ$6+ABS(AR9)*AR$6+ABS(AS9)*AS$6+ABS(BA9)*BA$6+ABS(BG9)*BG$6, ABS(AO9)*AO$6+ABS(AP9)*AP$6+ABS(AQ9)*AQ$6+ABS(AR9)*AR$6+ABS(AS9)*AS$6+ABS(BA9)*BA$6+0.992*10^(3-AN9)+ABS(BG9)*BG$6)</f>
        <v>60.606584793002163</v>
      </c>
      <c r="BN9" s="268">
        <f t="shared" ref="BN9:BN27" ca="1" si="27">ABS(AV9)*AV$6+ABS(AW9)*AW$6+ABS(AX9)*AX$6+ABS(AY9)*AY$6+ABS(AZ9)*AZ$6</f>
        <v>60.357300000000002</v>
      </c>
      <c r="BO9" s="269">
        <f t="shared" ref="BO9:BO37" ca="1" si="28">IF(BM9=0,"",(BM9-BN9)/(BM9+BN9))</f>
        <v>2.0608199995291684E-3</v>
      </c>
      <c r="BP9" s="264"/>
      <c r="BQ9" s="261">
        <f t="shared" ca="1" si="5"/>
        <v>0.66141732283464572</v>
      </c>
      <c r="BR9" s="261">
        <f t="shared" ca="1" si="6"/>
        <v>0</v>
      </c>
      <c r="BS9" s="261">
        <f t="shared" ca="1" si="7"/>
        <v>0.33858267716535434</v>
      </c>
      <c r="BT9" s="262">
        <f t="shared" ca="1" si="8"/>
        <v>0.77286377952755914</v>
      </c>
      <c r="BU9" s="263">
        <f t="shared" ref="BU9:BU36" ca="1" si="29">IF(ISERROR(BQ9),-1,BQ9)</f>
        <v>0.66141732283464572</v>
      </c>
      <c r="BV9" s="261">
        <f t="shared" ca="1" si="9"/>
        <v>0.45405405405405408</v>
      </c>
      <c r="BW9" s="261">
        <f t="shared" ca="1" si="10"/>
        <v>0.31351351351351353</v>
      </c>
      <c r="BX9" s="261">
        <f t="shared" ca="1" si="11"/>
        <v>0.23243243243243245</v>
      </c>
      <c r="BY9" s="262">
        <f t="shared" ca="1" si="12"/>
        <v>0.53056054054054058</v>
      </c>
      <c r="BZ9" s="263">
        <f t="shared" ref="BZ9:BZ27" ca="1" si="30">IF(ISERROR(BV9),-1,BV9)</f>
        <v>0.45405405405405408</v>
      </c>
      <c r="CA9" s="261">
        <f t="shared" ca="1" si="13"/>
        <v>0.32438478747203575</v>
      </c>
      <c r="CB9" s="261">
        <f t="shared" ca="1" si="14"/>
        <v>0.20581655480984337</v>
      </c>
      <c r="CC9" s="261">
        <f t="shared" ca="1" si="15"/>
        <v>0.46979865771812079</v>
      </c>
      <c r="CD9" s="262">
        <f t="shared" ca="1" si="16"/>
        <v>0.72977628635346747</v>
      </c>
      <c r="CE9" s="263">
        <f t="shared" ref="CE9:CE36" ca="1" si="31">IF(ISERROR(CA9),-1,CA9)</f>
        <v>0.32438478747203575</v>
      </c>
      <c r="CF9" s="261">
        <f t="shared" ca="1" si="17"/>
        <v>0.97222222222222221</v>
      </c>
      <c r="CG9" s="261">
        <f t="shared" ca="1" si="18"/>
        <v>1.3888888888888888E-2</v>
      </c>
      <c r="CH9" s="261">
        <f t="shared" ca="1" si="19"/>
        <v>1.3888888888888888E-2</v>
      </c>
      <c r="CI9" s="262">
        <f t="shared" ca="1" si="20"/>
        <v>0.57739861111111113</v>
      </c>
      <c r="CJ9" s="263">
        <f t="shared" ref="CJ9:CJ36" ca="1" si="32">IF(ISERROR(CF9),-1,CF9)</f>
        <v>0.97222222222222221</v>
      </c>
      <c r="CK9" s="310">
        <f t="shared" ref="CK9:CK37" ca="1" si="33">INDIRECT("R"&amp;ROW(CK9)&amp;"C"&amp;(COLUMN(INDIRECT(Y$3&amp;ROW(CK9),TRUE))+30),FALSE)</f>
        <v>14.5</v>
      </c>
      <c r="CL9" s="310">
        <f t="shared" ref="CL9:CL37" ca="1" si="34">INDIRECT("R"&amp;ROW(CL9)&amp;"C"&amp;(COLUMN(INDIRECT($Y$4&amp;ROW(CL9),TRUE))+30),FALSE)</f>
        <v>2.2999999999999998</v>
      </c>
      <c r="CM9" s="310">
        <f t="shared" ref="CM9:CM37" ca="1" si="35">INDIRECT("R"&amp;ROW(CM9)&amp;"C"&amp;(COLUMN(INDIRECT($Y$5&amp;ROW(CM9),TRUE))+30),FALSE)</f>
        <v>2.1</v>
      </c>
      <c r="CN9" s="296">
        <f t="shared" ref="CN9:CN37" ca="1" si="36">(CK9*CN$6)/(CK9*CN$6+CL9*CO$6+CM9*CP$6)</f>
        <v>0.32438478747203575</v>
      </c>
      <c r="CO9" s="261">
        <f t="shared" ref="CO9:CO37" ca="1" si="37">(CL9*CO$6)/(CK9*CN$6+CL9*CO$6+CM9*CP$6)</f>
        <v>0.20581655480984337</v>
      </c>
      <c r="CP9" s="261">
        <f t="shared" ref="CP9:CP37" ca="1" si="38">(CM9*CP$6)/(CK9*CN$6+CL9*CO$6+CM9*CP$6)</f>
        <v>0.46979865771812079</v>
      </c>
      <c r="CQ9" s="262">
        <f t="shared" ca="1" si="21"/>
        <v>0.72977628635346747</v>
      </c>
      <c r="CR9" s="263">
        <f t="shared" ref="CR9:CR36" ca="1" si="39">IF(ISERROR(CN9),-1,CN9)</f>
        <v>0.32438478747203575</v>
      </c>
      <c r="CS9" s="261">
        <f t="shared" ref="CS9:CS37" ca="1" si="40">((1-AM9)*AP9*CS$6)/((1-AM9)*AP9*CS$6+(1-AM9)*AQ9*CT$6+(((1-AM9)*AS9)^0.5)*CU$6)</f>
        <v>0.25731229100712066</v>
      </c>
      <c r="CT9" s="261">
        <f t="shared" ref="CT9:CT37" ca="1" si="41">((1-AM9)*AQ9*CT$6)/((1-AM9)*AP9*CS$6+(1-AM9)*AQ9*CT$6+(((1-AM9)*AS9)^0.5)*CU$6)</f>
        <v>0.29527639951636797</v>
      </c>
      <c r="CU9" s="261">
        <f t="shared" ref="CU9:CU37" ca="1" si="42">((((1-AM9)*AS9)^0.5)*CU$6)/((1-AM9)*AP9*CS$6+(1-AM9)*AQ9*CT$6+(((1-AM9)*AS9)^0.5)*CU$6)</f>
        <v>0.44741130947651137</v>
      </c>
      <c r="CV9" s="262">
        <f t="shared" ca="1" si="22"/>
        <v>0.66519795588003916</v>
      </c>
      <c r="CW9" s="263">
        <f t="shared" ref="CW9:CW36" ca="1" si="43">IF(ISERROR(CS9),-1,CS9)</f>
        <v>0.25731229100712066</v>
      </c>
      <c r="CX9" s="264"/>
      <c r="CY9" s="265">
        <f t="shared" ref="CY9:CY37" ca="1" si="44">IF(ISERROR(2*LOG((1-AM9)*AQ9)-LOG((1-AM9)*AS9)),-99,2*LOG((1-AM9)*AQ9)-LOG((1-AM9)*AS9))</f>
        <v>3.6390435575811324</v>
      </c>
      <c r="CZ9" s="266">
        <f t="shared" ref="CZ9:CZ37" ca="1" si="45">IF(ISERROR(2*LOG((1-AM9)*AQ9)-LOG((1-AM9)*AR9)),-99,2*LOG((1-AM9)*AQ9)-LOG((1-AM9)*AR9))</f>
        <v>2.8151348166368138</v>
      </c>
      <c r="DA9" s="265">
        <f t="shared" ref="DA9:DA37" ca="1" si="46">IF(ISERROR(10*(1-AM9)*AS9/(10*(1-AM9)*AS9+(1-AM9)*AR9)),-99,10*(1-AM9)*AS9/(10*(1-AM9)*AS9+(1-AM9)*AR9))</f>
        <v>0.6</v>
      </c>
      <c r="DB9" s="265">
        <f t="shared" ref="DB9:DB37" ca="1" si="47">IF(ISERROR(10*(1-AM9)*AQ9/(10*(1-AM9)*AQ9+(1-AM9)*AP9)),-99,10*(1-AM9)*AQ9/(10*(1-AM9)*AQ9+(1-AM9)*AP9))</f>
        <v>0.53435114503816794</v>
      </c>
      <c r="DC9" s="267">
        <f t="shared" ref="DC9:DC37" ca="1" si="48">0.00000031665*((1-AM9)*AT9)^3 - 0.00036686*((1-AM9)*AT9)^2 + 0.28831*(1-AM9)*AT9 + 77.034 *LOG((1-AM9)*AT9) - 42.198</f>
        <v>215.85244662989564</v>
      </c>
      <c r="DD9" s="330">
        <f t="shared" ref="DD9:DD37" ca="1" si="49">IF(AV9=0,-999,(1-AM9)*AV9)</f>
        <v>2100</v>
      </c>
      <c r="DE9" s="267">
        <f t="shared" ca="1" si="23"/>
        <v>926.13950901150531</v>
      </c>
      <c r="DF9" s="330">
        <f t="shared" ref="DF9:DF37" ca="1" si="50">IF(AL9=0,-999,IF(AL9&lt;50, 4.1868*AL9, 418.84+10.286*AL9-0.05092*AL9^2+0.00026309*AL9^3-0.00000069303*AL9^4+0.00000000074566*AL9^5-1209.8*AL9^-1+11.99*AL9^-2-353.76*LOG(AL9)))</f>
        <v>415.68712591857957</v>
      </c>
      <c r="DG9" s="324">
        <f t="shared" ref="DG9:DG37" ca="1" si="51">(0.0435*$AP9+0.02557*$AQ9)/(0.0435*$AP9+0.02557*$AQ9+0.0499*$AR9+0.08226*$AS9)</f>
        <v>0.96809182020190032</v>
      </c>
      <c r="DH9" s="318">
        <f t="shared" ref="DH9:DH37" ca="1" si="52">(0.0499*$AR9)/(0.0435*$AP9+0.02557*$AQ9+0.0499*$AR9+0.08226*AS9)</f>
        <v>2.5582322529686688E-2</v>
      </c>
      <c r="DI9" s="318">
        <f t="shared" ref="DI9:DI37" ca="1" si="53">(0.08226*$AS9)/(0.0435*$AP9+0.02557*$AQ9+0.0499*$AR9+0.08226*$AS9)</f>
        <v>6.3258572684129072E-3</v>
      </c>
      <c r="DJ9" s="319">
        <f t="shared" ref="DJ9:DJ37" ca="1" si="54">IF(ISERROR(DG9),-1,0.5774*DI9+1.1547*DG9)</f>
        <v>1.121508174773916</v>
      </c>
      <c r="DK9" s="320">
        <f t="shared" ref="DK9:DK37" ca="1" si="55">IF(ISERROR(DG9),-1,DI9)</f>
        <v>6.3258572684129072E-3</v>
      </c>
      <c r="DL9" s="324">
        <f t="shared" ref="DL9:DL37" ca="1" si="56">(0.02821*$AV9)/(0.02821*$AV9+0.01639*$AY9+0.02082*$AX9)</f>
        <v>0.98150513690970265</v>
      </c>
      <c r="DM9" s="318">
        <f t="shared" ref="DM9:DM37" ca="1" si="57">(0.01639*$AY9)/(0.02821*$AV9+0.01639*$AY9+0.02082*$AX9)</f>
        <v>8.1464876659492706E-3</v>
      </c>
      <c r="DN9" s="318">
        <f t="shared" ref="DN9:DN37" ca="1" si="58">(0.02082*$AX9)/(0.02821*$AV9+0.01639*$AY9+0.02082*$AX9)</f>
        <v>1.0348375424348008E-2</v>
      </c>
      <c r="DO9" s="319">
        <f ca="1">IF(ISERROR(DL9),-1,Tgrid!$A$46+0.5774*DN9+1.1547*DL9)</f>
        <v>2.4940191335596524</v>
      </c>
      <c r="DP9" s="320">
        <f t="shared" ref="DP9:DP37" ca="1" si="59">IF(ISERROR(DL9),-1,DN9)</f>
        <v>1.0348375424348008E-2</v>
      </c>
      <c r="DQ9" s="325">
        <f t="shared" ref="DQ9:DQ37" ca="1" si="60">DG9</f>
        <v>0.96809182020190032</v>
      </c>
      <c r="DR9" s="326">
        <f t="shared" ref="DR9:DR37" ca="1" si="61">DM9</f>
        <v>8.1464876659492706E-3</v>
      </c>
      <c r="DS9" s="319">
        <f ca="1">IF(ISERROR(DQ9),-1,0.5*Tgrid!$B$42+0.5774*(2+DQ9-DR9))</f>
        <v>1.8090724350062584</v>
      </c>
      <c r="DT9" s="320">
        <f ca="1">IF(ISERROR(DQ9),-1,2+Tgrid!$B$54-DQ9-DR9)</f>
        <v>1.1969616921321504</v>
      </c>
    </row>
    <row r="10" spans="1:124" s="52" customFormat="1" ht="14.25" customHeight="1">
      <c r="A10" s="359" t="s">
        <v>169</v>
      </c>
      <c r="B10" s="355"/>
      <c r="C10" s="362"/>
      <c r="D10" s="366" t="s">
        <v>171</v>
      </c>
      <c r="E10" s="366"/>
      <c r="F10" s="366"/>
      <c r="G10" s="366"/>
      <c r="H10" s="366">
        <v>230</v>
      </c>
      <c r="I10" s="373"/>
      <c r="J10" s="381">
        <v>7.1</v>
      </c>
      <c r="K10" s="381">
        <v>10.9</v>
      </c>
      <c r="L10" s="382">
        <v>880</v>
      </c>
      <c r="M10" s="382">
        <v>75</v>
      </c>
      <c r="N10" s="383">
        <v>3</v>
      </c>
      <c r="O10" s="384">
        <v>0.1</v>
      </c>
      <c r="P10" s="382">
        <v>385</v>
      </c>
      <c r="Q10" s="382">
        <v>895</v>
      </c>
      <c r="R10" s="382">
        <v>1240</v>
      </c>
      <c r="S10" s="382"/>
      <c r="T10" s="382">
        <v>26</v>
      </c>
      <c r="U10" s="382">
        <v>310</v>
      </c>
      <c r="V10" s="383"/>
      <c r="W10" s="383"/>
      <c r="X10" s="381"/>
      <c r="Y10" s="384">
        <v>0.3</v>
      </c>
      <c r="Z10" s="384">
        <v>0.75</v>
      </c>
      <c r="AA10" s="381"/>
      <c r="AB10" s="381"/>
      <c r="AC10" s="381"/>
      <c r="AD10" s="381"/>
      <c r="AE10" s="381"/>
      <c r="AF10" s="387"/>
      <c r="AG10" s="387"/>
      <c r="AH10" s="308" t="str">
        <f t="shared" ca="1" si="0"/>
        <v>NG</v>
      </c>
      <c r="AI10" s="71">
        <f t="shared" ca="1" si="1"/>
        <v>0</v>
      </c>
      <c r="AJ10" s="71">
        <f t="shared" ca="1" si="1"/>
        <v>0</v>
      </c>
      <c r="AK10" s="71">
        <f t="shared" ca="1" si="1"/>
        <v>0</v>
      </c>
      <c r="AL10" s="71">
        <f t="shared" ca="1" si="1"/>
        <v>230</v>
      </c>
      <c r="AM10" s="71">
        <f t="shared" ca="1" si="1"/>
        <v>0</v>
      </c>
      <c r="AN10" s="71">
        <f t="shared" ca="1" si="1"/>
        <v>7.1</v>
      </c>
      <c r="AO10" s="71">
        <f t="shared" ca="1" si="2"/>
        <v>10.9</v>
      </c>
      <c r="AP10" s="71">
        <f t="shared" ca="1" si="2"/>
        <v>880</v>
      </c>
      <c r="AQ10" s="71">
        <f t="shared" ca="1" si="2"/>
        <v>75</v>
      </c>
      <c r="AR10" s="71">
        <f t="shared" ca="1" si="2"/>
        <v>3</v>
      </c>
      <c r="AS10" s="213">
        <f t="shared" ca="1" si="2"/>
        <v>0.1</v>
      </c>
      <c r="AT10" s="71">
        <f t="shared" ca="1" si="2"/>
        <v>385</v>
      </c>
      <c r="AU10" s="71">
        <f t="shared" ca="1" si="2"/>
        <v>895</v>
      </c>
      <c r="AV10" s="71">
        <f t="shared" ca="1" si="2"/>
        <v>1240</v>
      </c>
      <c r="AW10" s="71">
        <f t="shared" ca="1" si="2"/>
        <v>0</v>
      </c>
      <c r="AX10" s="71">
        <f t="shared" ca="1" si="2"/>
        <v>26</v>
      </c>
      <c r="AY10" s="71">
        <f t="shared" ca="1" si="3"/>
        <v>310</v>
      </c>
      <c r="AZ10" s="71">
        <f t="shared" ca="1" si="3"/>
        <v>0</v>
      </c>
      <c r="BA10" s="71">
        <f t="shared" ca="1" si="3"/>
        <v>0</v>
      </c>
      <c r="BB10" s="71">
        <f t="shared" ca="1" si="3"/>
        <v>0</v>
      </c>
      <c r="BC10" s="71">
        <f t="shared" ca="1" si="3"/>
        <v>0.3</v>
      </c>
      <c r="BD10" s="71">
        <f t="shared" ca="1" si="3"/>
        <v>0.75</v>
      </c>
      <c r="BE10" s="71">
        <f t="shared" ca="1" si="3"/>
        <v>0</v>
      </c>
      <c r="BF10" s="71">
        <f t="shared" ca="1" si="3"/>
        <v>0</v>
      </c>
      <c r="BG10" s="71">
        <f t="shared" ca="1" si="3"/>
        <v>0</v>
      </c>
      <c r="BH10" s="71">
        <f t="shared" ca="1" si="3"/>
        <v>0</v>
      </c>
      <c r="BI10" s="71">
        <f t="shared" ca="1" si="3"/>
        <v>0</v>
      </c>
      <c r="BJ10" s="71">
        <f t="shared" ca="1" si="4"/>
        <v>0</v>
      </c>
      <c r="BK10" s="71">
        <f t="shared" ca="1" si="24"/>
        <v>99</v>
      </c>
      <c r="BL10" s="71" t="str">
        <f t="shared" ca="1" si="25"/>
        <v/>
      </c>
      <c r="BM10" s="268">
        <f t="shared" ca="1" si="26"/>
        <v>41.926553797360882</v>
      </c>
      <c r="BN10" s="268">
        <f t="shared" ca="1" si="27"/>
        <v>40.602619999999995</v>
      </c>
      <c r="BO10" s="269">
        <f t="shared" ca="1" si="28"/>
        <v>1.6042009588168493E-2</v>
      </c>
      <c r="BP10" s="264"/>
      <c r="BQ10" s="261">
        <f t="shared" ca="1" si="5"/>
        <v>5.2508998517891169E-2</v>
      </c>
      <c r="BR10" s="261">
        <f t="shared" ca="1" si="6"/>
        <v>0</v>
      </c>
      <c r="BS10" s="261">
        <f t="shared" ca="1" si="7"/>
        <v>0.94749100148210885</v>
      </c>
      <c r="BT10" s="262">
        <f t="shared" ca="1" si="8"/>
        <v>1.1243865551556214</v>
      </c>
      <c r="BU10" s="263">
        <f t="shared" ca="1" si="29"/>
        <v>5.2508998517891169E-2</v>
      </c>
      <c r="BV10" s="261">
        <f t="shared" ca="1" si="9"/>
        <v>5.0192268771503741E-2</v>
      </c>
      <c r="BW10" s="261">
        <f t="shared" ca="1" si="10"/>
        <v>4.4120623355596036E-2</v>
      </c>
      <c r="BX10" s="261">
        <f t="shared" ca="1" si="11"/>
        <v>0.90568710787290019</v>
      </c>
      <c r="BY10" s="262">
        <f t="shared" ca="1" si="12"/>
        <v>1.0747779194495042</v>
      </c>
      <c r="BZ10" s="263">
        <f t="shared" ca="1" si="30"/>
        <v>5.0192268771503741E-2</v>
      </c>
      <c r="CA10" s="261">
        <f t="shared" ca="1" si="13"/>
        <v>0.55612244897959184</v>
      </c>
      <c r="CB10" s="261">
        <f t="shared" ca="1" si="14"/>
        <v>6.1224489795918359E-2</v>
      </c>
      <c r="CC10" s="261">
        <f t="shared" ca="1" si="15"/>
        <v>0.38265306122448978</v>
      </c>
      <c r="CD10" s="262">
        <f t="shared" ca="1" si="16"/>
        <v>0.76295459183673464</v>
      </c>
      <c r="CE10" s="263">
        <f t="shared" ca="1" si="31"/>
        <v>0.55612244897959184</v>
      </c>
      <c r="CF10" s="261">
        <f t="shared" ca="1" si="17"/>
        <v>0.78680203045685282</v>
      </c>
      <c r="CG10" s="261">
        <f t="shared" ca="1" si="18"/>
        <v>1.6497461928934011E-2</v>
      </c>
      <c r="CH10" s="261">
        <f t="shared" ca="1" si="19"/>
        <v>0.1967005076142132</v>
      </c>
      <c r="CI10" s="262">
        <f t="shared" ca="1" si="20"/>
        <v>0.68142956852791881</v>
      </c>
      <c r="CJ10" s="263">
        <f t="shared" ca="1" si="32"/>
        <v>0.78680203045685282</v>
      </c>
      <c r="CK10" s="310">
        <f t="shared" ca="1" si="33"/>
        <v>10.9</v>
      </c>
      <c r="CL10" s="310">
        <f t="shared" ca="1" si="34"/>
        <v>0.3</v>
      </c>
      <c r="CM10" s="310">
        <f t="shared" ca="1" si="35"/>
        <v>0.75</v>
      </c>
      <c r="CN10" s="296">
        <f t="shared" ca="1" si="36"/>
        <v>0.55612244897959184</v>
      </c>
      <c r="CO10" s="261">
        <f t="shared" ca="1" si="37"/>
        <v>6.1224489795918359E-2</v>
      </c>
      <c r="CP10" s="261">
        <f t="shared" ca="1" si="38"/>
        <v>0.38265306122448978</v>
      </c>
      <c r="CQ10" s="262">
        <f t="shared" ca="1" si="21"/>
        <v>0.76295459183673464</v>
      </c>
      <c r="CR10" s="263">
        <f t="shared" ca="1" si="39"/>
        <v>0.55612244897959184</v>
      </c>
      <c r="CS10" s="261">
        <f t="shared" ca="1" si="40"/>
        <v>0.45215673898282399</v>
      </c>
      <c r="CT10" s="261">
        <f t="shared" ca="1" si="41"/>
        <v>0.38536085708763407</v>
      </c>
      <c r="CU10" s="261">
        <f t="shared" ca="1" si="42"/>
        <v>0.16248240392954197</v>
      </c>
      <c r="CV10" s="262">
        <f t="shared" ca="1" si="22"/>
        <v>0.44869373290612469</v>
      </c>
      <c r="CW10" s="263">
        <f t="shared" ca="1" si="43"/>
        <v>0.45215673898282399</v>
      </c>
      <c r="CX10" s="264"/>
      <c r="CY10" s="265">
        <f t="shared" ca="1" si="44"/>
        <v>4.7501225267834002</v>
      </c>
      <c r="CZ10" s="266">
        <f t="shared" ca="1" si="45"/>
        <v>3.2730012720637376</v>
      </c>
      <c r="DA10" s="265">
        <f t="shared" ca="1" si="46"/>
        <v>0.25</v>
      </c>
      <c r="DB10" s="265">
        <f t="shared" ca="1" si="47"/>
        <v>0.46012269938650308</v>
      </c>
      <c r="DC10" s="267">
        <f t="shared" ca="1" si="48"/>
        <v>231.66205514320788</v>
      </c>
      <c r="DD10" s="330">
        <f t="shared" ca="1" si="49"/>
        <v>1240</v>
      </c>
      <c r="DE10" s="267">
        <f t="shared" ca="1" si="23"/>
        <v>999.55138188286605</v>
      </c>
      <c r="DF10" s="330">
        <f t="shared" ca="1" si="50"/>
        <v>991.7736872224807</v>
      </c>
      <c r="DG10" s="324">
        <f t="shared" ca="1" si="51"/>
        <v>0.99608664714227546</v>
      </c>
      <c r="DH10" s="318">
        <f t="shared" ca="1" si="52"/>
        <v>3.709515360367152E-3</v>
      </c>
      <c r="DI10" s="318">
        <f t="shared" ca="1" si="53"/>
        <v>2.0383749735724911E-4</v>
      </c>
      <c r="DJ10" s="319">
        <f t="shared" ca="1" si="54"/>
        <v>1.1502989472261596</v>
      </c>
      <c r="DK10" s="320">
        <f t="shared" ca="1" si="55"/>
        <v>2.0383749735724911E-4</v>
      </c>
      <c r="DL10" s="324">
        <f t="shared" ca="1" si="56"/>
        <v>0.86153061058621339</v>
      </c>
      <c r="DM10" s="318">
        <f t="shared" ca="1" si="57"/>
        <v>0.12513724483789471</v>
      </c>
      <c r="DN10" s="318">
        <f t="shared" ca="1" si="58"/>
        <v>1.3332144575891903E-2</v>
      </c>
      <c r="DO10" s="319">
        <f ca="1">IF(ISERROR(DL10),-1,Tgrid!$A$46+0.5774*DN10+1.1547*DL10)</f>
        <v>2.3572073763220205</v>
      </c>
      <c r="DP10" s="320">
        <f t="shared" ca="1" si="59"/>
        <v>1.3332144575891903E-2</v>
      </c>
      <c r="DQ10" s="325">
        <f t="shared" ca="1" si="60"/>
        <v>0.99608664714227546</v>
      </c>
      <c r="DR10" s="326">
        <f t="shared" ca="1" si="61"/>
        <v>0.12513724483789471</v>
      </c>
      <c r="DS10" s="319">
        <f ca="1">IF(ISERROR(DQ10),-1,0.5*Tgrid!$B$42+0.5774*(2+DQ10-DR10))</f>
        <v>1.7576861848905494</v>
      </c>
      <c r="DT10" s="320">
        <f ca="1">IF(ISERROR(DQ10),-1,2+Tgrid!$B$54-DQ10-DR10)</f>
        <v>1.05197610801983</v>
      </c>
    </row>
    <row r="11" spans="1:124" s="52" customFormat="1">
      <c r="A11" s="359" t="s">
        <v>170</v>
      </c>
      <c r="B11" s="355"/>
      <c r="C11" s="362"/>
      <c r="D11" s="366" t="s">
        <v>173</v>
      </c>
      <c r="E11" s="366"/>
      <c r="F11" s="369"/>
      <c r="G11" s="366"/>
      <c r="H11" s="366">
        <v>80</v>
      </c>
      <c r="I11" s="373"/>
      <c r="J11" s="387">
        <v>7.2</v>
      </c>
      <c r="K11" s="381">
        <v>10.4</v>
      </c>
      <c r="L11" s="382">
        <v>910</v>
      </c>
      <c r="M11" s="382">
        <v>64</v>
      </c>
      <c r="N11" s="383">
        <v>11</v>
      </c>
      <c r="O11" s="384">
        <v>1.4</v>
      </c>
      <c r="P11" s="385">
        <v>150</v>
      </c>
      <c r="Q11" s="382">
        <v>850</v>
      </c>
      <c r="R11" s="382">
        <v>1290</v>
      </c>
      <c r="S11" s="382"/>
      <c r="T11" s="382">
        <v>446</v>
      </c>
      <c r="U11" s="382">
        <v>330</v>
      </c>
      <c r="V11" s="387"/>
      <c r="W11" s="383"/>
      <c r="X11" s="387"/>
      <c r="Y11" s="384">
        <v>0.28999999999999998</v>
      </c>
      <c r="Z11" s="384">
        <v>0.6</v>
      </c>
      <c r="AA11" s="387"/>
      <c r="AB11" s="387"/>
      <c r="AC11" s="387"/>
      <c r="AD11" s="387"/>
      <c r="AE11" s="388"/>
      <c r="AF11" s="387"/>
      <c r="AG11" s="387"/>
      <c r="AH11" s="308" t="str">
        <f t="shared" ca="1" si="0"/>
        <v>ng</v>
      </c>
      <c r="AI11" s="71">
        <f t="shared" ca="1" si="1"/>
        <v>0</v>
      </c>
      <c r="AJ11" s="71">
        <f t="shared" ca="1" si="1"/>
        <v>0</v>
      </c>
      <c r="AK11" s="71">
        <f t="shared" ca="1" si="1"/>
        <v>0</v>
      </c>
      <c r="AL11" s="71">
        <f t="shared" ca="1" si="1"/>
        <v>80</v>
      </c>
      <c r="AM11" s="71">
        <f t="shared" ca="1" si="1"/>
        <v>0</v>
      </c>
      <c r="AN11" s="71">
        <f t="shared" ca="1" si="1"/>
        <v>7.2</v>
      </c>
      <c r="AO11" s="71">
        <f t="shared" ca="1" si="2"/>
        <v>10.4</v>
      </c>
      <c r="AP11" s="71">
        <f t="shared" ca="1" si="2"/>
        <v>910</v>
      </c>
      <c r="AQ11" s="71">
        <f t="shared" ca="1" si="2"/>
        <v>64</v>
      </c>
      <c r="AR11" s="71">
        <f t="shared" ca="1" si="2"/>
        <v>11</v>
      </c>
      <c r="AS11" s="213">
        <f t="shared" ca="1" si="2"/>
        <v>1.4</v>
      </c>
      <c r="AT11" s="71">
        <f t="shared" ca="1" si="2"/>
        <v>150</v>
      </c>
      <c r="AU11" s="71">
        <f t="shared" ca="1" si="2"/>
        <v>850</v>
      </c>
      <c r="AV11" s="71">
        <f t="shared" ca="1" si="2"/>
        <v>1290</v>
      </c>
      <c r="AW11" s="71">
        <f t="shared" ca="1" si="2"/>
        <v>0</v>
      </c>
      <c r="AX11" s="71">
        <f t="shared" ca="1" si="2"/>
        <v>446</v>
      </c>
      <c r="AY11" s="71">
        <f t="shared" ca="1" si="3"/>
        <v>330</v>
      </c>
      <c r="AZ11" s="71">
        <f t="shared" ca="1" si="3"/>
        <v>0</v>
      </c>
      <c r="BA11" s="71">
        <f t="shared" ca="1" si="3"/>
        <v>0</v>
      </c>
      <c r="BB11" s="71">
        <f t="shared" ca="1" si="3"/>
        <v>0</v>
      </c>
      <c r="BC11" s="71">
        <f t="shared" ca="1" si="3"/>
        <v>0.28999999999999998</v>
      </c>
      <c r="BD11" s="71">
        <f t="shared" ca="1" si="3"/>
        <v>0.6</v>
      </c>
      <c r="BE11" s="71">
        <f t="shared" ca="1" si="3"/>
        <v>0</v>
      </c>
      <c r="BF11" s="71">
        <f t="shared" ca="1" si="3"/>
        <v>0</v>
      </c>
      <c r="BG11" s="71">
        <f t="shared" ca="1" si="3"/>
        <v>0</v>
      </c>
      <c r="BH11" s="71">
        <f t="shared" ca="1" si="3"/>
        <v>0</v>
      </c>
      <c r="BI11" s="71">
        <f t="shared" ca="1" si="3"/>
        <v>0</v>
      </c>
      <c r="BJ11" s="71">
        <f t="shared" ca="1" si="4"/>
        <v>0</v>
      </c>
      <c r="BK11" s="71">
        <f t="shared" ca="1" si="24"/>
        <v>99</v>
      </c>
      <c r="BL11" s="71" t="str">
        <f t="shared" ca="1" si="25"/>
        <v/>
      </c>
      <c r="BM11" s="268">
        <f t="shared" ca="1" si="26"/>
        <v>43.384350590968573</v>
      </c>
      <c r="BN11" s="268">
        <f t="shared" ca="1" si="27"/>
        <v>51.085319999999996</v>
      </c>
      <c r="BO11" s="269">
        <f t="shared" ca="1" si="28"/>
        <v>-8.1517902633267414E-2</v>
      </c>
      <c r="BP11" s="264"/>
      <c r="BQ11" s="261">
        <f t="shared" ca="1" si="5"/>
        <v>5.7231588287488908E-2</v>
      </c>
      <c r="BR11" s="261">
        <f t="shared" ca="1" si="6"/>
        <v>0</v>
      </c>
      <c r="BS11" s="261">
        <f t="shared" ca="1" si="7"/>
        <v>0.94276841171251113</v>
      </c>
      <c r="BT11" s="262">
        <f t="shared" ca="1" si="8"/>
        <v>1.1216602040816328</v>
      </c>
      <c r="BU11" s="263">
        <f t="shared" ca="1" si="29"/>
        <v>5.7231588287488908E-2</v>
      </c>
      <c r="BV11" s="261">
        <f t="shared" ca="1" si="9"/>
        <v>5.4707379134860054E-2</v>
      </c>
      <c r="BW11" s="261">
        <f t="shared" ca="1" si="10"/>
        <v>4.4105173876166241E-2</v>
      </c>
      <c r="BX11" s="261">
        <f t="shared" ca="1" si="11"/>
        <v>0.90118744698897368</v>
      </c>
      <c r="BY11" s="262">
        <f t="shared" ca="1" si="12"/>
        <v>1.0721891857506363</v>
      </c>
      <c r="BZ11" s="263">
        <f t="shared" ca="1" si="30"/>
        <v>5.4707379134860054E-2</v>
      </c>
      <c r="CA11" s="261">
        <f t="shared" ca="1" si="13"/>
        <v>0.592255125284738</v>
      </c>
      <c r="CB11" s="261">
        <f t="shared" ca="1" si="14"/>
        <v>6.6059225512528463E-2</v>
      </c>
      <c r="CC11" s="261">
        <f t="shared" ca="1" si="15"/>
        <v>0.34168564920273342</v>
      </c>
      <c r="CD11" s="262">
        <f t="shared" ca="1" si="16"/>
        <v>0.73651252847380411</v>
      </c>
      <c r="CE11" s="263">
        <f t="shared" ca="1" si="31"/>
        <v>0.592255125284738</v>
      </c>
      <c r="CF11" s="261">
        <f t="shared" ca="1" si="17"/>
        <v>0.62439496611810263</v>
      </c>
      <c r="CG11" s="261">
        <f t="shared" ca="1" si="18"/>
        <v>0.2158760890609874</v>
      </c>
      <c r="CH11" s="261">
        <f t="shared" ca="1" si="19"/>
        <v>0.15972894482090996</v>
      </c>
      <c r="CI11" s="262">
        <f t="shared" ca="1" si="20"/>
        <v>0.54496466602129723</v>
      </c>
      <c r="CJ11" s="263">
        <f t="shared" ca="1" si="32"/>
        <v>0.62439496611810263</v>
      </c>
      <c r="CK11" s="310">
        <f t="shared" ca="1" si="33"/>
        <v>10.4</v>
      </c>
      <c r="CL11" s="310">
        <f t="shared" ca="1" si="34"/>
        <v>0.28999999999999998</v>
      </c>
      <c r="CM11" s="310">
        <f t="shared" ca="1" si="35"/>
        <v>0.6</v>
      </c>
      <c r="CN11" s="296">
        <f t="shared" ca="1" si="36"/>
        <v>0.592255125284738</v>
      </c>
      <c r="CO11" s="261">
        <f t="shared" ca="1" si="37"/>
        <v>6.6059225512528463E-2</v>
      </c>
      <c r="CP11" s="261">
        <f t="shared" ca="1" si="38"/>
        <v>0.34168564920273342</v>
      </c>
      <c r="CQ11" s="262">
        <f t="shared" ca="1" si="21"/>
        <v>0.73651252847380411</v>
      </c>
      <c r="CR11" s="263">
        <f t="shared" ca="1" si="39"/>
        <v>0.592255125284738</v>
      </c>
      <c r="CS11" s="261">
        <f t="shared" ca="1" si="40"/>
        <v>0.33294112665922182</v>
      </c>
      <c r="CT11" s="261">
        <f t="shared" ca="1" si="41"/>
        <v>0.23415639677132083</v>
      </c>
      <c r="CU11" s="261">
        <f t="shared" ca="1" si="42"/>
        <v>0.4329024765694573</v>
      </c>
      <c r="CV11" s="262">
        <f t="shared" ca="1" si="22"/>
        <v>0.69211269622778704</v>
      </c>
      <c r="CW11" s="263">
        <f t="shared" ca="1" si="43"/>
        <v>0.33294112665922182</v>
      </c>
      <c r="CX11" s="264"/>
      <c r="CY11" s="265">
        <f t="shared" ca="1" si="44"/>
        <v>3.466231912289536</v>
      </c>
      <c r="CZ11" s="266">
        <f t="shared" ca="1" si="45"/>
        <v>2.5709672628095488</v>
      </c>
      <c r="DA11" s="265">
        <f t="shared" ca="1" si="46"/>
        <v>0.56000000000000005</v>
      </c>
      <c r="DB11" s="265">
        <f t="shared" ca="1" si="47"/>
        <v>0.41290322580645161</v>
      </c>
      <c r="DC11" s="267">
        <f t="shared" ca="1" si="48"/>
        <v>161.49585780009537</v>
      </c>
      <c r="DD11" s="330">
        <f t="shared" ca="1" si="49"/>
        <v>1290</v>
      </c>
      <c r="DE11" s="267">
        <f t="shared" ca="1" si="23"/>
        <v>681.924144302022</v>
      </c>
      <c r="DF11" s="330">
        <f t="shared" ca="1" si="50"/>
        <v>336.2332095272302</v>
      </c>
      <c r="DG11" s="324">
        <f t="shared" ca="1" si="51"/>
        <v>0.9841457472773899</v>
      </c>
      <c r="DH11" s="318">
        <f t="shared" ca="1" si="52"/>
        <v>1.3104759962052778E-2</v>
      </c>
      <c r="DI11" s="318">
        <f t="shared" ca="1" si="53"/>
        <v>2.7494927605571985E-3</v>
      </c>
      <c r="DJ11" s="319">
        <f t="shared" ca="1" si="54"/>
        <v>1.1379806515011479</v>
      </c>
      <c r="DK11" s="320">
        <f t="shared" ca="1" si="55"/>
        <v>2.7494927605571985E-3</v>
      </c>
      <c r="DL11" s="324">
        <f t="shared" ca="1" si="56"/>
        <v>0.71235533025926046</v>
      </c>
      <c r="DM11" s="318">
        <f t="shared" ca="1" si="57"/>
        <v>0.10587581716234723</v>
      </c>
      <c r="DN11" s="318">
        <f t="shared" ca="1" si="58"/>
        <v>0.18176885257839243</v>
      </c>
      <c r="DO11" s="319">
        <f ca="1">IF(ISERROR(DL11),-1,Tgrid!$A$46+0.5774*DN11+1.1547*DL11)</f>
        <v>2.2822100353291317</v>
      </c>
      <c r="DP11" s="320">
        <f t="shared" ca="1" si="59"/>
        <v>0.18176885257839243</v>
      </c>
      <c r="DQ11" s="325">
        <f t="shared" ca="1" si="60"/>
        <v>0.9841457472773899</v>
      </c>
      <c r="DR11" s="326">
        <f t="shared" ca="1" si="61"/>
        <v>0.10587581716234723</v>
      </c>
      <c r="DS11" s="319">
        <f ca="1">IF(ISERROR(DQ11),-1,0.5*Tgrid!$B$42+0.5774*(2+DQ11-DR11))</f>
        <v>1.7619130576484259</v>
      </c>
      <c r="DT11" s="320">
        <f ca="1">IF(ISERROR(DQ11),-1,2+Tgrid!$B$54-DQ11-DR11)</f>
        <v>1.0831784355602627</v>
      </c>
    </row>
    <row r="12" spans="1:124" s="52" customFormat="1">
      <c r="A12" s="359" t="s">
        <v>174</v>
      </c>
      <c r="B12" s="355"/>
      <c r="C12" s="362"/>
      <c r="D12" s="366" t="s">
        <v>175</v>
      </c>
      <c r="E12" s="366"/>
      <c r="F12" s="366"/>
      <c r="G12" s="366"/>
      <c r="H12" s="366">
        <v>300</v>
      </c>
      <c r="I12" s="373"/>
      <c r="J12" s="381">
        <v>8.4</v>
      </c>
      <c r="K12" s="381">
        <v>8.1</v>
      </c>
      <c r="L12" s="382">
        <v>1030</v>
      </c>
      <c r="M12" s="382">
        <v>210</v>
      </c>
      <c r="N12" s="383">
        <v>11</v>
      </c>
      <c r="O12" s="384">
        <v>0.01</v>
      </c>
      <c r="P12" s="382">
        <v>890</v>
      </c>
      <c r="Q12" s="382">
        <v>45</v>
      </c>
      <c r="R12" s="382">
        <v>1700</v>
      </c>
      <c r="S12" s="382"/>
      <c r="T12" s="382">
        <v>61</v>
      </c>
      <c r="U12" s="382">
        <v>150</v>
      </c>
      <c r="V12" s="383"/>
      <c r="W12" s="383"/>
      <c r="X12" s="381"/>
      <c r="Y12" s="384">
        <v>1.9</v>
      </c>
      <c r="Z12" s="384">
        <v>2</v>
      </c>
      <c r="AA12" s="381"/>
      <c r="AB12" s="381"/>
      <c r="AC12" s="381"/>
      <c r="AD12" s="381"/>
      <c r="AE12" s="381"/>
      <c r="AF12" s="387"/>
      <c r="AG12" s="387"/>
      <c r="AH12" s="308" t="str">
        <f t="shared" ca="1" si="0"/>
        <v>ZU</v>
      </c>
      <c r="AI12" s="71">
        <f t="shared" ca="1" si="1"/>
        <v>0</v>
      </c>
      <c r="AJ12" s="71">
        <f t="shared" ca="1" si="1"/>
        <v>0</v>
      </c>
      <c r="AK12" s="71">
        <f t="shared" ca="1" si="1"/>
        <v>0</v>
      </c>
      <c r="AL12" s="71">
        <f t="shared" ca="1" si="1"/>
        <v>300</v>
      </c>
      <c r="AM12" s="71">
        <f t="shared" ca="1" si="1"/>
        <v>0</v>
      </c>
      <c r="AN12" s="71">
        <f t="shared" ca="1" si="1"/>
        <v>8.4</v>
      </c>
      <c r="AO12" s="71">
        <f t="shared" ca="1" si="2"/>
        <v>8.1</v>
      </c>
      <c r="AP12" s="71">
        <f t="shared" ca="1" si="2"/>
        <v>1030</v>
      </c>
      <c r="AQ12" s="71">
        <f t="shared" ca="1" si="2"/>
        <v>210</v>
      </c>
      <c r="AR12" s="71">
        <f t="shared" ca="1" si="2"/>
        <v>11</v>
      </c>
      <c r="AS12" s="213">
        <f t="shared" ca="1" si="2"/>
        <v>0.01</v>
      </c>
      <c r="AT12" s="71">
        <f t="shared" ca="1" si="2"/>
        <v>890</v>
      </c>
      <c r="AU12" s="71">
        <f t="shared" ca="1" si="2"/>
        <v>45</v>
      </c>
      <c r="AV12" s="71">
        <f t="shared" ca="1" si="2"/>
        <v>1700</v>
      </c>
      <c r="AW12" s="71">
        <f t="shared" ca="1" si="2"/>
        <v>0</v>
      </c>
      <c r="AX12" s="71">
        <f t="shared" ca="1" si="2"/>
        <v>61</v>
      </c>
      <c r="AY12" s="71">
        <f t="shared" ca="1" si="3"/>
        <v>150</v>
      </c>
      <c r="AZ12" s="71">
        <f t="shared" ca="1" si="3"/>
        <v>0</v>
      </c>
      <c r="BA12" s="71">
        <f t="shared" ca="1" si="3"/>
        <v>0</v>
      </c>
      <c r="BB12" s="71">
        <f t="shared" ca="1" si="3"/>
        <v>0</v>
      </c>
      <c r="BC12" s="71">
        <f t="shared" ca="1" si="3"/>
        <v>1.9</v>
      </c>
      <c r="BD12" s="71">
        <f t="shared" ca="1" si="3"/>
        <v>2</v>
      </c>
      <c r="BE12" s="71">
        <f t="shared" ca="1" si="3"/>
        <v>0</v>
      </c>
      <c r="BF12" s="71">
        <f t="shared" ca="1" si="3"/>
        <v>0</v>
      </c>
      <c r="BG12" s="71">
        <f t="shared" ca="1" si="3"/>
        <v>0</v>
      </c>
      <c r="BH12" s="71">
        <f t="shared" ca="1" si="3"/>
        <v>0</v>
      </c>
      <c r="BI12" s="71">
        <f t="shared" ca="1" si="3"/>
        <v>0</v>
      </c>
      <c r="BJ12" s="71">
        <f t="shared" ca="1" si="4"/>
        <v>0</v>
      </c>
      <c r="BK12" s="71">
        <f t="shared" ca="1" si="24"/>
        <v>99</v>
      </c>
      <c r="BL12" s="71" t="str">
        <f t="shared" ca="1" si="25"/>
        <v/>
      </c>
      <c r="BM12" s="268">
        <f t="shared" ca="1" si="26"/>
        <v>51.891717549223138</v>
      </c>
      <c r="BN12" s="268">
        <f t="shared" ca="1" si="27"/>
        <v>51.685520000000004</v>
      </c>
      <c r="BO12" s="269">
        <f t="shared" ca="1" si="28"/>
        <v>1.9907612338583808E-3</v>
      </c>
      <c r="BP12" s="264"/>
      <c r="BQ12" s="261">
        <f t="shared" ca="1" si="5"/>
        <v>0.60176991150442483</v>
      </c>
      <c r="BR12" s="261">
        <f t="shared" ca="1" si="6"/>
        <v>0</v>
      </c>
      <c r="BS12" s="261">
        <f t="shared" ca="1" si="7"/>
        <v>0.39823008849557523</v>
      </c>
      <c r="BT12" s="262">
        <f t="shared" ca="1" si="8"/>
        <v>0.80729823008849566</v>
      </c>
      <c r="BU12" s="263">
        <f t="shared" ca="1" si="29"/>
        <v>0.60176991150442483</v>
      </c>
      <c r="BV12" s="261">
        <f t="shared" ca="1" si="9"/>
        <v>0.46767537826685007</v>
      </c>
      <c r="BW12" s="261">
        <f t="shared" ca="1" si="10"/>
        <v>0.22283356258596973</v>
      </c>
      <c r="BX12" s="261">
        <f t="shared" ca="1" si="11"/>
        <v>0.30949105914718017</v>
      </c>
      <c r="BY12" s="262">
        <f t="shared" ca="1" si="12"/>
        <v>0.62740508940852813</v>
      </c>
      <c r="BZ12" s="263">
        <f t="shared" ca="1" si="30"/>
        <v>0.46767537826685007</v>
      </c>
      <c r="CA12" s="261">
        <f t="shared" ca="1" si="13"/>
        <v>0.22689075630252098</v>
      </c>
      <c r="CB12" s="261">
        <f t="shared" ca="1" si="14"/>
        <v>0.21288515406162462</v>
      </c>
      <c r="CC12" s="261">
        <f t="shared" ca="1" si="15"/>
        <v>0.56022408963585435</v>
      </c>
      <c r="CD12" s="262">
        <f t="shared" ca="1" si="16"/>
        <v>0.77789747899159667</v>
      </c>
      <c r="CE12" s="263">
        <f t="shared" ca="1" si="31"/>
        <v>0.22689075630252098</v>
      </c>
      <c r="CF12" s="261">
        <f t="shared" ca="1" si="17"/>
        <v>0.88958660387231814</v>
      </c>
      <c r="CG12" s="261">
        <f t="shared" ca="1" si="18"/>
        <v>3.1920460491889062E-2</v>
      </c>
      <c r="CH12" s="261">
        <f t="shared" ca="1" si="19"/>
        <v>7.8492935635792779E-2</v>
      </c>
      <c r="CI12" s="262">
        <f t="shared" ca="1" si="20"/>
        <v>0.6042830978545265</v>
      </c>
      <c r="CJ12" s="263">
        <f t="shared" ca="1" si="32"/>
        <v>0.88958660387231814</v>
      </c>
      <c r="CK12" s="310">
        <f t="shared" ca="1" si="33"/>
        <v>8.1</v>
      </c>
      <c r="CL12" s="310">
        <f t="shared" ca="1" si="34"/>
        <v>1.9</v>
      </c>
      <c r="CM12" s="310">
        <f t="shared" ca="1" si="35"/>
        <v>2</v>
      </c>
      <c r="CN12" s="296">
        <f t="shared" ca="1" si="36"/>
        <v>0.22689075630252098</v>
      </c>
      <c r="CO12" s="261">
        <f t="shared" ca="1" si="37"/>
        <v>0.21288515406162462</v>
      </c>
      <c r="CP12" s="261">
        <f t="shared" ca="1" si="38"/>
        <v>0.56022408963585435</v>
      </c>
      <c r="CQ12" s="262">
        <f t="shared" ca="1" si="21"/>
        <v>0.77789747899159667</v>
      </c>
      <c r="CR12" s="263">
        <f t="shared" ca="1" si="39"/>
        <v>0.22689075630252098</v>
      </c>
      <c r="CS12" s="261">
        <f t="shared" ca="1" si="40"/>
        <v>0.31888544891640869</v>
      </c>
      <c r="CT12" s="261">
        <f t="shared" ca="1" si="41"/>
        <v>0.65015479876160986</v>
      </c>
      <c r="CU12" s="261">
        <f t="shared" ca="1" si="42"/>
        <v>3.0959752321981424E-2</v>
      </c>
      <c r="CV12" s="262">
        <f t="shared" ca="1" si="22"/>
        <v>0.21987368421052633</v>
      </c>
      <c r="CW12" s="263">
        <f t="shared" ca="1" si="43"/>
        <v>0.31888544891640869</v>
      </c>
      <c r="CX12" s="264"/>
      <c r="CY12" s="265">
        <f t="shared" ca="1" si="44"/>
        <v>6.6444385894678382</v>
      </c>
      <c r="CZ12" s="266">
        <f t="shared" ca="1" si="45"/>
        <v>3.6030459043096128</v>
      </c>
      <c r="DA12" s="265">
        <f t="shared" ca="1" si="46"/>
        <v>9.0090090090090089E-3</v>
      </c>
      <c r="DB12" s="265">
        <f t="shared" ca="1" si="47"/>
        <v>0.67092651757188504</v>
      </c>
      <c r="DC12" s="267">
        <f t="shared" ca="1" si="48"/>
        <v>374.23983762188425</v>
      </c>
      <c r="DD12" s="330">
        <f t="shared" ca="1" si="49"/>
        <v>1700</v>
      </c>
      <c r="DE12" s="267">
        <f t="shared" ca="1" si="23"/>
        <v>1892.4973092426667</v>
      </c>
      <c r="DF12" s="330">
        <f t="shared" ca="1" si="50"/>
        <v>1343.3418514859291</v>
      </c>
      <c r="DG12" s="324">
        <f t="shared" ca="1" si="51"/>
        <v>0.98916256564742044</v>
      </c>
      <c r="DH12" s="318">
        <f t="shared" ca="1" si="52"/>
        <v>1.0821217312387896E-2</v>
      </c>
      <c r="DI12" s="318">
        <f t="shared" ca="1" si="53"/>
        <v>1.6217040191601906E-5</v>
      </c>
      <c r="DJ12" s="319">
        <f t="shared" ca="1" si="54"/>
        <v>1.1421953782720831</v>
      </c>
      <c r="DK12" s="320">
        <f t="shared" ca="1" si="55"/>
        <v>1.6217040191601906E-5</v>
      </c>
      <c r="DL12" s="324">
        <f t="shared" ca="1" si="56"/>
        <v>0.92786142037460384</v>
      </c>
      <c r="DM12" s="318">
        <f t="shared" ca="1" si="57"/>
        <v>4.7566513793418343E-2</v>
      </c>
      <c r="DN12" s="318">
        <f t="shared" ca="1" si="58"/>
        <v>2.4572065831977699E-2</v>
      </c>
      <c r="DO12" s="319">
        <f ca="1">IF(ISERROR(DL12),-1,Tgrid!$A$46+0.5774*DN12+1.1547*DL12)</f>
        <v>2.4402894929179388</v>
      </c>
      <c r="DP12" s="320">
        <f t="shared" ca="1" si="59"/>
        <v>2.4572065831977699E-2</v>
      </c>
      <c r="DQ12" s="325">
        <f t="shared" ca="1" si="60"/>
        <v>0.98916256564742044</v>
      </c>
      <c r="DR12" s="326">
        <f t="shared" ca="1" si="61"/>
        <v>4.7566513793418343E-2</v>
      </c>
      <c r="DS12" s="319">
        <f ca="1">IF(ISERROR(DQ12),-1,0.5*Tgrid!$B$42+0.5774*(2+DQ12-DR12))</f>
        <v>1.798477560340501</v>
      </c>
      <c r="DT12" s="320">
        <f ca="1">IF(ISERROR(DQ12),-1,2+Tgrid!$B$54-DQ12-DR12)</f>
        <v>1.1364709205591614</v>
      </c>
    </row>
    <row r="13" spans="1:124" s="52" customFormat="1">
      <c r="A13" s="359" t="s">
        <v>176</v>
      </c>
      <c r="B13" s="355"/>
      <c r="C13" s="362"/>
      <c r="D13" s="366" t="s">
        <v>177</v>
      </c>
      <c r="E13" s="366"/>
      <c r="F13" s="369"/>
      <c r="G13" s="366"/>
      <c r="H13" s="366">
        <v>87</v>
      </c>
      <c r="I13" s="373"/>
      <c r="J13" s="387">
        <v>8.6999999999999993</v>
      </c>
      <c r="K13" s="381">
        <v>0.6</v>
      </c>
      <c r="L13" s="382">
        <v>260</v>
      </c>
      <c r="M13" s="382">
        <v>37</v>
      </c>
      <c r="N13" s="383">
        <v>43</v>
      </c>
      <c r="O13" s="384">
        <v>43</v>
      </c>
      <c r="P13" s="385">
        <v>200</v>
      </c>
      <c r="Q13" s="382">
        <v>5</v>
      </c>
      <c r="R13" s="382">
        <v>170</v>
      </c>
      <c r="S13" s="382"/>
      <c r="T13" s="382">
        <v>195</v>
      </c>
      <c r="U13" s="382">
        <v>500</v>
      </c>
      <c r="V13" s="387"/>
      <c r="W13" s="383"/>
      <c r="X13" s="387"/>
      <c r="Y13" s="384">
        <v>0.08</v>
      </c>
      <c r="Z13" s="384">
        <v>0.02</v>
      </c>
      <c r="AA13" s="387"/>
      <c r="AB13" s="387"/>
      <c r="AC13" s="387"/>
      <c r="AD13" s="387"/>
      <c r="AE13" s="388"/>
      <c r="AF13" s="387"/>
      <c r="AG13" s="387"/>
      <c r="AH13" s="308" t="str">
        <f t="shared" ca="1" si="0"/>
        <v>zu</v>
      </c>
      <c r="AI13" s="71">
        <f t="shared" ca="1" si="1"/>
        <v>0</v>
      </c>
      <c r="AJ13" s="71">
        <f t="shared" ca="1" si="1"/>
        <v>0</v>
      </c>
      <c r="AK13" s="71">
        <f t="shared" ca="1" si="1"/>
        <v>0</v>
      </c>
      <c r="AL13" s="71">
        <f t="shared" ca="1" si="1"/>
        <v>87</v>
      </c>
      <c r="AM13" s="71">
        <f t="shared" ca="1" si="1"/>
        <v>0</v>
      </c>
      <c r="AN13" s="71">
        <f t="shared" ca="1" si="1"/>
        <v>8.6999999999999993</v>
      </c>
      <c r="AO13" s="71">
        <f t="shared" ca="1" si="2"/>
        <v>0.6</v>
      </c>
      <c r="AP13" s="71">
        <f t="shared" ca="1" si="2"/>
        <v>260</v>
      </c>
      <c r="AQ13" s="71">
        <f t="shared" ca="1" si="2"/>
        <v>37</v>
      </c>
      <c r="AR13" s="71">
        <f t="shared" ca="1" si="2"/>
        <v>43</v>
      </c>
      <c r="AS13" s="213">
        <f t="shared" ca="1" si="2"/>
        <v>43</v>
      </c>
      <c r="AT13" s="71">
        <f t="shared" ca="1" si="2"/>
        <v>200</v>
      </c>
      <c r="AU13" s="71">
        <f t="shared" ca="1" si="2"/>
        <v>5</v>
      </c>
      <c r="AV13" s="71">
        <f t="shared" ca="1" si="2"/>
        <v>170</v>
      </c>
      <c r="AW13" s="71">
        <f t="shared" ca="1" si="2"/>
        <v>0</v>
      </c>
      <c r="AX13" s="71">
        <f t="shared" ca="1" si="2"/>
        <v>195</v>
      </c>
      <c r="AY13" s="71">
        <f t="shared" ca="1" si="3"/>
        <v>500</v>
      </c>
      <c r="AZ13" s="71">
        <f t="shared" ca="1" si="3"/>
        <v>0</v>
      </c>
      <c r="BA13" s="71">
        <f t="shared" ca="1" si="3"/>
        <v>0</v>
      </c>
      <c r="BB13" s="71">
        <f t="shared" ca="1" si="3"/>
        <v>0</v>
      </c>
      <c r="BC13" s="71">
        <f t="shared" ca="1" si="3"/>
        <v>0.08</v>
      </c>
      <c r="BD13" s="71">
        <f t="shared" ca="1" si="3"/>
        <v>0.02</v>
      </c>
      <c r="BE13" s="71">
        <f t="shared" ca="1" si="3"/>
        <v>0</v>
      </c>
      <c r="BF13" s="71">
        <f t="shared" ca="1" si="3"/>
        <v>0</v>
      </c>
      <c r="BG13" s="71">
        <f t="shared" ca="1" si="3"/>
        <v>0</v>
      </c>
      <c r="BH13" s="71">
        <f t="shared" ca="1" si="3"/>
        <v>0</v>
      </c>
      <c r="BI13" s="71">
        <f t="shared" ca="1" si="3"/>
        <v>0</v>
      </c>
      <c r="BJ13" s="71">
        <f t="shared" ca="1" si="4"/>
        <v>0</v>
      </c>
      <c r="BK13" s="71">
        <f t="shared" ca="1" si="24"/>
        <v>99</v>
      </c>
      <c r="BL13" s="71" t="str">
        <f t="shared" ca="1" si="25"/>
        <v/>
      </c>
      <c r="BM13" s="268">
        <f t="shared" ca="1" si="26"/>
        <v>18.025437979300214</v>
      </c>
      <c r="BN13" s="268">
        <f t="shared" ca="1" si="27"/>
        <v>17.050599999999999</v>
      </c>
      <c r="BO13" s="269">
        <f t="shared" ca="1" si="28"/>
        <v>2.7792134900626646E-2</v>
      </c>
      <c r="BP13" s="264"/>
      <c r="BQ13" s="261">
        <f t="shared" ca="1" si="5"/>
        <v>0.57627118644067798</v>
      </c>
      <c r="BR13" s="261">
        <f t="shared" ca="1" si="6"/>
        <v>0</v>
      </c>
      <c r="BS13" s="261">
        <f t="shared" ca="1" si="7"/>
        <v>0.42372881355932202</v>
      </c>
      <c r="BT13" s="262">
        <f t="shared" ca="1" si="8"/>
        <v>0.82201864406779657</v>
      </c>
      <c r="BU13" s="263">
        <f t="shared" ca="1" si="29"/>
        <v>0.57627118644067798</v>
      </c>
      <c r="BV13" s="261">
        <f t="shared" ca="1" si="9"/>
        <v>0.47887323943661969</v>
      </c>
      <c r="BW13" s="261">
        <f t="shared" ca="1" si="10"/>
        <v>0.16901408450704225</v>
      </c>
      <c r="BX13" s="261">
        <f t="shared" ca="1" si="11"/>
        <v>0.352112676056338</v>
      </c>
      <c r="BY13" s="262">
        <f t="shared" ca="1" si="12"/>
        <v>0.68308591549295772</v>
      </c>
      <c r="BZ13" s="263">
        <f t="shared" ca="1" si="30"/>
        <v>0.47887323943661969</v>
      </c>
      <c r="CA13" s="261">
        <f t="shared" ca="1" si="13"/>
        <v>0.5357142857142857</v>
      </c>
      <c r="CB13" s="261">
        <f t="shared" ca="1" si="14"/>
        <v>0.28571428571428575</v>
      </c>
      <c r="CC13" s="261">
        <f t="shared" ca="1" si="15"/>
        <v>0.1785714285714286</v>
      </c>
      <c r="CD13" s="262">
        <f t="shared" ca="1" si="16"/>
        <v>0.51551785714285714</v>
      </c>
      <c r="CE13" s="263">
        <f t="shared" ca="1" si="31"/>
        <v>0.5357142857142857</v>
      </c>
      <c r="CF13" s="261">
        <f t="shared" ca="1" si="17"/>
        <v>0.19653179190751446</v>
      </c>
      <c r="CG13" s="261">
        <f t="shared" ca="1" si="18"/>
        <v>0.22543352601156069</v>
      </c>
      <c r="CH13" s="261">
        <f t="shared" ca="1" si="19"/>
        <v>0.5780346820809249</v>
      </c>
      <c r="CI13" s="262">
        <f t="shared" ca="1" si="20"/>
        <v>0.78093410404624286</v>
      </c>
      <c r="CJ13" s="263">
        <f t="shared" ca="1" si="32"/>
        <v>0.19653179190751446</v>
      </c>
      <c r="CK13" s="310">
        <f t="shared" ca="1" si="33"/>
        <v>0.6</v>
      </c>
      <c r="CL13" s="310">
        <f t="shared" ca="1" si="34"/>
        <v>0.08</v>
      </c>
      <c r="CM13" s="310">
        <f t="shared" ca="1" si="35"/>
        <v>0.02</v>
      </c>
      <c r="CN13" s="296">
        <f t="shared" ca="1" si="36"/>
        <v>0.5357142857142857</v>
      </c>
      <c r="CO13" s="261">
        <f t="shared" ca="1" si="37"/>
        <v>0.28571428571428575</v>
      </c>
      <c r="CP13" s="261">
        <f t="shared" ca="1" si="38"/>
        <v>0.1785714285714286</v>
      </c>
      <c r="CQ13" s="262">
        <f t="shared" ca="1" si="21"/>
        <v>0.51551785714285714</v>
      </c>
      <c r="CR13" s="263">
        <f t="shared" ca="1" si="39"/>
        <v>0.5357142857142857</v>
      </c>
      <c r="CS13" s="261">
        <f t="shared" ca="1" si="40"/>
        <v>3.6174222446688623E-2</v>
      </c>
      <c r="CT13" s="261">
        <f t="shared" ca="1" si="41"/>
        <v>5.1478701174133813E-2</v>
      </c>
      <c r="CU13" s="261">
        <f t="shared" ca="1" si="42"/>
        <v>0.91234707637917756</v>
      </c>
      <c r="CV13" s="262">
        <f t="shared" ca="1" si="22"/>
        <v>1.0743741651357546</v>
      </c>
      <c r="CW13" s="263">
        <f t="shared" ca="1" si="43"/>
        <v>3.6174222446688623E-2</v>
      </c>
      <c r="CX13" s="264"/>
      <c r="CY13" s="265">
        <f t="shared" ca="1" si="44"/>
        <v>1.5029349925544035</v>
      </c>
      <c r="CZ13" s="266">
        <f t="shared" ca="1" si="45"/>
        <v>1.5029349925544035</v>
      </c>
      <c r="DA13" s="265">
        <f t="shared" ca="1" si="46"/>
        <v>0.90909090909090906</v>
      </c>
      <c r="DB13" s="265">
        <f t="shared" ca="1" si="47"/>
        <v>0.58730158730158732</v>
      </c>
      <c r="DC13" s="267">
        <f t="shared" ca="1" si="48"/>
        <v>180.58034468597916</v>
      </c>
      <c r="DD13" s="330">
        <f t="shared" ca="1" si="49"/>
        <v>170</v>
      </c>
      <c r="DE13" s="267">
        <f t="shared" ca="1" si="23"/>
        <v>766.27703138042602</v>
      </c>
      <c r="DF13" s="330">
        <f t="shared" ca="1" si="50"/>
        <v>365.53858280167333</v>
      </c>
      <c r="DG13" s="324">
        <f t="shared" ca="1" si="51"/>
        <v>0.68321035154192244</v>
      </c>
      <c r="DH13" s="318">
        <f t="shared" ca="1" si="52"/>
        <v>0.11961110364753386</v>
      </c>
      <c r="DI13" s="318">
        <f t="shared" ca="1" si="53"/>
        <v>0.19717854481054378</v>
      </c>
      <c r="DJ13" s="319">
        <f t="shared" ca="1" si="54"/>
        <v>0.90275388469906581</v>
      </c>
      <c r="DK13" s="320">
        <f t="shared" ca="1" si="55"/>
        <v>0.19717854481054378</v>
      </c>
      <c r="DL13" s="324">
        <f t="shared" ca="1" si="56"/>
        <v>0.28126282946054687</v>
      </c>
      <c r="DM13" s="318">
        <f t="shared" ca="1" si="57"/>
        <v>0.48062824768629836</v>
      </c>
      <c r="DN13" s="318">
        <f t="shared" ca="1" si="58"/>
        <v>0.23810892285315477</v>
      </c>
      <c r="DO13" s="319">
        <f ca="1">IF(ISERROR(DL13),-1,Tgrid!$A$46+0.5774*DN13+1.1547*DL13)</f>
        <v>1.8169582812335052</v>
      </c>
      <c r="DP13" s="320">
        <f t="shared" ca="1" si="59"/>
        <v>0.23810892285315477</v>
      </c>
      <c r="DQ13" s="325">
        <f t="shared" ca="1" si="60"/>
        <v>0.68321035154192244</v>
      </c>
      <c r="DR13" s="326">
        <f t="shared" ca="1" si="61"/>
        <v>0.48062824768629836</v>
      </c>
      <c r="DS13" s="319">
        <f ca="1">IF(ISERROR(DQ13),-1,0.5*Tgrid!$B$42+0.5774*(2+DQ13-DR13))</f>
        <v>1.3717709067662376</v>
      </c>
      <c r="DT13" s="320">
        <f ca="1">IF(ISERROR(DQ13),-1,2+Tgrid!$B$54-DQ13-DR13)</f>
        <v>1.009361400771779</v>
      </c>
    </row>
    <row r="14" spans="1:124" s="52" customFormat="1">
      <c r="A14" s="359" t="s">
        <v>178</v>
      </c>
      <c r="B14" s="355"/>
      <c r="C14" s="362"/>
      <c r="D14" s="366" t="s">
        <v>179</v>
      </c>
      <c r="E14" s="366"/>
      <c r="F14" s="366"/>
      <c r="G14" s="366"/>
      <c r="H14" s="366">
        <v>245</v>
      </c>
      <c r="I14" s="373"/>
      <c r="J14" s="381">
        <v>7.5</v>
      </c>
      <c r="K14" s="381">
        <v>5.7</v>
      </c>
      <c r="L14" s="382">
        <v>1970</v>
      </c>
      <c r="M14" s="382">
        <v>238</v>
      </c>
      <c r="N14" s="383">
        <v>73</v>
      </c>
      <c r="O14" s="384">
        <v>0.02</v>
      </c>
      <c r="P14" s="382">
        <v>590</v>
      </c>
      <c r="Q14" s="382">
        <v>54</v>
      </c>
      <c r="R14" s="382">
        <v>3300</v>
      </c>
      <c r="S14" s="382"/>
      <c r="T14" s="382">
        <v>36</v>
      </c>
      <c r="U14" s="382">
        <v>40</v>
      </c>
      <c r="V14" s="383"/>
      <c r="W14" s="383"/>
      <c r="X14" s="381"/>
      <c r="Y14" s="384">
        <v>1.05</v>
      </c>
      <c r="Z14" s="384">
        <v>0.6</v>
      </c>
      <c r="AA14" s="381"/>
      <c r="AB14" s="381"/>
      <c r="AC14" s="381"/>
      <c r="AD14" s="381"/>
      <c r="AE14" s="381"/>
      <c r="AF14" s="387"/>
      <c r="AG14" s="387"/>
      <c r="AH14" s="308" t="str">
        <f t="shared" ca="1" si="0"/>
        <v>MV</v>
      </c>
      <c r="AI14" s="71">
        <f t="shared" ca="1" si="1"/>
        <v>0</v>
      </c>
      <c r="AJ14" s="71">
        <f t="shared" ca="1" si="1"/>
        <v>0</v>
      </c>
      <c r="AK14" s="71">
        <f t="shared" ca="1" si="1"/>
        <v>0</v>
      </c>
      <c r="AL14" s="71">
        <f t="shared" ca="1" si="1"/>
        <v>245</v>
      </c>
      <c r="AM14" s="71">
        <f t="shared" ca="1" si="1"/>
        <v>0</v>
      </c>
      <c r="AN14" s="71">
        <f t="shared" ca="1" si="1"/>
        <v>7.5</v>
      </c>
      <c r="AO14" s="71">
        <f t="shared" ca="1" si="2"/>
        <v>5.7</v>
      </c>
      <c r="AP14" s="71">
        <f t="shared" ca="1" si="2"/>
        <v>1970</v>
      </c>
      <c r="AQ14" s="71">
        <f t="shared" ca="1" si="2"/>
        <v>238</v>
      </c>
      <c r="AR14" s="71">
        <f t="shared" ca="1" si="2"/>
        <v>73</v>
      </c>
      <c r="AS14" s="213">
        <f t="shared" ca="1" si="2"/>
        <v>0.02</v>
      </c>
      <c r="AT14" s="71">
        <f t="shared" ca="1" si="2"/>
        <v>590</v>
      </c>
      <c r="AU14" s="71">
        <f t="shared" ca="1" si="2"/>
        <v>54</v>
      </c>
      <c r="AV14" s="71">
        <f t="shared" ca="1" si="2"/>
        <v>3300</v>
      </c>
      <c r="AW14" s="71">
        <f t="shared" ca="1" si="2"/>
        <v>0</v>
      </c>
      <c r="AX14" s="71">
        <f t="shared" ca="1" si="2"/>
        <v>36</v>
      </c>
      <c r="AY14" s="71">
        <f t="shared" ca="1" si="3"/>
        <v>40</v>
      </c>
      <c r="AZ14" s="71">
        <f t="shared" ca="1" si="3"/>
        <v>0</v>
      </c>
      <c r="BA14" s="71">
        <f t="shared" ca="1" si="3"/>
        <v>0</v>
      </c>
      <c r="BB14" s="71">
        <f t="shared" ca="1" si="3"/>
        <v>0</v>
      </c>
      <c r="BC14" s="71">
        <f t="shared" ca="1" si="3"/>
        <v>1.05</v>
      </c>
      <c r="BD14" s="71">
        <f t="shared" ca="1" si="3"/>
        <v>0.6</v>
      </c>
      <c r="BE14" s="71">
        <f t="shared" ca="1" si="3"/>
        <v>0</v>
      </c>
      <c r="BF14" s="71">
        <f t="shared" ca="1" si="3"/>
        <v>0</v>
      </c>
      <c r="BG14" s="71">
        <f t="shared" ca="1" si="3"/>
        <v>0</v>
      </c>
      <c r="BH14" s="71">
        <f t="shared" ca="1" si="3"/>
        <v>0</v>
      </c>
      <c r="BI14" s="71">
        <f t="shared" ca="1" si="3"/>
        <v>0</v>
      </c>
      <c r="BJ14" s="71">
        <f t="shared" ca="1" si="4"/>
        <v>0</v>
      </c>
      <c r="BK14" s="71">
        <f t="shared" ca="1" si="24"/>
        <v>99</v>
      </c>
      <c r="BL14" s="71" t="str">
        <f t="shared" ca="1" si="25"/>
        <v/>
      </c>
      <c r="BM14" s="268">
        <f t="shared" ca="1" si="26"/>
        <v>96.246463569794386</v>
      </c>
      <c r="BN14" s="268">
        <f t="shared" ca="1" si="27"/>
        <v>94.498120000000014</v>
      </c>
      <c r="BO14" s="269">
        <f t="shared" ca="1" si="28"/>
        <v>9.1658884203893749E-3</v>
      </c>
      <c r="BP14" s="270"/>
      <c r="BQ14" s="261">
        <f t="shared" ca="1" si="5"/>
        <v>0.70967741935483875</v>
      </c>
      <c r="BR14" s="261">
        <f t="shared" ca="1" si="6"/>
        <v>0</v>
      </c>
      <c r="BS14" s="261">
        <f t="shared" ca="1" si="7"/>
        <v>0.29032258064516131</v>
      </c>
      <c r="BT14" s="262">
        <f t="shared" ca="1" si="8"/>
        <v>0.74500322580645173</v>
      </c>
      <c r="BU14" s="263">
        <f t="shared" ca="1" si="29"/>
        <v>0.70967741935483875</v>
      </c>
      <c r="BV14" s="261">
        <f t="shared" ca="1" si="9"/>
        <v>0.63218390804597702</v>
      </c>
      <c r="BW14" s="261">
        <f t="shared" ca="1" si="10"/>
        <v>0.10919540229885058</v>
      </c>
      <c r="BX14" s="261">
        <f t="shared" ca="1" si="11"/>
        <v>0.25862068965517243</v>
      </c>
      <c r="BY14" s="262">
        <f t="shared" ca="1" si="12"/>
        <v>0.66365229885057486</v>
      </c>
      <c r="BZ14" s="263">
        <f t="shared" ca="1" si="30"/>
        <v>0.63218390804597702</v>
      </c>
      <c r="CA14" s="261">
        <f t="shared" ca="1" si="13"/>
        <v>0.35849056603773582</v>
      </c>
      <c r="CB14" s="261">
        <f t="shared" ca="1" si="14"/>
        <v>0.26415094339622641</v>
      </c>
      <c r="CC14" s="261">
        <f t="shared" ca="1" si="15"/>
        <v>0.37735849056603771</v>
      </c>
      <c r="CD14" s="262">
        <f t="shared" ca="1" si="16"/>
        <v>0.64272830188679242</v>
      </c>
      <c r="CE14" s="263">
        <f t="shared" ca="1" si="31"/>
        <v>0.35849056603773582</v>
      </c>
      <c r="CF14" s="261">
        <f t="shared" ca="1" si="17"/>
        <v>0.97748815165876779</v>
      </c>
      <c r="CG14" s="261">
        <f t="shared" ca="1" si="18"/>
        <v>1.066350710900474E-2</v>
      </c>
      <c r="CH14" s="261">
        <f t="shared" ca="1" si="19"/>
        <v>1.1848341232227487E-2</v>
      </c>
      <c r="CI14" s="262">
        <f t="shared" ca="1" si="20"/>
        <v>0.57808293838862568</v>
      </c>
      <c r="CJ14" s="263">
        <f t="shared" ca="1" si="32"/>
        <v>0.97748815165876779</v>
      </c>
      <c r="CK14" s="310">
        <f t="shared" ca="1" si="33"/>
        <v>5.7</v>
      </c>
      <c r="CL14" s="310">
        <f t="shared" ca="1" si="34"/>
        <v>1.05</v>
      </c>
      <c r="CM14" s="310">
        <f t="shared" ca="1" si="35"/>
        <v>0.6</v>
      </c>
      <c r="CN14" s="296">
        <f t="shared" ca="1" si="36"/>
        <v>0.35849056603773582</v>
      </c>
      <c r="CO14" s="261">
        <f t="shared" ca="1" si="37"/>
        <v>0.26415094339622641</v>
      </c>
      <c r="CP14" s="261">
        <f t="shared" ca="1" si="38"/>
        <v>0.37735849056603771</v>
      </c>
      <c r="CQ14" s="262">
        <f t="shared" ca="1" si="21"/>
        <v>0.64272830188679242</v>
      </c>
      <c r="CR14" s="263">
        <f t="shared" ca="1" si="39"/>
        <v>0.35849056603773582</v>
      </c>
      <c r="CS14" s="261">
        <f t="shared" ca="1" si="40"/>
        <v>0.4386139361572543</v>
      </c>
      <c r="CT14" s="261">
        <f t="shared" ca="1" si="41"/>
        <v>0.52989907007830728</v>
      </c>
      <c r="CU14" s="261">
        <f t="shared" ca="1" si="42"/>
        <v>3.1486993764438372E-2</v>
      </c>
      <c r="CV14" s="262">
        <f t="shared" ca="1" si="22"/>
        <v>0.28961371843699568</v>
      </c>
      <c r="CW14" s="263">
        <f t="shared" ca="1" si="43"/>
        <v>0.4386139361572543</v>
      </c>
      <c r="CX14" s="264"/>
      <c r="CY14" s="265">
        <f t="shared" ca="1" si="44"/>
        <v>6.4521239184490424</v>
      </c>
      <c r="CZ14" s="266">
        <f t="shared" ca="1" si="45"/>
        <v>2.8898310539925678</v>
      </c>
      <c r="DA14" s="265">
        <f t="shared" ca="1" si="46"/>
        <v>2.7322404371584699E-3</v>
      </c>
      <c r="DB14" s="265">
        <f t="shared" ca="1" si="47"/>
        <v>0.54712643678160922</v>
      </c>
      <c r="DC14" s="267">
        <f t="shared" ca="1" si="48"/>
        <v>278.68400821484101</v>
      </c>
      <c r="DD14" s="330">
        <f t="shared" ca="1" si="49"/>
        <v>3300</v>
      </c>
      <c r="DE14" s="267">
        <f t="shared" ca="1" si="23"/>
        <v>1228.8737614923843</v>
      </c>
      <c r="DF14" s="330">
        <f t="shared" ca="1" si="50"/>
        <v>1062.5750439470712</v>
      </c>
      <c r="DG14" s="324">
        <f t="shared" ca="1" si="51"/>
        <v>0.96180932668159813</v>
      </c>
      <c r="DH14" s="318">
        <f t="shared" ca="1" si="52"/>
        <v>3.8173432554342683E-2</v>
      </c>
      <c r="DI14" s="318">
        <f t="shared" ca="1" si="53"/>
        <v>1.7240764059188126E-5</v>
      </c>
      <c r="DJ14" s="319">
        <f t="shared" ca="1" si="54"/>
        <v>1.110611184336409</v>
      </c>
      <c r="DK14" s="320">
        <f t="shared" ca="1" si="55"/>
        <v>1.7240764059188126E-5</v>
      </c>
      <c r="DL14" s="324">
        <f t="shared" ca="1" si="56"/>
        <v>0.98513070947866466</v>
      </c>
      <c r="DM14" s="318">
        <f t="shared" ca="1" si="57"/>
        <v>6.9377041575006976E-3</v>
      </c>
      <c r="DN14" s="318">
        <f t="shared" ca="1" si="58"/>
        <v>7.9315863638345398E-3</v>
      </c>
      <c r="DO14" s="319">
        <f ca="1">IF(ISERROR(DL14),-1,Tgrid!$A$46+0.5774*DN14+1.1547*DL14)</f>
        <v>2.4968101282014921</v>
      </c>
      <c r="DP14" s="320">
        <f t="shared" ca="1" si="59"/>
        <v>7.9315863638345398E-3</v>
      </c>
      <c r="DQ14" s="325">
        <f t="shared" ca="1" si="60"/>
        <v>0.96180932668159813</v>
      </c>
      <c r="DR14" s="326">
        <f t="shared" ca="1" si="61"/>
        <v>6.9377041575006976E-3</v>
      </c>
      <c r="DS14" s="319">
        <f ca="1">IF(ISERROR(DQ14),-1,0.5*Tgrid!$B$42+0.5774*(2+DQ14-DR14))</f>
        <v>1.806142874845414</v>
      </c>
      <c r="DT14" s="320">
        <f ca="1">IF(ISERROR(DQ14),-1,2+Tgrid!$B$54-DQ14-DR14)</f>
        <v>1.2044529691609012</v>
      </c>
    </row>
    <row r="15" spans="1:124" s="52" customFormat="1">
      <c r="A15" s="359" t="s">
        <v>180</v>
      </c>
      <c r="B15" s="355"/>
      <c r="C15" s="362"/>
      <c r="D15" s="366" t="s">
        <v>181</v>
      </c>
      <c r="E15" s="366"/>
      <c r="F15" s="369"/>
      <c r="G15" s="366"/>
      <c r="H15" s="366">
        <v>73</v>
      </c>
      <c r="I15" s="373"/>
      <c r="J15" s="387">
        <v>8.5</v>
      </c>
      <c r="K15" s="381">
        <v>3.4</v>
      </c>
      <c r="L15" s="382">
        <v>1970</v>
      </c>
      <c r="M15" s="382">
        <v>79</v>
      </c>
      <c r="N15" s="383">
        <v>22</v>
      </c>
      <c r="O15" s="384">
        <v>6.5</v>
      </c>
      <c r="P15" s="385">
        <v>112</v>
      </c>
      <c r="Q15" s="382">
        <v>48</v>
      </c>
      <c r="R15" s="382">
        <v>2600</v>
      </c>
      <c r="S15" s="382"/>
      <c r="T15" s="382">
        <v>120</v>
      </c>
      <c r="U15" s="382">
        <v>910</v>
      </c>
      <c r="V15" s="387"/>
      <c r="W15" s="383"/>
      <c r="X15" s="387"/>
      <c r="Y15" s="384">
        <v>0.21</v>
      </c>
      <c r="Z15" s="384">
        <v>0.14000000000000001</v>
      </c>
      <c r="AA15" s="387"/>
      <c r="AB15" s="387"/>
      <c r="AC15" s="387"/>
      <c r="AD15" s="387"/>
      <c r="AE15" s="388"/>
      <c r="AF15" s="387"/>
      <c r="AG15" s="387"/>
      <c r="AH15" s="308" t="str">
        <f t="shared" ca="1" si="0"/>
        <v>mv</v>
      </c>
      <c r="AI15" s="71">
        <f t="shared" ca="1" si="1"/>
        <v>0</v>
      </c>
      <c r="AJ15" s="71">
        <f t="shared" ca="1" si="1"/>
        <v>0</v>
      </c>
      <c r="AK15" s="71">
        <f t="shared" ca="1" si="1"/>
        <v>0</v>
      </c>
      <c r="AL15" s="71">
        <f t="shared" ca="1" si="1"/>
        <v>73</v>
      </c>
      <c r="AM15" s="71">
        <f t="shared" ca="1" si="1"/>
        <v>0</v>
      </c>
      <c r="AN15" s="71">
        <f t="shared" ca="1" si="1"/>
        <v>8.5</v>
      </c>
      <c r="AO15" s="71">
        <f t="shared" ca="1" si="2"/>
        <v>3.4</v>
      </c>
      <c r="AP15" s="71">
        <f t="shared" ca="1" si="2"/>
        <v>1970</v>
      </c>
      <c r="AQ15" s="71">
        <f t="shared" ca="1" si="2"/>
        <v>79</v>
      </c>
      <c r="AR15" s="71">
        <f t="shared" ca="1" si="2"/>
        <v>22</v>
      </c>
      <c r="AS15" s="213">
        <f t="shared" ca="1" si="2"/>
        <v>6.5</v>
      </c>
      <c r="AT15" s="71">
        <f t="shared" ca="1" si="2"/>
        <v>112</v>
      </c>
      <c r="AU15" s="71">
        <f t="shared" ca="1" si="2"/>
        <v>48</v>
      </c>
      <c r="AV15" s="71">
        <f t="shared" ca="1" si="2"/>
        <v>2600</v>
      </c>
      <c r="AW15" s="71">
        <f t="shared" ca="1" si="2"/>
        <v>0</v>
      </c>
      <c r="AX15" s="71">
        <f t="shared" ca="1" si="2"/>
        <v>120</v>
      </c>
      <c r="AY15" s="71">
        <f t="shared" ca="1" si="3"/>
        <v>910</v>
      </c>
      <c r="AZ15" s="71">
        <f t="shared" ca="1" si="3"/>
        <v>0</v>
      </c>
      <c r="BA15" s="71">
        <f t="shared" ca="1" si="3"/>
        <v>0</v>
      </c>
      <c r="BB15" s="71">
        <f t="shared" ca="1" si="3"/>
        <v>0</v>
      </c>
      <c r="BC15" s="71">
        <f t="shared" ca="1" si="3"/>
        <v>0.21</v>
      </c>
      <c r="BD15" s="71">
        <f t="shared" ca="1" si="3"/>
        <v>0.14000000000000001</v>
      </c>
      <c r="BE15" s="71">
        <f t="shared" ca="1" si="3"/>
        <v>0</v>
      </c>
      <c r="BF15" s="71">
        <f t="shared" ca="1" si="3"/>
        <v>0</v>
      </c>
      <c r="BG15" s="71">
        <f t="shared" ca="1" si="3"/>
        <v>0</v>
      </c>
      <c r="BH15" s="71">
        <f t="shared" ca="1" si="3"/>
        <v>0</v>
      </c>
      <c r="BI15" s="71">
        <f t="shared" ca="1" si="3"/>
        <v>0</v>
      </c>
      <c r="BJ15" s="71">
        <f t="shared" ca="1" si="4"/>
        <v>0</v>
      </c>
      <c r="BK15" s="71">
        <f t="shared" ca="1" si="24"/>
        <v>99</v>
      </c>
      <c r="BL15" s="71" t="str">
        <f t="shared" ca="1" si="25"/>
        <v/>
      </c>
      <c r="BM15" s="268">
        <f t="shared" ca="1" si="26"/>
        <v>89.837497136979451</v>
      </c>
      <c r="BN15" s="268">
        <f t="shared" ca="1" si="27"/>
        <v>90.75930000000001</v>
      </c>
      <c r="BO15" s="269">
        <f t="shared" ca="1" si="28"/>
        <v>-5.1042038266126523E-3</v>
      </c>
      <c r="BP15" s="270"/>
      <c r="BQ15" s="261">
        <f t="shared" ca="1" si="5"/>
        <v>0.68421052631578949</v>
      </c>
      <c r="BR15" s="261">
        <f t="shared" ca="1" si="6"/>
        <v>0</v>
      </c>
      <c r="BS15" s="261">
        <f t="shared" ca="1" si="7"/>
        <v>0.31578947368421051</v>
      </c>
      <c r="BT15" s="262">
        <f t="shared" ca="1" si="8"/>
        <v>0.75970526315789477</v>
      </c>
      <c r="BU15" s="263">
        <f t="shared" ca="1" si="29"/>
        <v>0.68421052631578949</v>
      </c>
      <c r="BV15" s="261">
        <f t="shared" ca="1" si="9"/>
        <v>0.6280193236714976</v>
      </c>
      <c r="BW15" s="261">
        <f t="shared" ca="1" si="10"/>
        <v>8.2125603864734303E-2</v>
      </c>
      <c r="BX15" s="261">
        <f t="shared" ca="1" si="11"/>
        <v>0.28985507246376813</v>
      </c>
      <c r="BY15" s="262">
        <f t="shared" ca="1" si="12"/>
        <v>0.69731400966183577</v>
      </c>
      <c r="BZ15" s="263">
        <f t="shared" ca="1" si="30"/>
        <v>0.6280193236714976</v>
      </c>
      <c r="CA15" s="261">
        <f t="shared" ca="1" si="13"/>
        <v>0.60283687943262398</v>
      </c>
      <c r="CB15" s="261">
        <f t="shared" ca="1" si="14"/>
        <v>0.14893617021276595</v>
      </c>
      <c r="CC15" s="261">
        <f t="shared" ca="1" si="15"/>
        <v>0.24822695035460993</v>
      </c>
      <c r="CD15" s="262">
        <f t="shared" ca="1" si="16"/>
        <v>0.63470567375886522</v>
      </c>
      <c r="CE15" s="263">
        <f t="shared" ca="1" si="31"/>
        <v>0.60283687943262398</v>
      </c>
      <c r="CF15" s="261">
        <f t="shared" ca="1" si="17"/>
        <v>0.71625344352617082</v>
      </c>
      <c r="CG15" s="261">
        <f t="shared" ca="1" si="18"/>
        <v>3.3057851239669422E-2</v>
      </c>
      <c r="CH15" s="261">
        <f t="shared" ca="1" si="19"/>
        <v>0.25068870523415976</v>
      </c>
      <c r="CI15" s="262">
        <f t="shared" ca="1" si="20"/>
        <v>0.70303498622589533</v>
      </c>
      <c r="CJ15" s="263">
        <f t="shared" ca="1" si="32"/>
        <v>0.71625344352617082</v>
      </c>
      <c r="CK15" s="310">
        <f t="shared" ca="1" si="33"/>
        <v>3.4</v>
      </c>
      <c r="CL15" s="310">
        <f t="shared" ca="1" si="34"/>
        <v>0.21</v>
      </c>
      <c r="CM15" s="310">
        <f t="shared" ca="1" si="35"/>
        <v>0.14000000000000001</v>
      </c>
      <c r="CN15" s="296">
        <f t="shared" ca="1" si="36"/>
        <v>0.60283687943262398</v>
      </c>
      <c r="CO15" s="261">
        <f t="shared" ca="1" si="37"/>
        <v>0.14893617021276595</v>
      </c>
      <c r="CP15" s="261">
        <f t="shared" ca="1" si="38"/>
        <v>0.24822695035460993</v>
      </c>
      <c r="CQ15" s="262">
        <f t="shared" ca="1" si="21"/>
        <v>0.63470567375886522</v>
      </c>
      <c r="CR15" s="263">
        <f t="shared" ca="1" si="39"/>
        <v>0.60283687943262398</v>
      </c>
      <c r="CS15" s="261">
        <f t="shared" ca="1" si="40"/>
        <v>0.37103237214665979</v>
      </c>
      <c r="CT15" s="261">
        <f t="shared" ca="1" si="41"/>
        <v>0.14878963146998031</v>
      </c>
      <c r="CU15" s="261">
        <f t="shared" ca="1" si="42"/>
        <v>0.4801779963833599</v>
      </c>
      <c r="CV15" s="262">
        <f t="shared" ca="1" si="22"/>
        <v>0.76869562410134717</v>
      </c>
      <c r="CW15" s="263">
        <f t="shared" ca="1" si="43"/>
        <v>0.37103237214665979</v>
      </c>
      <c r="CX15" s="264"/>
      <c r="CY15" s="265">
        <f t="shared" ca="1" si="44"/>
        <v>2.9823408259380271</v>
      </c>
      <c r="CZ15" s="266">
        <f t="shared" ca="1" si="45"/>
        <v>2.4528315017586766</v>
      </c>
      <c r="DA15" s="265">
        <f t="shared" ca="1" si="46"/>
        <v>0.74712643678160917</v>
      </c>
      <c r="DB15" s="265">
        <f t="shared" ca="1" si="47"/>
        <v>0.28623188405797101</v>
      </c>
      <c r="DC15" s="267">
        <f t="shared" ca="1" si="48"/>
        <v>143.79515976957478</v>
      </c>
      <c r="DD15" s="330">
        <f t="shared" ca="1" si="49"/>
        <v>2600</v>
      </c>
      <c r="DE15" s="267">
        <f t="shared" ca="1" si="23"/>
        <v>605.08375356460351</v>
      </c>
      <c r="DF15" s="330">
        <f t="shared" ca="1" si="50"/>
        <v>306.83732835095475</v>
      </c>
      <c r="DG15" s="324">
        <f t="shared" ca="1" si="51"/>
        <v>0.9817287597909824</v>
      </c>
      <c r="DH15" s="318">
        <f t="shared" ca="1" si="52"/>
        <v>1.2286854744261506E-2</v>
      </c>
      <c r="DI15" s="318">
        <f t="shared" ca="1" si="53"/>
        <v>5.9843854647560445E-3</v>
      </c>
      <c r="DJ15" s="319">
        <f t="shared" ca="1" si="54"/>
        <v>1.1370575830979976</v>
      </c>
      <c r="DK15" s="320">
        <f t="shared" ca="1" si="55"/>
        <v>5.9843854647560445E-3</v>
      </c>
      <c r="DL15" s="324">
        <f t="shared" ca="1" si="56"/>
        <v>0.8081375682712405</v>
      </c>
      <c r="DM15" s="318">
        <f t="shared" ca="1" si="57"/>
        <v>0.16433467424274972</v>
      </c>
      <c r="DN15" s="318">
        <f t="shared" ca="1" si="58"/>
        <v>2.7527757486009698E-2</v>
      </c>
      <c r="DO15" s="319">
        <f ca="1">IF(ISERROR(DL15),-1,Tgrid!$A$46+0.5774*DN15+1.1547*DL15)</f>
        <v>2.3037509772552234</v>
      </c>
      <c r="DP15" s="320">
        <f t="shared" ca="1" si="59"/>
        <v>2.7527757486009698E-2</v>
      </c>
      <c r="DQ15" s="325">
        <f t="shared" ca="1" si="60"/>
        <v>0.9817287597909824</v>
      </c>
      <c r="DR15" s="326">
        <f t="shared" ca="1" si="61"/>
        <v>0.16433467424274972</v>
      </c>
      <c r="DS15" s="319">
        <f ca="1">IF(ISERROR(DQ15),-1,0.5*Tgrid!$B$42+0.5774*(2+DQ15-DR15))</f>
        <v>1.7267633449955497</v>
      </c>
      <c r="DT15" s="320">
        <f ca="1">IF(ISERROR(DQ15),-1,2+Tgrid!$B$54-DQ15-DR15)</f>
        <v>1.0271365659662677</v>
      </c>
    </row>
    <row r="16" spans="1:124" s="52" customFormat="1">
      <c r="A16" s="359" t="s">
        <v>182</v>
      </c>
      <c r="B16" s="355"/>
      <c r="C16" s="362"/>
      <c r="D16" s="366" t="s">
        <v>184</v>
      </c>
      <c r="E16" s="366"/>
      <c r="F16" s="366"/>
      <c r="G16" s="366"/>
      <c r="H16" s="366">
        <v>62</v>
      </c>
      <c r="I16" s="373"/>
      <c r="J16" s="381">
        <v>1.2</v>
      </c>
      <c r="K16" s="381">
        <v>0.3</v>
      </c>
      <c r="L16" s="382">
        <v>280</v>
      </c>
      <c r="M16" s="382">
        <v>224</v>
      </c>
      <c r="N16" s="383">
        <v>214</v>
      </c>
      <c r="O16" s="384">
        <v>155</v>
      </c>
      <c r="P16" s="382">
        <v>154</v>
      </c>
      <c r="Q16" s="382">
        <v>8</v>
      </c>
      <c r="R16" s="382">
        <v>1350</v>
      </c>
      <c r="S16" s="382"/>
      <c r="T16" s="382">
        <v>10670</v>
      </c>
      <c r="U16" s="382">
        <v>0</v>
      </c>
      <c r="V16" s="383"/>
      <c r="W16" s="383"/>
      <c r="X16" s="381"/>
      <c r="Y16" s="384">
        <v>0.37</v>
      </c>
      <c r="Z16" s="384">
        <v>0.04</v>
      </c>
      <c r="AA16" s="381"/>
      <c r="AB16" s="381"/>
      <c r="AC16" s="381"/>
      <c r="AD16" s="381"/>
      <c r="AE16" s="381"/>
      <c r="AF16" s="387"/>
      <c r="AG16" s="387"/>
      <c r="AH16" s="308" t="str">
        <f t="shared" ca="1" si="0"/>
        <v>ra</v>
      </c>
      <c r="AI16" s="71">
        <f t="shared" ca="1" si="1"/>
        <v>0</v>
      </c>
      <c r="AJ16" s="71">
        <f t="shared" ca="1" si="1"/>
        <v>0</v>
      </c>
      <c r="AK16" s="71">
        <f t="shared" ca="1" si="1"/>
        <v>0</v>
      </c>
      <c r="AL16" s="71">
        <f t="shared" ca="1" si="1"/>
        <v>62</v>
      </c>
      <c r="AM16" s="71">
        <f t="shared" ca="1" si="1"/>
        <v>0</v>
      </c>
      <c r="AN16" s="71">
        <f t="shared" ca="1" si="1"/>
        <v>1.2</v>
      </c>
      <c r="AO16" s="71">
        <f t="shared" ca="1" si="2"/>
        <v>0.3</v>
      </c>
      <c r="AP16" s="71">
        <f t="shared" ca="1" si="2"/>
        <v>280</v>
      </c>
      <c r="AQ16" s="71">
        <f t="shared" ca="1" si="2"/>
        <v>224</v>
      </c>
      <c r="AR16" s="71">
        <f t="shared" ca="1" si="2"/>
        <v>214</v>
      </c>
      <c r="AS16" s="107">
        <f t="shared" ca="1" si="2"/>
        <v>155</v>
      </c>
      <c r="AT16" s="71">
        <f t="shared" ca="1" si="2"/>
        <v>154</v>
      </c>
      <c r="AU16" s="71">
        <f t="shared" ca="1" si="2"/>
        <v>8</v>
      </c>
      <c r="AV16" s="71">
        <f t="shared" ca="1" si="2"/>
        <v>1350</v>
      </c>
      <c r="AW16" s="71">
        <f t="shared" ca="1" si="2"/>
        <v>0</v>
      </c>
      <c r="AX16" s="71">
        <f t="shared" ca="1" si="2"/>
        <v>10670</v>
      </c>
      <c r="AY16" s="71">
        <f t="shared" ca="1" si="3"/>
        <v>0</v>
      </c>
      <c r="AZ16" s="71">
        <f t="shared" ca="1" si="3"/>
        <v>0</v>
      </c>
      <c r="BA16" s="71">
        <f t="shared" ca="1" si="3"/>
        <v>0</v>
      </c>
      <c r="BB16" s="71">
        <f t="shared" ca="1" si="3"/>
        <v>0</v>
      </c>
      <c r="BC16" s="71">
        <f t="shared" ca="1" si="3"/>
        <v>0.37</v>
      </c>
      <c r="BD16" s="71">
        <f t="shared" ca="1" si="3"/>
        <v>0.04</v>
      </c>
      <c r="BE16" s="71">
        <f t="shared" ca="1" si="3"/>
        <v>0</v>
      </c>
      <c r="BF16" s="71">
        <f t="shared" ca="1" si="3"/>
        <v>0</v>
      </c>
      <c r="BG16" s="71">
        <f t="shared" ca="1" si="3"/>
        <v>0</v>
      </c>
      <c r="BH16" s="71">
        <f t="shared" ca="1" si="3"/>
        <v>0</v>
      </c>
      <c r="BI16" s="71">
        <f t="shared" ca="1" si="3"/>
        <v>0</v>
      </c>
      <c r="BJ16" s="71">
        <f t="shared" ca="1" si="4"/>
        <v>0</v>
      </c>
      <c r="BK16" s="71">
        <f t="shared" ca="1" si="24"/>
        <v>99</v>
      </c>
      <c r="BL16" s="71" t="str">
        <f t="shared" ca="1" si="25"/>
        <v/>
      </c>
      <c r="BM16" s="268">
        <f t="shared" ca="1" si="26"/>
        <v>103.97078157243521</v>
      </c>
      <c r="BN16" s="268">
        <f t="shared" ca="1" si="27"/>
        <v>260.23290000000003</v>
      </c>
      <c r="BO16" s="269">
        <f t="shared" ca="1" si="28"/>
        <v>-0.42905145206909823</v>
      </c>
      <c r="BP16" s="264"/>
      <c r="BQ16" s="261">
        <f t="shared" ca="1" si="5"/>
        <v>0.87096774193548387</v>
      </c>
      <c r="BR16" s="261">
        <f t="shared" ca="1" si="6"/>
        <v>0</v>
      </c>
      <c r="BS16" s="261">
        <f t="shared" ca="1" si="7"/>
        <v>0.12903225806451613</v>
      </c>
      <c r="BT16" s="262">
        <f t="shared" ca="1" si="8"/>
        <v>0.65189032258064517</v>
      </c>
      <c r="BU16" s="263">
        <f t="shared" ca="1" si="29"/>
        <v>0.87096774193548387</v>
      </c>
      <c r="BV16" s="261">
        <f t="shared" ca="1" si="9"/>
        <v>0.85443037974683544</v>
      </c>
      <c r="BW16" s="261">
        <f t="shared" ca="1" si="10"/>
        <v>1.8987341772151899E-2</v>
      </c>
      <c r="BX16" s="261">
        <f t="shared" ca="1" si="11"/>
        <v>0.12658227848101267</v>
      </c>
      <c r="BY16" s="262">
        <f t="shared" ca="1" si="12"/>
        <v>0.63951265822784809</v>
      </c>
      <c r="BZ16" s="263">
        <f t="shared" ca="1" si="30"/>
        <v>0.85443037974683544</v>
      </c>
      <c r="CA16" s="261">
        <f t="shared" ca="1" si="13"/>
        <v>0.13761467889908255</v>
      </c>
      <c r="CB16" s="261">
        <f t="shared" ca="1" si="14"/>
        <v>0.67889908256880727</v>
      </c>
      <c r="CC16" s="261">
        <f t="shared" ca="1" si="15"/>
        <v>0.1834862385321101</v>
      </c>
      <c r="CD16" s="262">
        <f t="shared" ca="1" si="16"/>
        <v>0.29133027522935778</v>
      </c>
      <c r="CE16" s="263">
        <f t="shared" ca="1" si="31"/>
        <v>0.13761467889908255</v>
      </c>
      <c r="CF16" s="261">
        <f t="shared" ca="1" si="17"/>
        <v>0.11231281198003328</v>
      </c>
      <c r="CG16" s="261">
        <f t="shared" ca="1" si="18"/>
        <v>0.88768718801996671</v>
      </c>
      <c r="CH16" s="261">
        <f t="shared" ca="1" si="19"/>
        <v>0</v>
      </c>
      <c r="CI16" s="262">
        <f t="shared" ca="1" si="20"/>
        <v>6.4849417637271214E-2</v>
      </c>
      <c r="CJ16" s="263">
        <f t="shared" ca="1" si="32"/>
        <v>0.11231281198003328</v>
      </c>
      <c r="CK16" s="310">
        <f t="shared" ca="1" si="33"/>
        <v>0.3</v>
      </c>
      <c r="CL16" s="310">
        <f t="shared" ca="1" si="34"/>
        <v>0.37</v>
      </c>
      <c r="CM16" s="310">
        <f t="shared" ca="1" si="35"/>
        <v>0.04</v>
      </c>
      <c r="CN16" s="296">
        <f t="shared" ca="1" si="36"/>
        <v>0.13761467889908255</v>
      </c>
      <c r="CO16" s="261">
        <f t="shared" ca="1" si="37"/>
        <v>0.67889908256880727</v>
      </c>
      <c r="CP16" s="261">
        <f t="shared" ca="1" si="38"/>
        <v>0.1834862385321101</v>
      </c>
      <c r="CQ16" s="262">
        <f t="shared" ca="1" si="21"/>
        <v>0.29133027522935778</v>
      </c>
      <c r="CR16" s="263">
        <f t="shared" ca="1" si="39"/>
        <v>0.13761467889908255</v>
      </c>
      <c r="CS16" s="261">
        <f t="shared" ca="1" si="40"/>
        <v>1.8704200263148001E-2</v>
      </c>
      <c r="CT16" s="261">
        <f t="shared" ca="1" si="41"/>
        <v>0.149633602105184</v>
      </c>
      <c r="CU16" s="261">
        <f t="shared" ca="1" si="42"/>
        <v>0.83166219763166804</v>
      </c>
      <c r="CV16" s="262">
        <f t="shared" ca="1" si="22"/>
        <v>0.97112014483722886</v>
      </c>
      <c r="CW16" s="263">
        <f t="shared" ca="1" si="43"/>
        <v>1.8704200263148001E-2</v>
      </c>
      <c r="CX16" s="264"/>
      <c r="CY16" s="265">
        <f t="shared" ca="1" si="44"/>
        <v>2.5101643384980341</v>
      </c>
      <c r="CZ16" s="266">
        <f t="shared" ca="1" si="45"/>
        <v>2.3700822633191345</v>
      </c>
      <c r="DA16" s="265">
        <f t="shared" ca="1" si="46"/>
        <v>0.87868480725623588</v>
      </c>
      <c r="DB16" s="265">
        <f t="shared" ca="1" si="47"/>
        <v>0.88888888888888884</v>
      </c>
      <c r="DC16" s="267">
        <f t="shared" ca="1" si="48"/>
        <v>163.1712488445161</v>
      </c>
      <c r="DD16" s="330">
        <f t="shared" ca="1" si="49"/>
        <v>1350</v>
      </c>
      <c r="DE16" s="267">
        <f t="shared" ca="1" si="23"/>
        <v>689.2670400810332</v>
      </c>
      <c r="DF16" s="330">
        <f t="shared" ca="1" si="50"/>
        <v>260.39364483344252</v>
      </c>
      <c r="DG16" s="324">
        <f t="shared" ca="1" si="51"/>
        <v>0.43321629413947649</v>
      </c>
      <c r="DH16" s="318">
        <f t="shared" ca="1" si="52"/>
        <v>0.25833293417113851</v>
      </c>
      <c r="DI16" s="318">
        <f t="shared" ca="1" si="53"/>
        <v>0.30845077168938506</v>
      </c>
      <c r="DJ16" s="319">
        <f t="shared" ca="1" si="54"/>
        <v>0.67833433041630453</v>
      </c>
      <c r="DK16" s="320">
        <f t="shared" ca="1" si="55"/>
        <v>0.30845077168938506</v>
      </c>
      <c r="DL16" s="324">
        <f t="shared" ca="1" si="56"/>
        <v>0.14634390962864419</v>
      </c>
      <c r="DM16" s="318">
        <f t="shared" ca="1" si="57"/>
        <v>0</v>
      </c>
      <c r="DN16" s="318">
        <f t="shared" ca="1" si="58"/>
        <v>0.85365609037135581</v>
      </c>
      <c r="DO16" s="319">
        <f ca="1">IF(ISERROR(DL16),-1,Tgrid!$A$46+0.5774*DN16+1.1547*DL16)</f>
        <v>2.0165843390286162</v>
      </c>
      <c r="DP16" s="320">
        <f t="shared" ca="1" si="59"/>
        <v>0.85365609037135581</v>
      </c>
      <c r="DQ16" s="325">
        <f t="shared" ca="1" si="60"/>
        <v>0.43321629413947649</v>
      </c>
      <c r="DR16" s="326">
        <f t="shared" ca="1" si="61"/>
        <v>0</v>
      </c>
      <c r="DS16" s="319">
        <f ca="1">IF(ISERROR(DQ16),-1,0.5*Tgrid!$B$42+0.5774*(2+DQ16-DR16))</f>
        <v>1.504939088236134</v>
      </c>
      <c r="DT16" s="320">
        <f ca="1">IF(ISERROR(DQ16),-1,2+Tgrid!$B$54-DQ16-DR16)</f>
        <v>1.7399837058605234</v>
      </c>
    </row>
    <row r="17" spans="1:124" s="52" customFormat="1" ht="12.75" customHeight="1">
      <c r="A17" s="359" t="s">
        <v>183</v>
      </c>
      <c r="B17" s="355"/>
      <c r="C17" s="362"/>
      <c r="D17" s="366" t="s">
        <v>185</v>
      </c>
      <c r="E17" s="366"/>
      <c r="F17" s="369"/>
      <c r="G17" s="366"/>
      <c r="H17" s="366">
        <v>94</v>
      </c>
      <c r="I17" s="373"/>
      <c r="J17" s="387">
        <v>8</v>
      </c>
      <c r="K17" s="381">
        <v>3.8</v>
      </c>
      <c r="L17" s="382">
        <v>610</v>
      </c>
      <c r="M17" s="382">
        <v>78</v>
      </c>
      <c r="N17" s="383">
        <v>48</v>
      </c>
      <c r="O17" s="384">
        <v>5.0999999999999996</v>
      </c>
      <c r="P17" s="385">
        <v>180</v>
      </c>
      <c r="Q17" s="382">
        <v>19</v>
      </c>
      <c r="R17" s="382">
        <v>1000</v>
      </c>
      <c r="S17" s="382"/>
      <c r="T17" s="382">
        <v>41</v>
      </c>
      <c r="U17" s="382">
        <v>175</v>
      </c>
      <c r="V17" s="387"/>
      <c r="W17" s="383"/>
      <c r="X17" s="387"/>
      <c r="Y17" s="384">
        <v>0.56000000000000005</v>
      </c>
      <c r="Z17" s="384">
        <v>0.62</v>
      </c>
      <c r="AA17" s="387"/>
      <c r="AB17" s="387"/>
      <c r="AC17" s="387"/>
      <c r="AD17" s="387"/>
      <c r="AE17" s="388"/>
      <c r="AF17" s="387"/>
      <c r="AG17" s="387"/>
      <c r="AH17" s="308" t="str">
        <f t="shared" ca="1" si="0"/>
        <v>rb</v>
      </c>
      <c r="AI17" s="71">
        <f t="shared" ca="1" si="1"/>
        <v>0</v>
      </c>
      <c r="AJ17" s="71">
        <f t="shared" ca="1" si="1"/>
        <v>0</v>
      </c>
      <c r="AK17" s="71">
        <f t="shared" ca="1" si="1"/>
        <v>0</v>
      </c>
      <c r="AL17" s="71">
        <f t="shared" ca="1" si="1"/>
        <v>94</v>
      </c>
      <c r="AM17" s="71">
        <f t="shared" ca="1" si="1"/>
        <v>0</v>
      </c>
      <c r="AN17" s="71">
        <f t="shared" ca="1" si="1"/>
        <v>8</v>
      </c>
      <c r="AO17" s="71">
        <f t="shared" ca="1" si="2"/>
        <v>3.8</v>
      </c>
      <c r="AP17" s="71">
        <f t="shared" ca="1" si="2"/>
        <v>610</v>
      </c>
      <c r="AQ17" s="71">
        <f t="shared" ca="1" si="2"/>
        <v>78</v>
      </c>
      <c r="AR17" s="71">
        <f t="shared" ca="1" si="2"/>
        <v>48</v>
      </c>
      <c r="AS17" s="107">
        <f t="shared" ca="1" si="2"/>
        <v>5.0999999999999996</v>
      </c>
      <c r="AT17" s="71">
        <f t="shared" ca="1" si="2"/>
        <v>180</v>
      </c>
      <c r="AU17" s="71">
        <f t="shared" ca="1" si="2"/>
        <v>19</v>
      </c>
      <c r="AV17" s="71">
        <f t="shared" ca="1" si="2"/>
        <v>1000</v>
      </c>
      <c r="AW17" s="71">
        <f t="shared" ca="1" si="2"/>
        <v>0</v>
      </c>
      <c r="AX17" s="71">
        <f t="shared" ca="1" si="2"/>
        <v>41</v>
      </c>
      <c r="AY17" s="71">
        <f t="shared" ca="1" si="3"/>
        <v>175</v>
      </c>
      <c r="AZ17" s="71">
        <f t="shared" ca="1" si="3"/>
        <v>0</v>
      </c>
      <c r="BA17" s="71">
        <f t="shared" ca="1" si="3"/>
        <v>0</v>
      </c>
      <c r="BB17" s="71">
        <f t="shared" ca="1" si="3"/>
        <v>0</v>
      </c>
      <c r="BC17" s="71">
        <f t="shared" ca="1" si="3"/>
        <v>0.56000000000000005</v>
      </c>
      <c r="BD17" s="71">
        <f t="shared" ca="1" si="3"/>
        <v>0.62</v>
      </c>
      <c r="BE17" s="71">
        <f t="shared" ca="1" si="3"/>
        <v>0</v>
      </c>
      <c r="BF17" s="71">
        <f t="shared" ca="1" si="3"/>
        <v>0</v>
      </c>
      <c r="BG17" s="71">
        <f t="shared" ca="1" si="3"/>
        <v>0</v>
      </c>
      <c r="BH17" s="71">
        <f t="shared" ca="1" si="3"/>
        <v>0</v>
      </c>
      <c r="BI17" s="71">
        <f t="shared" ca="1" si="3"/>
        <v>0</v>
      </c>
      <c r="BJ17" s="71">
        <f t="shared" ca="1" si="4"/>
        <v>0</v>
      </c>
      <c r="BK17" s="71">
        <f t="shared" ca="1" si="24"/>
        <v>99</v>
      </c>
      <c r="BL17" s="71" t="str">
        <f t="shared" ca="1" si="25"/>
        <v/>
      </c>
      <c r="BM17" s="268">
        <f t="shared" ca="1" si="26"/>
        <v>31.891813919999997</v>
      </c>
      <c r="BN17" s="268">
        <f t="shared" ca="1" si="27"/>
        <v>31.931869999999996</v>
      </c>
      <c r="BO17" s="269">
        <f t="shared" ca="1" si="28"/>
        <v>-6.2760526406165789E-4</v>
      </c>
      <c r="BP17" s="264"/>
      <c r="BQ17" s="261">
        <f t="shared" ca="1" si="5"/>
        <v>0.67796610169491522</v>
      </c>
      <c r="BR17" s="261">
        <f t="shared" ca="1" si="6"/>
        <v>0</v>
      </c>
      <c r="BS17" s="261">
        <f t="shared" ca="1" si="7"/>
        <v>0.32203389830508472</v>
      </c>
      <c r="BT17" s="262">
        <f t="shared" ca="1" si="8"/>
        <v>0.76331016949152541</v>
      </c>
      <c r="BU17" s="263">
        <f t="shared" ca="1" si="29"/>
        <v>0.67796610169491522</v>
      </c>
      <c r="BV17" s="261">
        <f t="shared" ca="1" si="9"/>
        <v>0.53908355795148244</v>
      </c>
      <c r="BW17" s="261">
        <f t="shared" ca="1" si="10"/>
        <v>0.20485175202156333</v>
      </c>
      <c r="BX17" s="261">
        <f t="shared" ca="1" si="11"/>
        <v>0.2560646900269542</v>
      </c>
      <c r="BY17" s="262">
        <f t="shared" ca="1" si="12"/>
        <v>0.60694474393530995</v>
      </c>
      <c r="BZ17" s="263">
        <f t="shared" ca="1" si="30"/>
        <v>0.53908355795148244</v>
      </c>
      <c r="CA17" s="261">
        <f t="shared" ca="1" si="13"/>
        <v>0.31045751633986929</v>
      </c>
      <c r="CB17" s="261">
        <f t="shared" ca="1" si="14"/>
        <v>0.18300653594771243</v>
      </c>
      <c r="CC17" s="261">
        <f t="shared" ca="1" si="15"/>
        <v>0.50653594771241828</v>
      </c>
      <c r="CD17" s="262">
        <f t="shared" ca="1" si="16"/>
        <v>0.76415522875816988</v>
      </c>
      <c r="CE17" s="263">
        <f t="shared" ca="1" si="31"/>
        <v>0.31045751633986929</v>
      </c>
      <c r="CF17" s="261">
        <f t="shared" ca="1" si="17"/>
        <v>0.82236842105263153</v>
      </c>
      <c r="CG17" s="261">
        <f t="shared" ca="1" si="18"/>
        <v>3.3717105263157895E-2</v>
      </c>
      <c r="CH17" s="261">
        <f t="shared" ca="1" si="19"/>
        <v>0.14391447368421054</v>
      </c>
      <c r="CI17" s="262">
        <f t="shared" ca="1" si="20"/>
        <v>0.64101356907894735</v>
      </c>
      <c r="CJ17" s="263">
        <f t="shared" ca="1" si="32"/>
        <v>0.82236842105263153</v>
      </c>
      <c r="CK17" s="310">
        <f t="shared" ca="1" si="33"/>
        <v>3.8</v>
      </c>
      <c r="CL17" s="310">
        <f t="shared" ca="1" si="34"/>
        <v>0.56000000000000005</v>
      </c>
      <c r="CM17" s="310">
        <f t="shared" ca="1" si="35"/>
        <v>0.62</v>
      </c>
      <c r="CN17" s="296">
        <f t="shared" ca="1" si="36"/>
        <v>0.31045751633986929</v>
      </c>
      <c r="CO17" s="261">
        <f t="shared" ca="1" si="37"/>
        <v>0.18300653594771243</v>
      </c>
      <c r="CP17" s="261">
        <f t="shared" ca="1" si="38"/>
        <v>0.50653594771241828</v>
      </c>
      <c r="CQ17" s="262">
        <f t="shared" ca="1" si="21"/>
        <v>0.76415522875816988</v>
      </c>
      <c r="CR17" s="263">
        <f t="shared" ca="1" si="39"/>
        <v>0.31045751633986929</v>
      </c>
      <c r="CS17" s="261">
        <f t="shared" ca="1" si="40"/>
        <v>0.16720033917030785</v>
      </c>
      <c r="CT17" s="261">
        <f t="shared" ca="1" si="41"/>
        <v>0.21379715500465593</v>
      </c>
      <c r="CU17" s="261">
        <f t="shared" ca="1" si="42"/>
        <v>0.61900250582503624</v>
      </c>
      <c r="CV17" s="262">
        <f t="shared" ca="1" si="22"/>
        <v>0.81130366931310516</v>
      </c>
      <c r="CW17" s="263">
        <f t="shared" ca="1" si="43"/>
        <v>0.16720033917030785</v>
      </c>
      <c r="CX17" s="264"/>
      <c r="CY17" s="265">
        <f t="shared" ca="1" si="44"/>
        <v>3.0766190292830244</v>
      </c>
      <c r="CZ17" s="266">
        <f t="shared" ca="1" si="45"/>
        <v>2.1029479680053735</v>
      </c>
      <c r="DA17" s="265">
        <f t="shared" ca="1" si="46"/>
        <v>0.51515151515151514</v>
      </c>
      <c r="DB17" s="265">
        <f t="shared" ca="1" si="47"/>
        <v>0.5611510791366906</v>
      </c>
      <c r="DC17" s="267">
        <f t="shared" ca="1" si="48"/>
        <v>173.39090095812807</v>
      </c>
      <c r="DD17" s="330">
        <f t="shared" ca="1" si="49"/>
        <v>1000</v>
      </c>
      <c r="DE17" s="267">
        <f t="shared" ca="1" si="23"/>
        <v>734.31862895644861</v>
      </c>
      <c r="DF17" s="330">
        <f t="shared" ca="1" si="50"/>
        <v>394.79484281200678</v>
      </c>
      <c r="DG17" s="324">
        <f t="shared" ca="1" si="51"/>
        <v>0.91019942262976616</v>
      </c>
      <c r="DH17" s="318">
        <f t="shared" ca="1" si="52"/>
        <v>7.6416085586015869E-2</v>
      </c>
      <c r="DI17" s="318">
        <f t="shared" ca="1" si="53"/>
        <v>1.3384491784217972E-2</v>
      </c>
      <c r="DJ17" s="319">
        <f t="shared" ca="1" si="54"/>
        <v>1.0587354788667986</v>
      </c>
      <c r="DK17" s="320">
        <f t="shared" ca="1" si="55"/>
        <v>1.3384491784217972E-2</v>
      </c>
      <c r="DL17" s="324">
        <f t="shared" ca="1" si="56"/>
        <v>0.88344340622707029</v>
      </c>
      <c r="DM17" s="318">
        <f t="shared" ca="1" si="57"/>
        <v>8.9824053523955852E-2</v>
      </c>
      <c r="DN17" s="318">
        <f t="shared" ca="1" si="58"/>
        <v>2.6732540248973834E-2</v>
      </c>
      <c r="DO17" s="319">
        <f ca="1">IF(ISERROR(DL17),-1,Tgrid!$A$46+0.5774*DN17+1.1547*DL17)</f>
        <v>2.3902474699101557</v>
      </c>
      <c r="DP17" s="320">
        <f t="shared" ca="1" si="59"/>
        <v>2.6732540248973834E-2</v>
      </c>
      <c r="DQ17" s="325">
        <f t="shared" ca="1" si="60"/>
        <v>0.91019942262976616</v>
      </c>
      <c r="DR17" s="326">
        <f t="shared" ca="1" si="61"/>
        <v>8.9824053523955852E-2</v>
      </c>
      <c r="DS17" s="319">
        <f ca="1">IF(ISERROR(DQ17),-1,0.5*Tgrid!$B$42+0.5774*(2+DQ17-DR17))</f>
        <v>1.728484738121695</v>
      </c>
      <c r="DT17" s="320">
        <f ca="1">IF(ISERROR(DQ17),-1,2+Tgrid!$B$54-DQ17-DR17)</f>
        <v>1.1731765238462779</v>
      </c>
    </row>
    <row r="18" spans="1:124" s="52" customFormat="1" ht="13.5" customHeight="1">
      <c r="A18" s="359" t="s">
        <v>186</v>
      </c>
      <c r="B18" s="355"/>
      <c r="C18" s="362"/>
      <c r="D18" s="366" t="s">
        <v>187</v>
      </c>
      <c r="E18" s="366"/>
      <c r="F18" s="366"/>
      <c r="G18" s="366"/>
      <c r="H18" s="366">
        <v>92</v>
      </c>
      <c r="I18" s="373"/>
      <c r="J18" s="381">
        <v>8.1</v>
      </c>
      <c r="K18" s="381">
        <v>6.6</v>
      </c>
      <c r="L18" s="382">
        <v>705</v>
      </c>
      <c r="M18" s="382">
        <v>50</v>
      </c>
      <c r="N18" s="383">
        <v>30</v>
      </c>
      <c r="O18" s="384">
        <v>0.3</v>
      </c>
      <c r="P18" s="382">
        <v>135</v>
      </c>
      <c r="Q18" s="382">
        <v>75</v>
      </c>
      <c r="R18" s="382">
        <v>1010</v>
      </c>
      <c r="S18" s="382"/>
      <c r="T18" s="382">
        <v>135</v>
      </c>
      <c r="U18" s="382">
        <v>63</v>
      </c>
      <c r="V18" s="383"/>
      <c r="W18" s="383"/>
      <c r="X18" s="381"/>
      <c r="Y18" s="384">
        <v>0.43</v>
      </c>
      <c r="Z18" s="384">
        <v>1.1200000000000001</v>
      </c>
      <c r="AA18" s="381"/>
      <c r="AB18" s="381"/>
      <c r="AC18" s="381"/>
      <c r="AD18" s="381"/>
      <c r="AE18" s="381"/>
      <c r="AF18" s="387"/>
      <c r="AG18" s="387"/>
      <c r="AH18" s="308" t="str">
        <f t="shared" ca="1" si="0"/>
        <v>ar</v>
      </c>
      <c r="AI18" s="71">
        <f t="shared" ref="AI18:AN27" ca="1" si="62">INDIRECT(AI$5&amp;(CELL("row", AI18)))</f>
        <v>0</v>
      </c>
      <c r="AJ18" s="71">
        <f t="shared" ca="1" si="62"/>
        <v>0</v>
      </c>
      <c r="AK18" s="71">
        <f t="shared" ca="1" si="62"/>
        <v>0</v>
      </c>
      <c r="AL18" s="71">
        <f t="shared" ca="1" si="62"/>
        <v>92</v>
      </c>
      <c r="AM18" s="71">
        <f t="shared" ca="1" si="62"/>
        <v>0</v>
      </c>
      <c r="AN18" s="71">
        <f t="shared" ca="1" si="62"/>
        <v>8.1</v>
      </c>
      <c r="AO18" s="71">
        <f t="shared" ref="AO18:AX27" ca="1" si="63">ABS(INDIRECT(AO$5&amp;(CELL("row", AO18))))</f>
        <v>6.6</v>
      </c>
      <c r="AP18" s="71">
        <f t="shared" ca="1" si="63"/>
        <v>705</v>
      </c>
      <c r="AQ18" s="71">
        <f t="shared" ca="1" si="63"/>
        <v>50</v>
      </c>
      <c r="AR18" s="71">
        <f t="shared" ca="1" si="63"/>
        <v>30</v>
      </c>
      <c r="AS18" s="107">
        <f t="shared" ca="1" si="63"/>
        <v>0.3</v>
      </c>
      <c r="AT18" s="71">
        <f t="shared" ca="1" si="63"/>
        <v>135</v>
      </c>
      <c r="AU18" s="71">
        <f t="shared" ca="1" si="63"/>
        <v>75</v>
      </c>
      <c r="AV18" s="71">
        <f t="shared" ca="1" si="63"/>
        <v>1010</v>
      </c>
      <c r="AW18" s="71">
        <f t="shared" ca="1" si="63"/>
        <v>0</v>
      </c>
      <c r="AX18" s="71">
        <f t="shared" ca="1" si="63"/>
        <v>135</v>
      </c>
      <c r="AY18" s="71">
        <f t="shared" ref="AY18:BI27" ca="1" si="64">ABS(INDIRECT(AY$5&amp;(CELL("row", AY18))))</f>
        <v>63</v>
      </c>
      <c r="AZ18" s="71">
        <f t="shared" ca="1" si="64"/>
        <v>0</v>
      </c>
      <c r="BA18" s="71">
        <f t="shared" ca="1" si="64"/>
        <v>0</v>
      </c>
      <c r="BB18" s="71">
        <f t="shared" ca="1" si="64"/>
        <v>0</v>
      </c>
      <c r="BC18" s="71">
        <f t="shared" ca="1" si="64"/>
        <v>0.43</v>
      </c>
      <c r="BD18" s="71">
        <f t="shared" ca="1" si="64"/>
        <v>1.1200000000000001</v>
      </c>
      <c r="BE18" s="71">
        <f t="shared" ca="1" si="64"/>
        <v>0</v>
      </c>
      <c r="BF18" s="71">
        <f t="shared" ca="1" si="64"/>
        <v>0</v>
      </c>
      <c r="BG18" s="71">
        <f t="shared" ca="1" si="64"/>
        <v>0</v>
      </c>
      <c r="BH18" s="71">
        <f t="shared" ca="1" si="64"/>
        <v>0</v>
      </c>
      <c r="BI18" s="71">
        <f t="shared" ca="1" si="64"/>
        <v>0</v>
      </c>
      <c r="BJ18" s="71">
        <f t="shared" ca="1" si="4"/>
        <v>0</v>
      </c>
      <c r="BK18" s="71">
        <f t="shared" ca="1" si="24"/>
        <v>99</v>
      </c>
      <c r="BL18" s="71" t="str">
        <f t="shared" ca="1" si="25"/>
        <v/>
      </c>
      <c r="BM18" s="268">
        <f t="shared" ca="1" si="26"/>
        <v>34.418811879736083</v>
      </c>
      <c r="BN18" s="268">
        <f t="shared" ca="1" si="27"/>
        <v>32.335370000000005</v>
      </c>
      <c r="BO18" s="269">
        <f t="shared" ca="1" si="28"/>
        <v>3.1210657086466795E-2</v>
      </c>
      <c r="BP18" s="264"/>
      <c r="BQ18" s="261">
        <f t="shared" ca="1" si="5"/>
        <v>0.35008665511265163</v>
      </c>
      <c r="BR18" s="261">
        <f t="shared" ca="1" si="6"/>
        <v>0</v>
      </c>
      <c r="BS18" s="261">
        <f t="shared" ca="1" si="7"/>
        <v>0.64991334488734831</v>
      </c>
      <c r="BT18" s="262">
        <f t="shared" ca="1" si="8"/>
        <v>0.95259497400346627</v>
      </c>
      <c r="BU18" s="263">
        <f t="shared" ca="1" si="29"/>
        <v>0.35008665511265163</v>
      </c>
      <c r="BV18" s="261">
        <f t="shared" ca="1" si="9"/>
        <v>0.28490832157968971</v>
      </c>
      <c r="BW18" s="261">
        <f t="shared" ca="1" si="10"/>
        <v>0.18617771509167841</v>
      </c>
      <c r="BX18" s="261">
        <f t="shared" ca="1" si="11"/>
        <v>0.52891396332863183</v>
      </c>
      <c r="BY18" s="262">
        <f t="shared" ca="1" si="12"/>
        <v>0.7752430183356841</v>
      </c>
      <c r="BZ18" s="263">
        <f t="shared" ca="1" si="30"/>
        <v>0.28490832157968971</v>
      </c>
      <c r="CA18" s="261">
        <f t="shared" ca="1" si="13"/>
        <v>0.33811475409836056</v>
      </c>
      <c r="CB18" s="261">
        <f t="shared" ca="1" si="14"/>
        <v>8.8114754098360643E-2</v>
      </c>
      <c r="CC18" s="261">
        <f t="shared" ca="1" si="15"/>
        <v>0.57377049180327866</v>
      </c>
      <c r="CD18" s="262">
        <f t="shared" ca="1" si="16"/>
        <v>0.85776024590163924</v>
      </c>
      <c r="CE18" s="263">
        <f t="shared" ca="1" si="31"/>
        <v>0.33811475409836056</v>
      </c>
      <c r="CF18" s="261">
        <f t="shared" ca="1" si="17"/>
        <v>0.83609271523178808</v>
      </c>
      <c r="CG18" s="261">
        <f t="shared" ca="1" si="18"/>
        <v>0.11175496688741722</v>
      </c>
      <c r="CH18" s="261">
        <f t="shared" ca="1" si="19"/>
        <v>5.2152317880794705E-2</v>
      </c>
      <c r="CI18" s="262">
        <f t="shared" ca="1" si="20"/>
        <v>0.54298021523178808</v>
      </c>
      <c r="CJ18" s="263">
        <f t="shared" ca="1" si="32"/>
        <v>0.83609271523178808</v>
      </c>
      <c r="CK18" s="310">
        <f t="shared" ca="1" si="33"/>
        <v>6.6</v>
      </c>
      <c r="CL18" s="310">
        <f t="shared" ca="1" si="34"/>
        <v>0.43</v>
      </c>
      <c r="CM18" s="310">
        <f t="shared" ca="1" si="35"/>
        <v>1.1200000000000001</v>
      </c>
      <c r="CN18" s="296">
        <f t="shared" ca="1" si="36"/>
        <v>0.33811475409836056</v>
      </c>
      <c r="CO18" s="261">
        <f t="shared" ca="1" si="37"/>
        <v>8.8114754098360643E-2</v>
      </c>
      <c r="CP18" s="261">
        <f t="shared" ca="1" si="38"/>
        <v>0.57377049180327866</v>
      </c>
      <c r="CQ18" s="262">
        <f t="shared" ca="1" si="21"/>
        <v>0.85776024590163924</v>
      </c>
      <c r="CR18" s="263">
        <f t="shared" ca="1" si="39"/>
        <v>0.33811475409836056</v>
      </c>
      <c r="CS18" s="261">
        <f t="shared" ca="1" si="40"/>
        <v>0.40223137254734737</v>
      </c>
      <c r="CT18" s="261">
        <f t="shared" ca="1" si="41"/>
        <v>0.28527047698393432</v>
      </c>
      <c r="CU18" s="261">
        <f t="shared" ca="1" si="42"/>
        <v>0.31249815046871821</v>
      </c>
      <c r="CV18" s="262">
        <f t="shared" ca="1" si="22"/>
        <v>0.59309000885506724</v>
      </c>
      <c r="CW18" s="263">
        <f t="shared" ca="1" si="43"/>
        <v>0.40223137254734737</v>
      </c>
      <c r="CX18" s="264"/>
      <c r="CY18" s="265">
        <f t="shared" ca="1" si="44"/>
        <v>3.9208187539523749</v>
      </c>
      <c r="CZ18" s="266">
        <f t="shared" ca="1" si="45"/>
        <v>1.9208187539523751</v>
      </c>
      <c r="DA18" s="265">
        <f t="shared" ca="1" si="46"/>
        <v>9.0909090909090912E-2</v>
      </c>
      <c r="DB18" s="265">
        <f t="shared" ca="1" si="47"/>
        <v>0.41493775933609961</v>
      </c>
      <c r="DC18" s="267">
        <f t="shared" ca="1" si="48"/>
        <v>154.92503576599429</v>
      </c>
      <c r="DD18" s="330">
        <f t="shared" ca="1" si="49"/>
        <v>1010</v>
      </c>
      <c r="DE18" s="267">
        <f t="shared" ca="1" si="23"/>
        <v>653.24264513542266</v>
      </c>
      <c r="DF18" s="330">
        <f t="shared" ca="1" si="50"/>
        <v>386.43830668515113</v>
      </c>
      <c r="DG18" s="324">
        <f t="shared" ca="1" si="51"/>
        <v>0.95453290784021527</v>
      </c>
      <c r="DH18" s="318">
        <f t="shared" ca="1" si="52"/>
        <v>4.4729724004157083E-2</v>
      </c>
      <c r="DI18" s="318">
        <f t="shared" ca="1" si="53"/>
        <v>7.3736815562764767E-4</v>
      </c>
      <c r="DJ18" s="319">
        <f t="shared" ca="1" si="54"/>
        <v>1.1026249050561561</v>
      </c>
      <c r="DK18" s="320">
        <f t="shared" ca="1" si="55"/>
        <v>7.3736815562764767E-4</v>
      </c>
      <c r="DL18" s="324">
        <f t="shared" ca="1" si="56"/>
        <v>0.88114346611775285</v>
      </c>
      <c r="DM18" s="318">
        <f t="shared" ca="1" si="57"/>
        <v>3.1933143180362555E-2</v>
      </c>
      <c r="DN18" s="318">
        <f t="shared" ca="1" si="58"/>
        <v>8.6923390701884665E-2</v>
      </c>
      <c r="DO18" s="319">
        <f ca="1">IF(ISERROR(DL18),-1,Tgrid!$A$46+0.5774*DN18+1.1547*DL18)</f>
        <v>2.4223459261174378</v>
      </c>
      <c r="DP18" s="320">
        <f t="shared" ca="1" si="59"/>
        <v>8.6923390701884665E-2</v>
      </c>
      <c r="DQ18" s="325">
        <f t="shared" ca="1" si="60"/>
        <v>0.95453290784021527</v>
      </c>
      <c r="DR18" s="326">
        <f t="shared" ca="1" si="61"/>
        <v>3.1933143180362555E-2</v>
      </c>
      <c r="DS18" s="319">
        <f ca="1">IF(ISERROR(DQ18),-1,0.5*Tgrid!$B$42+0.5774*(2+DQ18-DR18))</f>
        <v>1.7875091041145992</v>
      </c>
      <c r="DT18" s="320">
        <f ca="1">IF(ISERROR(DQ18),-1,2+Tgrid!$B$54-DQ18-DR18)</f>
        <v>1.186733948979422</v>
      </c>
    </row>
    <row r="19" spans="1:124" s="52" customFormat="1" ht="13.5" customHeight="1">
      <c r="A19" s="359" t="s">
        <v>188</v>
      </c>
      <c r="B19" s="355"/>
      <c r="C19" s="362"/>
      <c r="D19" s="366" t="s">
        <v>189</v>
      </c>
      <c r="E19" s="366"/>
      <c r="F19" s="369"/>
      <c r="G19" s="366"/>
      <c r="H19" s="366">
        <v>94</v>
      </c>
      <c r="I19" s="373"/>
      <c r="J19" s="387">
        <v>7.4</v>
      </c>
      <c r="K19" s="381">
        <v>1.2</v>
      </c>
      <c r="L19" s="382">
        <v>93</v>
      </c>
      <c r="M19" s="382">
        <v>21</v>
      </c>
      <c r="N19" s="383">
        <v>51</v>
      </c>
      <c r="O19" s="384">
        <v>3.3</v>
      </c>
      <c r="P19" s="385">
        <v>75</v>
      </c>
      <c r="Q19" s="382">
        <v>3</v>
      </c>
      <c r="R19" s="382">
        <v>130</v>
      </c>
      <c r="S19" s="382"/>
      <c r="T19" s="382">
        <v>35</v>
      </c>
      <c r="U19" s="382">
        <v>190</v>
      </c>
      <c r="V19" s="387"/>
      <c r="W19" s="383"/>
      <c r="X19" s="387"/>
      <c r="Y19" s="384">
        <v>0.15</v>
      </c>
      <c r="Z19" s="384">
        <v>0.14000000000000001</v>
      </c>
      <c r="AA19" s="387"/>
      <c r="AB19" s="387"/>
      <c r="AC19" s="387"/>
      <c r="AD19" s="387"/>
      <c r="AE19" s="388"/>
      <c r="AF19" s="387"/>
      <c r="AG19" s="387"/>
      <c r="AH19" s="308" t="str">
        <f t="shared" ca="1" si="0"/>
        <v>ma</v>
      </c>
      <c r="AI19" s="71">
        <f t="shared" ca="1" si="62"/>
        <v>0</v>
      </c>
      <c r="AJ19" s="71">
        <f t="shared" ca="1" si="62"/>
        <v>0</v>
      </c>
      <c r="AK19" s="71">
        <f t="shared" ca="1" si="62"/>
        <v>0</v>
      </c>
      <c r="AL19" s="71">
        <f t="shared" ca="1" si="62"/>
        <v>94</v>
      </c>
      <c r="AM19" s="71">
        <f t="shared" ca="1" si="62"/>
        <v>0</v>
      </c>
      <c r="AN19" s="71">
        <f t="shared" ca="1" si="62"/>
        <v>7.4</v>
      </c>
      <c r="AO19" s="71">
        <f t="shared" ca="1" si="63"/>
        <v>1.2</v>
      </c>
      <c r="AP19" s="71">
        <f t="shared" ca="1" si="63"/>
        <v>93</v>
      </c>
      <c r="AQ19" s="71">
        <f t="shared" ca="1" si="63"/>
        <v>21</v>
      </c>
      <c r="AR19" s="71">
        <f t="shared" ca="1" si="63"/>
        <v>51</v>
      </c>
      <c r="AS19" s="107">
        <f t="shared" ca="1" si="63"/>
        <v>3.3</v>
      </c>
      <c r="AT19" s="71">
        <f t="shared" ca="1" si="63"/>
        <v>75</v>
      </c>
      <c r="AU19" s="71">
        <f t="shared" ca="1" si="63"/>
        <v>3</v>
      </c>
      <c r="AV19" s="71">
        <f t="shared" ca="1" si="63"/>
        <v>130</v>
      </c>
      <c r="AW19" s="71">
        <f t="shared" ca="1" si="63"/>
        <v>0</v>
      </c>
      <c r="AX19" s="71">
        <f t="shared" ca="1" si="63"/>
        <v>35</v>
      </c>
      <c r="AY19" s="71">
        <f t="shared" ca="1" si="64"/>
        <v>190</v>
      </c>
      <c r="AZ19" s="71">
        <f t="shared" ca="1" si="64"/>
        <v>0</v>
      </c>
      <c r="BA19" s="71">
        <f t="shared" ca="1" si="64"/>
        <v>0</v>
      </c>
      <c r="BB19" s="71">
        <f t="shared" ca="1" si="64"/>
        <v>0</v>
      </c>
      <c r="BC19" s="71">
        <f t="shared" ca="1" si="64"/>
        <v>0.15</v>
      </c>
      <c r="BD19" s="71">
        <f t="shared" ca="1" si="64"/>
        <v>0.14000000000000001</v>
      </c>
      <c r="BE19" s="71">
        <f t="shared" ca="1" si="64"/>
        <v>0</v>
      </c>
      <c r="BF19" s="71">
        <f t="shared" ca="1" si="64"/>
        <v>0</v>
      </c>
      <c r="BG19" s="71">
        <f t="shared" ca="1" si="64"/>
        <v>0</v>
      </c>
      <c r="BH19" s="71">
        <f t="shared" ca="1" si="64"/>
        <v>0</v>
      </c>
      <c r="BI19" s="71">
        <f t="shared" ca="1" si="64"/>
        <v>0</v>
      </c>
      <c r="BJ19" s="71">
        <f t="shared" ca="1" si="4"/>
        <v>0</v>
      </c>
      <c r="BK19" s="71">
        <f t="shared" ca="1" si="24"/>
        <v>99</v>
      </c>
      <c r="BL19" s="71" t="str">
        <f t="shared" ca="1" si="25"/>
        <v/>
      </c>
      <c r="BM19" s="268">
        <f t="shared" ca="1" si="26"/>
        <v>7.5717994922313192</v>
      </c>
      <c r="BN19" s="268">
        <f t="shared" ca="1" si="27"/>
        <v>7.5100999999999996</v>
      </c>
      <c r="BO19" s="269">
        <f t="shared" ca="1" si="28"/>
        <v>4.0909629627953054E-3</v>
      </c>
      <c r="BP19" s="264"/>
      <c r="BQ19" s="261">
        <f t="shared" ca="1" si="5"/>
        <v>0.63414634146341464</v>
      </c>
      <c r="BR19" s="261">
        <f t="shared" ca="1" si="6"/>
        <v>0</v>
      </c>
      <c r="BS19" s="261">
        <f t="shared" ca="1" si="7"/>
        <v>0.36585365853658536</v>
      </c>
      <c r="BT19" s="262">
        <f t="shared" ca="1" si="8"/>
        <v>0.78860731707317067</v>
      </c>
      <c r="BU19" s="263">
        <f t="shared" ca="1" si="29"/>
        <v>0.63414634146341464</v>
      </c>
      <c r="BV19" s="261">
        <f t="shared" ca="1" si="9"/>
        <v>0.4</v>
      </c>
      <c r="BW19" s="261">
        <f t="shared" ca="1" si="10"/>
        <v>0.36923076923076925</v>
      </c>
      <c r="BX19" s="261">
        <f t="shared" ca="1" si="11"/>
        <v>0.23076923076923078</v>
      </c>
      <c r="BY19" s="262">
        <f t="shared" ca="1" si="12"/>
        <v>0.49742923076923085</v>
      </c>
      <c r="BZ19" s="263">
        <f t="shared" ca="1" si="30"/>
        <v>0.4</v>
      </c>
      <c r="CA19" s="261">
        <f t="shared" ca="1" si="13"/>
        <v>0.37499999999999994</v>
      </c>
      <c r="CB19" s="261">
        <f t="shared" ca="1" si="14"/>
        <v>0.18749999999999997</v>
      </c>
      <c r="CC19" s="261">
        <f t="shared" ca="1" si="15"/>
        <v>0.4375</v>
      </c>
      <c r="CD19" s="262">
        <f t="shared" ca="1" si="16"/>
        <v>0.72170624999999999</v>
      </c>
      <c r="CE19" s="263">
        <f t="shared" ca="1" si="31"/>
        <v>0.37499999999999994</v>
      </c>
      <c r="CF19" s="261">
        <f t="shared" ca="1" si="17"/>
        <v>0.36619718309859156</v>
      </c>
      <c r="CG19" s="261">
        <f t="shared" ca="1" si="18"/>
        <v>9.8591549295774641E-2</v>
      </c>
      <c r="CH19" s="261">
        <f t="shared" ca="1" si="19"/>
        <v>0.53521126760563376</v>
      </c>
      <c r="CI19" s="262">
        <f t="shared" ca="1" si="20"/>
        <v>0.82945070422535205</v>
      </c>
      <c r="CJ19" s="263">
        <f t="shared" ca="1" si="32"/>
        <v>0.36619718309859156</v>
      </c>
      <c r="CK19" s="310">
        <f t="shared" ca="1" si="33"/>
        <v>1.2</v>
      </c>
      <c r="CL19" s="310">
        <f t="shared" ca="1" si="34"/>
        <v>0.15</v>
      </c>
      <c r="CM19" s="310">
        <f t="shared" ca="1" si="35"/>
        <v>0.14000000000000001</v>
      </c>
      <c r="CN19" s="296">
        <f t="shared" ca="1" si="36"/>
        <v>0.37499999999999994</v>
      </c>
      <c r="CO19" s="261">
        <f t="shared" ca="1" si="37"/>
        <v>0.18749999999999997</v>
      </c>
      <c r="CP19" s="261">
        <f t="shared" ca="1" si="38"/>
        <v>0.4375</v>
      </c>
      <c r="CQ19" s="262">
        <f t="shared" ca="1" si="21"/>
        <v>0.72170624999999999</v>
      </c>
      <c r="CR19" s="263">
        <f t="shared" ca="1" si="39"/>
        <v>0.37499999999999994</v>
      </c>
      <c r="CS19" s="261">
        <f t="shared" ca="1" si="40"/>
        <v>4.3876405662455896E-2</v>
      </c>
      <c r="CT19" s="261">
        <f t="shared" ca="1" si="41"/>
        <v>9.9075754721674597E-2</v>
      </c>
      <c r="CU19" s="261">
        <f t="shared" ca="1" si="42"/>
        <v>0.8570478396158695</v>
      </c>
      <c r="CV19" s="262">
        <f t="shared" ca="1" si="22"/>
        <v>1.0149673770339467</v>
      </c>
      <c r="CW19" s="263">
        <f t="shared" ca="1" si="43"/>
        <v>4.3876405662455896E-2</v>
      </c>
      <c r="CX19" s="264"/>
      <c r="CY19" s="265">
        <f t="shared" ca="1" si="44"/>
        <v>2.1259246495899511</v>
      </c>
      <c r="CZ19" s="266">
        <f t="shared" ca="1" si="45"/>
        <v>0.93686841336990234</v>
      </c>
      <c r="DA19" s="265">
        <f t="shared" ca="1" si="46"/>
        <v>0.39285714285714285</v>
      </c>
      <c r="DB19" s="265">
        <f t="shared" ca="1" si="47"/>
        <v>0.69306930693069302</v>
      </c>
      <c r="DC19" s="267">
        <f t="shared" ca="1" si="48"/>
        <v>121.93871858286622</v>
      </c>
      <c r="DD19" s="330">
        <f t="shared" ca="1" si="49"/>
        <v>130</v>
      </c>
      <c r="DE19" s="267">
        <f t="shared" ca="1" si="23"/>
        <v>511.94881548561648</v>
      </c>
      <c r="DF19" s="330">
        <f t="shared" ca="1" si="50"/>
        <v>394.79484281200678</v>
      </c>
      <c r="DG19" s="324">
        <f t="shared" ca="1" si="51"/>
        <v>0.61935079447717933</v>
      </c>
      <c r="DH19" s="318">
        <f t="shared" ca="1" si="52"/>
        <v>0.34395988121361926</v>
      </c>
      <c r="DI19" s="318">
        <f t="shared" ca="1" si="53"/>
        <v>3.6689324309201403E-2</v>
      </c>
      <c r="DJ19" s="319">
        <f t="shared" ca="1" si="54"/>
        <v>0.73634877823893186</v>
      </c>
      <c r="DK19" s="320">
        <f t="shared" ca="1" si="55"/>
        <v>3.6689324309201403E-2</v>
      </c>
      <c r="DL19" s="324">
        <f t="shared" ca="1" si="56"/>
        <v>0.48831573481045526</v>
      </c>
      <c r="DM19" s="318">
        <f t="shared" ca="1" si="57"/>
        <v>0.41465493135910303</v>
      </c>
      <c r="DN19" s="318">
        <f t="shared" ca="1" si="58"/>
        <v>9.7029333830441683E-2</v>
      </c>
      <c r="DO19" s="319">
        <f ca="1">IF(ISERROR(DL19),-1,Tgrid!$A$46+0.5774*DN19+1.1547*DL19)</f>
        <v>1.9745829163393298</v>
      </c>
      <c r="DP19" s="320">
        <f t="shared" ca="1" si="59"/>
        <v>9.7029333830441683E-2</v>
      </c>
      <c r="DQ19" s="325">
        <f t="shared" ca="1" si="60"/>
        <v>0.61935079447717933</v>
      </c>
      <c r="DR19" s="326">
        <f t="shared" ca="1" si="61"/>
        <v>0.41465493135910303</v>
      </c>
      <c r="DS19" s="319">
        <f ca="1">IF(ISERROR(DQ19),-1,0.5*Tgrid!$B$42+0.5774*(2+DQ19-DR19))</f>
        <v>1.3729913913643776</v>
      </c>
      <c r="DT19" s="320">
        <f ca="1">IF(ISERROR(DQ19),-1,2+Tgrid!$B$54-DQ19-DR19)</f>
        <v>1.1391942741637175</v>
      </c>
    </row>
    <row r="20" spans="1:124" s="52" customFormat="1" ht="12.75" customHeight="1">
      <c r="A20" s="359" t="s">
        <v>190</v>
      </c>
      <c r="B20" s="355"/>
      <c r="C20" s="362"/>
      <c r="D20" s="366" t="s">
        <v>191</v>
      </c>
      <c r="E20" s="366"/>
      <c r="F20" s="366"/>
      <c r="G20" s="366"/>
      <c r="H20" s="366">
        <v>99</v>
      </c>
      <c r="I20" s="373"/>
      <c r="J20" s="381">
        <v>9</v>
      </c>
      <c r="K20" s="381">
        <v>0.6</v>
      </c>
      <c r="L20" s="382">
        <v>122</v>
      </c>
      <c r="M20" s="382">
        <v>8</v>
      </c>
      <c r="N20" s="383">
        <v>1</v>
      </c>
      <c r="O20" s="384">
        <v>0.1</v>
      </c>
      <c r="P20" s="382">
        <v>195</v>
      </c>
      <c r="Q20" s="382">
        <v>-1</v>
      </c>
      <c r="R20" s="382">
        <v>27</v>
      </c>
      <c r="S20" s="382"/>
      <c r="T20" s="382">
        <v>22</v>
      </c>
      <c r="U20" s="382">
        <v>145</v>
      </c>
      <c r="V20" s="383"/>
      <c r="W20" s="383"/>
      <c r="X20" s="381"/>
      <c r="Y20" s="384">
        <v>0.14000000000000001</v>
      </c>
      <c r="Z20" s="384">
        <v>0.28999999999999998</v>
      </c>
      <c r="AA20" s="381"/>
      <c r="AB20" s="381"/>
      <c r="AC20" s="381"/>
      <c r="AD20" s="381"/>
      <c r="AE20" s="381"/>
      <c r="AF20" s="387"/>
      <c r="AG20" s="387"/>
      <c r="AH20" s="308" t="str">
        <f t="shared" ca="1" si="0"/>
        <v>fn</v>
      </c>
      <c r="AI20" s="71">
        <f t="shared" ca="1" si="62"/>
        <v>0</v>
      </c>
      <c r="AJ20" s="71">
        <f t="shared" ca="1" si="62"/>
        <v>0</v>
      </c>
      <c r="AK20" s="71">
        <f t="shared" ca="1" si="62"/>
        <v>0</v>
      </c>
      <c r="AL20" s="71">
        <f t="shared" ca="1" si="62"/>
        <v>99</v>
      </c>
      <c r="AM20" s="71">
        <f t="shared" ca="1" si="62"/>
        <v>0</v>
      </c>
      <c r="AN20" s="71">
        <f t="shared" ca="1" si="62"/>
        <v>9</v>
      </c>
      <c r="AO20" s="71">
        <f t="shared" ca="1" si="63"/>
        <v>0.6</v>
      </c>
      <c r="AP20" s="71">
        <f t="shared" ca="1" si="63"/>
        <v>122</v>
      </c>
      <c r="AQ20" s="71">
        <f t="shared" ca="1" si="63"/>
        <v>8</v>
      </c>
      <c r="AR20" s="71">
        <f t="shared" ca="1" si="63"/>
        <v>1</v>
      </c>
      <c r="AS20" s="107">
        <f t="shared" ca="1" si="63"/>
        <v>0.1</v>
      </c>
      <c r="AT20" s="71">
        <f t="shared" ca="1" si="63"/>
        <v>195</v>
      </c>
      <c r="AU20" s="71">
        <f t="shared" ca="1" si="63"/>
        <v>1</v>
      </c>
      <c r="AV20" s="71">
        <f t="shared" ca="1" si="63"/>
        <v>27</v>
      </c>
      <c r="AW20" s="71">
        <f t="shared" ca="1" si="63"/>
        <v>0</v>
      </c>
      <c r="AX20" s="71">
        <f t="shared" ca="1" si="63"/>
        <v>22</v>
      </c>
      <c r="AY20" s="71">
        <f t="shared" ca="1" si="64"/>
        <v>145</v>
      </c>
      <c r="AZ20" s="71">
        <f t="shared" ca="1" si="64"/>
        <v>0</v>
      </c>
      <c r="BA20" s="71">
        <f t="shared" ca="1" si="64"/>
        <v>0</v>
      </c>
      <c r="BB20" s="71">
        <f t="shared" ca="1" si="64"/>
        <v>0</v>
      </c>
      <c r="BC20" s="71">
        <f t="shared" ca="1" si="64"/>
        <v>0.14000000000000001</v>
      </c>
      <c r="BD20" s="71">
        <f t="shared" ca="1" si="64"/>
        <v>0.28999999999999998</v>
      </c>
      <c r="BE20" s="71">
        <f t="shared" ca="1" si="64"/>
        <v>0</v>
      </c>
      <c r="BF20" s="71">
        <f t="shared" ca="1" si="64"/>
        <v>0</v>
      </c>
      <c r="BG20" s="71">
        <f t="shared" ca="1" si="64"/>
        <v>0</v>
      </c>
      <c r="BH20" s="71">
        <f t="shared" ca="1" si="64"/>
        <v>0</v>
      </c>
      <c r="BI20" s="71">
        <f t="shared" ca="1" si="64"/>
        <v>0</v>
      </c>
      <c r="BJ20" s="71">
        <f t="shared" ca="1" si="4"/>
        <v>0</v>
      </c>
      <c r="BK20" s="71">
        <f t="shared" ca="1" si="24"/>
        <v>99</v>
      </c>
      <c r="BL20" s="71" t="str">
        <f t="shared" ca="1" si="25"/>
        <v/>
      </c>
      <c r="BM20" s="268">
        <f t="shared" ca="1" si="26"/>
        <v>5.6561529919999991</v>
      </c>
      <c r="BN20" s="268">
        <f t="shared" ca="1" si="27"/>
        <v>3.59626</v>
      </c>
      <c r="BO20" s="269">
        <f t="shared" ca="1" si="28"/>
        <v>0.22263305732040534</v>
      </c>
      <c r="BP20" s="264"/>
      <c r="BQ20" s="261">
        <f t="shared" ca="1" si="5"/>
        <v>0.51923076923076927</v>
      </c>
      <c r="BR20" s="261">
        <f t="shared" ca="1" si="6"/>
        <v>0</v>
      </c>
      <c r="BS20" s="261">
        <f t="shared" ca="1" si="7"/>
        <v>0.48076923076923078</v>
      </c>
      <c r="BT20" s="262">
        <f t="shared" ca="1" si="8"/>
        <v>0.85494807692307706</v>
      </c>
      <c r="BU20" s="263">
        <f t="shared" ca="1" si="29"/>
        <v>0.51923076923076927</v>
      </c>
      <c r="BV20" s="261">
        <f t="shared" ca="1" si="9"/>
        <v>0.24107142857142858</v>
      </c>
      <c r="BW20" s="261">
        <f t="shared" ca="1" si="10"/>
        <v>0.5357142857142857</v>
      </c>
      <c r="BX20" s="261">
        <f t="shared" ca="1" si="11"/>
        <v>0.22321428571428573</v>
      </c>
      <c r="BY20" s="262">
        <f t="shared" ca="1" si="12"/>
        <v>0.3969401785714286</v>
      </c>
      <c r="BZ20" s="263">
        <f t="shared" ca="1" si="30"/>
        <v>0.24107142857142858</v>
      </c>
      <c r="CA20" s="261">
        <f t="shared" ca="1" si="13"/>
        <v>0.14778325123152708</v>
      </c>
      <c r="CB20" s="261">
        <f t="shared" ca="1" si="14"/>
        <v>0.13793103448275862</v>
      </c>
      <c r="CC20" s="261">
        <f t="shared" ca="1" si="15"/>
        <v>0.71428571428571419</v>
      </c>
      <c r="CD20" s="262">
        <f t="shared" ca="1" si="16"/>
        <v>0.91011576354679802</v>
      </c>
      <c r="CE20" s="263">
        <f t="shared" ca="1" si="31"/>
        <v>0.14778325123152708</v>
      </c>
      <c r="CF20" s="261">
        <f t="shared" ca="1" si="17"/>
        <v>0.13917525773195877</v>
      </c>
      <c r="CG20" s="261">
        <f t="shared" ca="1" si="18"/>
        <v>0.1134020618556701</v>
      </c>
      <c r="CH20" s="261">
        <f t="shared" ca="1" si="19"/>
        <v>0.74742268041237114</v>
      </c>
      <c r="CI20" s="262">
        <f t="shared" ca="1" si="20"/>
        <v>0.94340876288659803</v>
      </c>
      <c r="CJ20" s="263">
        <f t="shared" ca="1" si="32"/>
        <v>0.13917525773195877</v>
      </c>
      <c r="CK20" s="310">
        <f t="shared" ca="1" si="33"/>
        <v>0.6</v>
      </c>
      <c r="CL20" s="310">
        <f t="shared" ca="1" si="34"/>
        <v>0.14000000000000001</v>
      </c>
      <c r="CM20" s="310">
        <f t="shared" ca="1" si="35"/>
        <v>0.28999999999999998</v>
      </c>
      <c r="CN20" s="296">
        <f t="shared" ca="1" si="36"/>
        <v>0.14778325123152708</v>
      </c>
      <c r="CO20" s="261">
        <f t="shared" ca="1" si="37"/>
        <v>0.13793103448275862</v>
      </c>
      <c r="CP20" s="261">
        <f t="shared" ca="1" si="38"/>
        <v>0.71428571428571419</v>
      </c>
      <c r="CQ20" s="262">
        <f t="shared" ca="1" si="21"/>
        <v>0.91011576354679802</v>
      </c>
      <c r="CR20" s="263">
        <f t="shared" ca="1" si="39"/>
        <v>0.14778325123152708</v>
      </c>
      <c r="CS20" s="261">
        <f t="shared" ca="1" si="40"/>
        <v>0.23541772170508529</v>
      </c>
      <c r="CT20" s="261">
        <f t="shared" ca="1" si="41"/>
        <v>0.15437227652792479</v>
      </c>
      <c r="CU20" s="261">
        <f t="shared" ca="1" si="42"/>
        <v>0.61021000176699003</v>
      </c>
      <c r="CV20" s="262">
        <f t="shared" ca="1" si="22"/>
        <v>0.84053968155285963</v>
      </c>
      <c r="CW20" s="263">
        <f t="shared" ca="1" si="43"/>
        <v>0.23541772170508529</v>
      </c>
      <c r="CX20" s="264"/>
      <c r="CY20" s="265">
        <f t="shared" ca="1" si="44"/>
        <v>2.8061799739838871</v>
      </c>
      <c r="CZ20" s="266">
        <f t="shared" ca="1" si="45"/>
        <v>1.8061799739838871</v>
      </c>
      <c r="DA20" s="265">
        <f t="shared" ca="1" si="46"/>
        <v>0.5</v>
      </c>
      <c r="DB20" s="265">
        <f t="shared" ca="1" si="47"/>
        <v>0.39603960396039606</v>
      </c>
      <c r="DC20" s="267">
        <f t="shared" ca="1" si="48"/>
        <v>178.83104492045021</v>
      </c>
      <c r="DD20" s="330">
        <f t="shared" ca="1" si="49"/>
        <v>27</v>
      </c>
      <c r="DE20" s="267">
        <f t="shared" ca="1" si="23"/>
        <v>758.48120071725396</v>
      </c>
      <c r="DF20" s="330">
        <f t="shared" ca="1" si="50"/>
        <v>415.68712591857957</v>
      </c>
      <c r="DG20" s="324">
        <f t="shared" ca="1" si="51"/>
        <v>0.98956386410293151</v>
      </c>
      <c r="DH20" s="318">
        <f t="shared" ca="1" si="52"/>
        <v>8.959212422387907E-3</v>
      </c>
      <c r="DI20" s="318">
        <f t="shared" ca="1" si="53"/>
        <v>1.4769234746806197E-3</v>
      </c>
      <c r="DJ20" s="319">
        <f t="shared" ca="1" si="54"/>
        <v>1.1435021694939358</v>
      </c>
      <c r="DK20" s="320">
        <f t="shared" ca="1" si="55"/>
        <v>1.4769234746806197E-3</v>
      </c>
      <c r="DL20" s="324">
        <f t="shared" ca="1" si="56"/>
        <v>0.21179503150495235</v>
      </c>
      <c r="DM20" s="318">
        <f t="shared" ca="1" si="57"/>
        <v>0.66083931640092763</v>
      </c>
      <c r="DN20" s="318">
        <f t="shared" ca="1" si="58"/>
        <v>0.12736565209412001</v>
      </c>
      <c r="DO20" s="319">
        <f ca="1">IF(ISERROR(DL20),-1,Tgrid!$A$46+0.5774*DN20+1.1547*DL20)</f>
        <v>1.6728006503979134</v>
      </c>
      <c r="DP20" s="320">
        <f t="shared" ca="1" si="59"/>
        <v>0.12736565209412001</v>
      </c>
      <c r="DQ20" s="325">
        <f t="shared" ca="1" si="60"/>
        <v>0.98956386410293151</v>
      </c>
      <c r="DR20" s="326">
        <f t="shared" ca="1" si="61"/>
        <v>0.66083931640092763</v>
      </c>
      <c r="DS20" s="319">
        <f ca="1">IF(ISERROR(DQ20),-1,0.5*Tgrid!$B$42+0.5774*(2+DQ20-DR20))</f>
        <v>1.4446055538431373</v>
      </c>
      <c r="DT20" s="320">
        <f ca="1">IF(ISERROR(DQ20),-1,2+Tgrid!$B$54-DQ20-DR20)</f>
        <v>0.52279681949614099</v>
      </c>
    </row>
    <row r="21" spans="1:124" s="52" customFormat="1" ht="12.75" customHeight="1">
      <c r="A21" s="359" t="s">
        <v>192</v>
      </c>
      <c r="B21" s="355"/>
      <c r="C21" s="362"/>
      <c r="D21" s="366" t="s">
        <v>193</v>
      </c>
      <c r="E21" s="366"/>
      <c r="F21" s="369"/>
      <c r="G21" s="366"/>
      <c r="H21" s="366">
        <v>56</v>
      </c>
      <c r="I21" s="373"/>
      <c r="J21" s="387">
        <v>5.6</v>
      </c>
      <c r="K21" s="381">
        <v>1.8</v>
      </c>
      <c r="L21" s="382">
        <v>1210</v>
      </c>
      <c r="M21" s="382">
        <v>178</v>
      </c>
      <c r="N21" s="383">
        <v>289</v>
      </c>
      <c r="O21" s="384">
        <v>26.6</v>
      </c>
      <c r="P21" s="385">
        <v>150</v>
      </c>
      <c r="Q21" s="382">
        <v>16</v>
      </c>
      <c r="R21" s="382">
        <v>2340</v>
      </c>
      <c r="S21" s="382"/>
      <c r="T21" s="382">
        <v>205</v>
      </c>
      <c r="U21" s="382">
        <v>6</v>
      </c>
      <c r="V21" s="387"/>
      <c r="W21" s="383"/>
      <c r="X21" s="387"/>
      <c r="Y21" s="384">
        <v>0.74</v>
      </c>
      <c r="Z21" s="384">
        <v>0.09</v>
      </c>
      <c r="AA21" s="387"/>
      <c r="AB21" s="387"/>
      <c r="AC21" s="387"/>
      <c r="AD21" s="387"/>
      <c r="AE21" s="388"/>
      <c r="AF21" s="387"/>
      <c r="AG21" s="387"/>
      <c r="AH21" s="308" t="str">
        <f t="shared" ca="1" si="0"/>
        <v>pr</v>
      </c>
      <c r="AI21" s="71">
        <f t="shared" ca="1" si="62"/>
        <v>0</v>
      </c>
      <c r="AJ21" s="71">
        <f t="shared" ca="1" si="62"/>
        <v>0</v>
      </c>
      <c r="AK21" s="71">
        <f t="shared" ca="1" si="62"/>
        <v>0</v>
      </c>
      <c r="AL21" s="71">
        <f t="shared" ca="1" si="62"/>
        <v>56</v>
      </c>
      <c r="AM21" s="71">
        <f t="shared" ca="1" si="62"/>
        <v>0</v>
      </c>
      <c r="AN21" s="71">
        <f t="shared" ca="1" si="62"/>
        <v>5.6</v>
      </c>
      <c r="AO21" s="71">
        <f t="shared" ca="1" si="63"/>
        <v>1.8</v>
      </c>
      <c r="AP21" s="71">
        <f t="shared" ca="1" si="63"/>
        <v>1210</v>
      </c>
      <c r="AQ21" s="71">
        <f t="shared" ca="1" si="63"/>
        <v>178</v>
      </c>
      <c r="AR21" s="71">
        <f t="shared" ca="1" si="63"/>
        <v>289</v>
      </c>
      <c r="AS21" s="107">
        <f t="shared" ca="1" si="63"/>
        <v>26.6</v>
      </c>
      <c r="AT21" s="71">
        <f t="shared" ca="1" si="63"/>
        <v>150</v>
      </c>
      <c r="AU21" s="71">
        <f t="shared" ca="1" si="63"/>
        <v>16</v>
      </c>
      <c r="AV21" s="71">
        <f t="shared" ca="1" si="63"/>
        <v>2340</v>
      </c>
      <c r="AW21" s="71">
        <f t="shared" ca="1" si="63"/>
        <v>0</v>
      </c>
      <c r="AX21" s="71">
        <f t="shared" ca="1" si="63"/>
        <v>205</v>
      </c>
      <c r="AY21" s="71">
        <f t="shared" ca="1" si="64"/>
        <v>6</v>
      </c>
      <c r="AZ21" s="71">
        <f t="shared" ca="1" si="64"/>
        <v>0</v>
      </c>
      <c r="BA21" s="71">
        <f t="shared" ca="1" si="64"/>
        <v>0</v>
      </c>
      <c r="BB21" s="71">
        <f t="shared" ca="1" si="64"/>
        <v>0</v>
      </c>
      <c r="BC21" s="71">
        <f t="shared" ca="1" si="64"/>
        <v>0.74</v>
      </c>
      <c r="BD21" s="71">
        <f t="shared" ca="1" si="64"/>
        <v>0.09</v>
      </c>
      <c r="BE21" s="71">
        <f t="shared" ca="1" si="64"/>
        <v>0</v>
      </c>
      <c r="BF21" s="71">
        <f t="shared" ca="1" si="64"/>
        <v>0</v>
      </c>
      <c r="BG21" s="71">
        <f t="shared" ca="1" si="64"/>
        <v>0</v>
      </c>
      <c r="BH21" s="71">
        <f t="shared" ca="1" si="64"/>
        <v>0</v>
      </c>
      <c r="BI21" s="71">
        <f t="shared" ca="1" si="64"/>
        <v>0</v>
      </c>
      <c r="BJ21" s="71">
        <f t="shared" ca="1" si="4"/>
        <v>0</v>
      </c>
      <c r="BK21" s="71">
        <f t="shared" ca="1" si="24"/>
        <v>99</v>
      </c>
      <c r="BL21" s="71" t="str">
        <f t="shared" ca="1" si="25"/>
        <v/>
      </c>
      <c r="BM21" s="268">
        <f t="shared" ca="1" si="26"/>
        <v>74.057565791340053</v>
      </c>
      <c r="BN21" s="268">
        <f t="shared" ca="1" si="27"/>
        <v>70.377839999999992</v>
      </c>
      <c r="BO21" s="269">
        <f t="shared" ca="1" si="28"/>
        <v>2.5476618916112661E-2</v>
      </c>
      <c r="BP21" s="264"/>
      <c r="BQ21" s="261">
        <f t="shared" ca="1" si="5"/>
        <v>0.85401459854014594</v>
      </c>
      <c r="BR21" s="261">
        <f t="shared" ca="1" si="6"/>
        <v>0</v>
      </c>
      <c r="BS21" s="261">
        <f t="shared" ca="1" si="7"/>
        <v>0.145985401459854</v>
      </c>
      <c r="BT21" s="262">
        <f t="shared" ca="1" si="8"/>
        <v>0.66167737226277379</v>
      </c>
      <c r="BU21" s="263">
        <f t="shared" ca="1" si="29"/>
        <v>0.85401459854014594</v>
      </c>
      <c r="BV21" s="261">
        <f t="shared" ca="1" si="9"/>
        <v>0.80136986301369861</v>
      </c>
      <c r="BW21" s="261">
        <f t="shared" ca="1" si="10"/>
        <v>6.1643835616438353E-2</v>
      </c>
      <c r="BX21" s="261">
        <f t="shared" ca="1" si="11"/>
        <v>0.13698630136986301</v>
      </c>
      <c r="BY21" s="262">
        <f t="shared" ca="1" si="12"/>
        <v>0.62088904109589049</v>
      </c>
      <c r="BZ21" s="263">
        <f t="shared" ca="1" si="30"/>
        <v>0.80136986301369861</v>
      </c>
      <c r="CA21" s="261">
        <f t="shared" ca="1" si="13"/>
        <v>0.31802120141342755</v>
      </c>
      <c r="CB21" s="261">
        <f t="shared" ca="1" si="14"/>
        <v>0.5229681978798586</v>
      </c>
      <c r="CC21" s="261">
        <f t="shared" ca="1" si="15"/>
        <v>0.15901060070671377</v>
      </c>
      <c r="CD21" s="262">
        <f t="shared" ca="1" si="16"/>
        <v>0.36723498233215546</v>
      </c>
      <c r="CE21" s="263">
        <f t="shared" ca="1" si="31"/>
        <v>0.31802120141342755</v>
      </c>
      <c r="CF21" s="261">
        <f t="shared" ca="1" si="17"/>
        <v>0.91728733829870635</v>
      </c>
      <c r="CG21" s="261">
        <f t="shared" ca="1" si="18"/>
        <v>8.036064288514308E-2</v>
      </c>
      <c r="CH21" s="261">
        <f t="shared" ca="1" si="19"/>
        <v>2.3520188161505291E-3</v>
      </c>
      <c r="CI21" s="262">
        <f t="shared" ca="1" si="20"/>
        <v>0.532357585260682</v>
      </c>
      <c r="CJ21" s="263">
        <f t="shared" ca="1" si="32"/>
        <v>0.91728733829870635</v>
      </c>
      <c r="CK21" s="310">
        <f t="shared" ca="1" si="33"/>
        <v>1.8</v>
      </c>
      <c r="CL21" s="310">
        <f t="shared" ca="1" si="34"/>
        <v>0.74</v>
      </c>
      <c r="CM21" s="310">
        <f t="shared" ca="1" si="35"/>
        <v>0.09</v>
      </c>
      <c r="CN21" s="296">
        <f t="shared" ca="1" si="36"/>
        <v>0.31802120141342755</v>
      </c>
      <c r="CO21" s="261">
        <f t="shared" ca="1" si="37"/>
        <v>0.5229681978798586</v>
      </c>
      <c r="CP21" s="261">
        <f t="shared" ca="1" si="38"/>
        <v>0.15901060070671377</v>
      </c>
      <c r="CQ21" s="262">
        <f t="shared" ca="1" si="21"/>
        <v>0.36723498233215546</v>
      </c>
      <c r="CR21" s="263">
        <f t="shared" ca="1" si="39"/>
        <v>0.31802120141342755</v>
      </c>
      <c r="CS21" s="261">
        <f t="shared" ca="1" si="40"/>
        <v>0.14851147106054796</v>
      </c>
      <c r="CT21" s="261">
        <f t="shared" ca="1" si="41"/>
        <v>0.21847142023783089</v>
      </c>
      <c r="CU21" s="261">
        <f t="shared" ca="1" si="42"/>
        <v>0.63301710870162109</v>
      </c>
      <c r="CV21" s="262">
        <f t="shared" ca="1" si="22"/>
        <v>0.81669537880812226</v>
      </c>
      <c r="CW21" s="263">
        <f t="shared" ca="1" si="43"/>
        <v>0.14851147106054796</v>
      </c>
      <c r="CX21" s="264"/>
      <c r="CY21" s="265">
        <f t="shared" ca="1" si="44"/>
        <v>3.0759583679867211</v>
      </c>
      <c r="CZ21" s="266">
        <f t="shared" ca="1" si="45"/>
        <v>2.0399421618612403</v>
      </c>
      <c r="DA21" s="265">
        <f t="shared" ca="1" si="46"/>
        <v>0.47927927927927927</v>
      </c>
      <c r="DB21" s="265">
        <f t="shared" ca="1" si="47"/>
        <v>0.59531772575250841</v>
      </c>
      <c r="DC21" s="267">
        <f t="shared" ca="1" si="48"/>
        <v>161.49585780009537</v>
      </c>
      <c r="DD21" s="330">
        <f t="shared" ca="1" si="49"/>
        <v>2340</v>
      </c>
      <c r="DE21" s="267">
        <f t="shared" ca="1" si="23"/>
        <v>681.924144302022</v>
      </c>
      <c r="DF21" s="330">
        <f t="shared" ca="1" si="50"/>
        <v>234.93000681276419</v>
      </c>
      <c r="DG21" s="324">
        <f t="shared" ca="1" si="51"/>
        <v>0.77492968558212016</v>
      </c>
      <c r="DH21" s="318">
        <f t="shared" ca="1" si="52"/>
        <v>0.19541930884947786</v>
      </c>
      <c r="DI21" s="318">
        <f t="shared" ca="1" si="53"/>
        <v>2.9651005568402142E-2</v>
      </c>
      <c r="DJ21" s="319">
        <f t="shared" ca="1" si="54"/>
        <v>0.91193179855686957</v>
      </c>
      <c r="DK21" s="320">
        <f t="shared" ca="1" si="55"/>
        <v>2.9651005568402142E-2</v>
      </c>
      <c r="DL21" s="324">
        <f t="shared" ca="1" si="56"/>
        <v>0.93795717515627086</v>
      </c>
      <c r="DM21" s="318">
        <f t="shared" ca="1" si="57"/>
        <v>1.3973148366019758E-3</v>
      </c>
      <c r="DN21" s="318">
        <f t="shared" ca="1" si="58"/>
        <v>6.0645510007127257E-2</v>
      </c>
      <c r="DO21" s="319">
        <f ca="1">IF(ISERROR(DL21),-1,Tgrid!$A$46+0.5774*DN21+1.1547*DL21)</f>
        <v>2.4727758676310616</v>
      </c>
      <c r="DP21" s="320">
        <f t="shared" ca="1" si="59"/>
        <v>6.0645510007127257E-2</v>
      </c>
      <c r="DQ21" s="325">
        <f t="shared" ca="1" si="60"/>
        <v>0.77492968558212016</v>
      </c>
      <c r="DR21" s="326">
        <f t="shared" ca="1" si="61"/>
        <v>1.3973148366019758E-3</v>
      </c>
      <c r="DS21" s="319">
        <f ca="1">IF(ISERROR(DQ21),-1,0.5*Tgrid!$B$42+0.5774*(2+DQ21-DR21))</f>
        <v>1.7014375908684622</v>
      </c>
      <c r="DT21" s="320">
        <f ca="1">IF(ISERROR(DQ21),-1,2+Tgrid!$B$54-DQ21-DR21)</f>
        <v>1.3968729995812779</v>
      </c>
    </row>
    <row r="22" spans="1:124" s="52" customFormat="1">
      <c r="A22" s="359" t="s">
        <v>194</v>
      </c>
      <c r="B22" s="355"/>
      <c r="C22" s="362"/>
      <c r="D22" s="366" t="s">
        <v>195</v>
      </c>
      <c r="E22" s="366"/>
      <c r="F22" s="366"/>
      <c r="G22" s="366"/>
      <c r="H22" s="366">
        <v>99</v>
      </c>
      <c r="I22" s="373"/>
      <c r="J22" s="381">
        <v>8.8000000000000007</v>
      </c>
      <c r="K22" s="381">
        <v>0.03</v>
      </c>
      <c r="L22" s="382">
        <v>1270</v>
      </c>
      <c r="M22" s="382">
        <v>73</v>
      </c>
      <c r="N22" s="383">
        <v>17</v>
      </c>
      <c r="O22" s="384">
        <v>0.3</v>
      </c>
      <c r="P22" s="382">
        <v>270</v>
      </c>
      <c r="Q22" s="382">
        <v>21</v>
      </c>
      <c r="R22" s="382">
        <v>1690</v>
      </c>
      <c r="S22" s="382"/>
      <c r="T22" s="382">
        <v>280</v>
      </c>
      <c r="U22" s="382">
        <v>75</v>
      </c>
      <c r="V22" s="383"/>
      <c r="W22" s="383"/>
      <c r="X22" s="381"/>
      <c r="Y22" s="384">
        <v>0.16</v>
      </c>
      <c r="Z22" s="384">
        <v>0.01</v>
      </c>
      <c r="AA22" s="381"/>
      <c r="AB22" s="381"/>
      <c r="AC22" s="381"/>
      <c r="AD22" s="381"/>
      <c r="AE22" s="381"/>
      <c r="AF22" s="387"/>
      <c r="AG22" s="387"/>
      <c r="AH22" s="308" t="str">
        <f t="shared" ca="1" si="0"/>
        <v>ya</v>
      </c>
      <c r="AI22" s="71">
        <f t="shared" ca="1" si="62"/>
        <v>0</v>
      </c>
      <c r="AJ22" s="71">
        <f t="shared" ca="1" si="62"/>
        <v>0</v>
      </c>
      <c r="AK22" s="71">
        <f t="shared" ca="1" si="62"/>
        <v>0</v>
      </c>
      <c r="AL22" s="71">
        <f t="shared" ca="1" si="62"/>
        <v>99</v>
      </c>
      <c r="AM22" s="71">
        <f t="shared" ca="1" si="62"/>
        <v>0</v>
      </c>
      <c r="AN22" s="71">
        <f t="shared" ca="1" si="62"/>
        <v>8.8000000000000007</v>
      </c>
      <c r="AO22" s="71">
        <f t="shared" ca="1" si="63"/>
        <v>0.03</v>
      </c>
      <c r="AP22" s="71">
        <f t="shared" ca="1" si="63"/>
        <v>1270</v>
      </c>
      <c r="AQ22" s="71">
        <f t="shared" ca="1" si="63"/>
        <v>73</v>
      </c>
      <c r="AR22" s="71">
        <f t="shared" ca="1" si="63"/>
        <v>17</v>
      </c>
      <c r="AS22" s="107">
        <f t="shared" ca="1" si="63"/>
        <v>0.3</v>
      </c>
      <c r="AT22" s="71">
        <f t="shared" ca="1" si="63"/>
        <v>270</v>
      </c>
      <c r="AU22" s="71">
        <f t="shared" ca="1" si="63"/>
        <v>21</v>
      </c>
      <c r="AV22" s="71">
        <f t="shared" ca="1" si="63"/>
        <v>1690</v>
      </c>
      <c r="AW22" s="71">
        <f t="shared" ca="1" si="63"/>
        <v>0</v>
      </c>
      <c r="AX22" s="71">
        <f t="shared" ca="1" si="63"/>
        <v>280</v>
      </c>
      <c r="AY22" s="71">
        <f t="shared" ca="1" si="64"/>
        <v>75</v>
      </c>
      <c r="AZ22" s="71">
        <f t="shared" ca="1" si="64"/>
        <v>0</v>
      </c>
      <c r="BA22" s="71">
        <f t="shared" ca="1" si="64"/>
        <v>0</v>
      </c>
      <c r="BB22" s="71">
        <f t="shared" ca="1" si="64"/>
        <v>0</v>
      </c>
      <c r="BC22" s="71">
        <f t="shared" ca="1" si="64"/>
        <v>0.16</v>
      </c>
      <c r="BD22" s="71">
        <f t="shared" ca="1" si="64"/>
        <v>0.01</v>
      </c>
      <c r="BE22" s="71">
        <f t="shared" ca="1" si="64"/>
        <v>0</v>
      </c>
      <c r="BF22" s="71">
        <f t="shared" ca="1" si="64"/>
        <v>0</v>
      </c>
      <c r="BG22" s="71">
        <f t="shared" ca="1" si="64"/>
        <v>0</v>
      </c>
      <c r="BH22" s="71">
        <f t="shared" ca="1" si="64"/>
        <v>0</v>
      </c>
      <c r="BI22" s="71">
        <f t="shared" ca="1" si="64"/>
        <v>0</v>
      </c>
      <c r="BJ22" s="71">
        <f t="shared" ca="1" si="4"/>
        <v>0</v>
      </c>
      <c r="BK22" s="71">
        <f t="shared" ca="1" si="24"/>
        <v>99</v>
      </c>
      <c r="BL22" s="71" t="str">
        <f t="shared" ca="1" si="25"/>
        <v/>
      </c>
      <c r="BM22" s="268">
        <f t="shared" ca="1" si="26"/>
        <v>57.988912872214051</v>
      </c>
      <c r="BN22" s="268">
        <f t="shared" ca="1" si="27"/>
        <v>54.733750000000001</v>
      </c>
      <c r="BO22" s="269">
        <f t="shared" ca="1" si="28"/>
        <v>2.8877625752189742E-2</v>
      </c>
      <c r="BP22" s="264"/>
      <c r="BQ22" s="261">
        <f t="shared" ca="1" si="5"/>
        <v>0.76297968397291194</v>
      </c>
      <c r="BR22" s="261">
        <f t="shared" ca="1" si="6"/>
        <v>0</v>
      </c>
      <c r="BS22" s="261">
        <f t="shared" ca="1" si="7"/>
        <v>0.23702031602708803</v>
      </c>
      <c r="BT22" s="262">
        <f t="shared" ca="1" si="8"/>
        <v>0.71423182844243793</v>
      </c>
      <c r="BU22" s="263">
        <f t="shared" ca="1" si="29"/>
        <v>0.76297968397291194</v>
      </c>
      <c r="BV22" s="261">
        <f t="shared" ca="1" si="9"/>
        <v>0.76194770063119932</v>
      </c>
      <c r="BW22" s="261">
        <f t="shared" ca="1" si="10"/>
        <v>1.3525698827772769E-3</v>
      </c>
      <c r="BX22" s="261">
        <f t="shared" ca="1" si="11"/>
        <v>0.23669972948602344</v>
      </c>
      <c r="BY22" s="262">
        <f t="shared" ca="1" si="12"/>
        <v>0.71326577998196572</v>
      </c>
      <c r="BZ22" s="263">
        <f t="shared" ca="1" si="30"/>
        <v>0.76194770063119932</v>
      </c>
      <c r="CA22" s="261">
        <f t="shared" ca="1" si="13"/>
        <v>3.896103896103896E-2</v>
      </c>
      <c r="CB22" s="261">
        <f t="shared" ca="1" si="14"/>
        <v>0.83116883116883111</v>
      </c>
      <c r="CC22" s="261">
        <f t="shared" ca="1" si="15"/>
        <v>0.12987012987012989</v>
      </c>
      <c r="CD22" s="262">
        <f t="shared" ca="1" si="16"/>
        <v>0.17245714285714289</v>
      </c>
      <c r="CE22" s="263">
        <f t="shared" ca="1" si="31"/>
        <v>3.896103896103896E-2</v>
      </c>
      <c r="CF22" s="261">
        <f t="shared" ca="1" si="17"/>
        <v>0.82640586797066018</v>
      </c>
      <c r="CG22" s="261">
        <f t="shared" ca="1" si="18"/>
        <v>0.13691931540342298</v>
      </c>
      <c r="CH22" s="261">
        <f t="shared" ca="1" si="19"/>
        <v>3.6674816625916873E-2</v>
      </c>
      <c r="CI22" s="262">
        <f t="shared" ca="1" si="20"/>
        <v>0.51951515892420541</v>
      </c>
      <c r="CJ22" s="263">
        <f t="shared" ca="1" si="32"/>
        <v>0.82640586797066018</v>
      </c>
      <c r="CK22" s="310">
        <f t="shared" ca="1" si="33"/>
        <v>0.03</v>
      </c>
      <c r="CL22" s="310">
        <f t="shared" ca="1" si="34"/>
        <v>0.16</v>
      </c>
      <c r="CM22" s="310">
        <f t="shared" ca="1" si="35"/>
        <v>0.01</v>
      </c>
      <c r="CN22" s="296">
        <f t="shared" ca="1" si="36"/>
        <v>3.896103896103896E-2</v>
      </c>
      <c r="CO22" s="261">
        <f t="shared" ca="1" si="37"/>
        <v>0.83116883116883111</v>
      </c>
      <c r="CP22" s="261">
        <f t="shared" ca="1" si="38"/>
        <v>0.12987012987012989</v>
      </c>
      <c r="CQ22" s="262">
        <f t="shared" ca="1" si="21"/>
        <v>0.17245714285714289</v>
      </c>
      <c r="CR22" s="263">
        <f t="shared" ca="1" si="39"/>
        <v>3.896103896103896E-2</v>
      </c>
      <c r="CS22" s="261">
        <f t="shared" ca="1" si="40"/>
        <v>0.49848441945092947</v>
      </c>
      <c r="CT22" s="261">
        <f t="shared" ca="1" si="41"/>
        <v>0.28653041433006182</v>
      </c>
      <c r="CU22" s="261">
        <f t="shared" ca="1" si="42"/>
        <v>0.21498516621900868</v>
      </c>
      <c r="CV22" s="262">
        <f t="shared" ca="1" si="22"/>
        <v>0.53606827522405598</v>
      </c>
      <c r="CW22" s="263">
        <f t="shared" ca="1" si="43"/>
        <v>0.49848441945092947</v>
      </c>
      <c r="CX22" s="264"/>
      <c r="CY22" s="265">
        <f t="shared" ca="1" si="44"/>
        <v>4.2495244655212492</v>
      </c>
      <c r="CZ22" s="266">
        <f t="shared" ca="1" si="45"/>
        <v>2.4961967988626377</v>
      </c>
      <c r="DA22" s="265">
        <f t="shared" ca="1" si="46"/>
        <v>0.15</v>
      </c>
      <c r="DB22" s="265">
        <f t="shared" ca="1" si="47"/>
        <v>0.36499999999999999</v>
      </c>
      <c r="DC22" s="267">
        <f t="shared" ca="1" si="48"/>
        <v>202.43190415822343</v>
      </c>
      <c r="DD22" s="330">
        <f t="shared" ca="1" si="49"/>
        <v>1690</v>
      </c>
      <c r="DE22" s="267">
        <f t="shared" ca="1" si="23"/>
        <v>864.71300388196676</v>
      </c>
      <c r="DF22" s="330">
        <f t="shared" ca="1" si="50"/>
        <v>415.68712591857957</v>
      </c>
      <c r="DG22" s="324">
        <f t="shared" ca="1" si="51"/>
        <v>0.98494465460373704</v>
      </c>
      <c r="DH22" s="318">
        <f t="shared" ca="1" si="52"/>
        <v>1.4629749546551923E-2</v>
      </c>
      <c r="DI22" s="318">
        <f t="shared" ca="1" si="53"/>
        <v>4.2559584971096106E-4</v>
      </c>
      <c r="DJ22" s="319">
        <f t="shared" ca="1" si="54"/>
        <v>1.1375613317145583</v>
      </c>
      <c r="DK22" s="320">
        <f t="shared" ca="1" si="55"/>
        <v>4.2559584971096106E-4</v>
      </c>
      <c r="DL22" s="324">
        <f t="shared" ca="1" si="56"/>
        <v>0.87103295498663991</v>
      </c>
      <c r="DM22" s="318">
        <f t="shared" ca="1" si="57"/>
        <v>2.2458720624842988E-2</v>
      </c>
      <c r="DN22" s="318">
        <f t="shared" ca="1" si="58"/>
        <v>0.10650832438851714</v>
      </c>
      <c r="DO22" s="319">
        <f ca="1">IF(ISERROR(DL22),-1,Tgrid!$A$46+0.5774*DN22+1.1547*DL22)</f>
        <v>2.4219796596250029</v>
      </c>
      <c r="DP22" s="320">
        <f t="shared" ca="1" si="59"/>
        <v>0.10650832438851714</v>
      </c>
      <c r="DQ22" s="325">
        <f t="shared" ca="1" si="60"/>
        <v>0.98494465460373704</v>
      </c>
      <c r="DR22" s="326">
        <f t="shared" ca="1" si="61"/>
        <v>2.2458720624842988E-2</v>
      </c>
      <c r="DS22" s="319">
        <f ca="1">IF(ISERROR(DQ22),-1,0.5*Tgrid!$B$42+0.5774*(2+DQ22-DR22))</f>
        <v>1.8105393782794137</v>
      </c>
      <c r="DT22" s="320">
        <f ca="1">IF(ISERROR(DQ22),-1,2+Tgrid!$B$54-DQ22-DR22)</f>
        <v>1.16579662477142</v>
      </c>
    </row>
    <row r="23" spans="1:124" s="52" customFormat="1">
      <c r="A23" s="359" t="s">
        <v>196</v>
      </c>
      <c r="B23" s="355"/>
      <c r="C23" s="362"/>
      <c r="D23" s="366" t="s">
        <v>197</v>
      </c>
      <c r="E23" s="366"/>
      <c r="F23" s="369"/>
      <c r="G23" s="366"/>
      <c r="H23" s="366">
        <v>23</v>
      </c>
      <c r="I23" s="373"/>
      <c r="J23" s="387">
        <v>5.4</v>
      </c>
      <c r="K23" s="381">
        <v>0.01</v>
      </c>
      <c r="L23" s="382">
        <v>15</v>
      </c>
      <c r="M23" s="382">
        <v>5</v>
      </c>
      <c r="N23" s="383">
        <v>30</v>
      </c>
      <c r="O23" s="384">
        <v>35</v>
      </c>
      <c r="P23" s="385">
        <v>45</v>
      </c>
      <c r="Q23" s="382">
        <v>-1</v>
      </c>
      <c r="R23" s="382">
        <v>-1</v>
      </c>
      <c r="S23" s="382"/>
      <c r="T23" s="382">
        <v>-1</v>
      </c>
      <c r="U23" s="382">
        <v>400</v>
      </c>
      <c r="V23" s="387"/>
      <c r="W23" s="383"/>
      <c r="X23" s="387"/>
      <c r="Y23" s="384">
        <v>4.0000000000000001E-3</v>
      </c>
      <c r="Z23" s="384">
        <v>1E-3</v>
      </c>
      <c r="AA23" s="387"/>
      <c r="AB23" s="387"/>
      <c r="AC23" s="387"/>
      <c r="AD23" s="387"/>
      <c r="AE23" s="388"/>
      <c r="AF23" s="387"/>
      <c r="AG23" s="387"/>
      <c r="AH23" s="308" t="str">
        <f t="shared" ca="1" si="0"/>
        <v>ln</v>
      </c>
      <c r="AI23" s="71">
        <f t="shared" ca="1" si="62"/>
        <v>0</v>
      </c>
      <c r="AJ23" s="71">
        <f t="shared" ca="1" si="62"/>
        <v>0</v>
      </c>
      <c r="AK23" s="71">
        <f t="shared" ca="1" si="62"/>
        <v>0</v>
      </c>
      <c r="AL23" s="71">
        <f t="shared" ca="1" si="62"/>
        <v>23</v>
      </c>
      <c r="AM23" s="71">
        <f t="shared" ca="1" si="62"/>
        <v>0</v>
      </c>
      <c r="AN23" s="71">
        <f t="shared" ca="1" si="62"/>
        <v>5.4</v>
      </c>
      <c r="AO23" s="71">
        <f t="shared" ca="1" si="63"/>
        <v>0.01</v>
      </c>
      <c r="AP23" s="71">
        <f t="shared" ca="1" si="63"/>
        <v>15</v>
      </c>
      <c r="AQ23" s="71">
        <f t="shared" ca="1" si="63"/>
        <v>5</v>
      </c>
      <c r="AR23" s="71">
        <f t="shared" ca="1" si="63"/>
        <v>30</v>
      </c>
      <c r="AS23" s="107">
        <f t="shared" ca="1" si="63"/>
        <v>35</v>
      </c>
      <c r="AT23" s="71">
        <f t="shared" ca="1" si="63"/>
        <v>45</v>
      </c>
      <c r="AU23" s="71">
        <f t="shared" ca="1" si="63"/>
        <v>1</v>
      </c>
      <c r="AV23" s="71">
        <f t="shared" ca="1" si="63"/>
        <v>1</v>
      </c>
      <c r="AW23" s="71">
        <f t="shared" ca="1" si="63"/>
        <v>0</v>
      </c>
      <c r="AX23" s="71">
        <f t="shared" ca="1" si="63"/>
        <v>1</v>
      </c>
      <c r="AY23" s="71">
        <f t="shared" ca="1" si="64"/>
        <v>400</v>
      </c>
      <c r="AZ23" s="71">
        <f t="shared" ca="1" si="64"/>
        <v>0</v>
      </c>
      <c r="BA23" s="71">
        <f t="shared" ca="1" si="64"/>
        <v>0</v>
      </c>
      <c r="BB23" s="71">
        <f t="shared" ca="1" si="64"/>
        <v>0</v>
      </c>
      <c r="BC23" s="71">
        <f t="shared" ca="1" si="64"/>
        <v>4.0000000000000001E-3</v>
      </c>
      <c r="BD23" s="71">
        <f t="shared" ca="1" si="64"/>
        <v>1E-3</v>
      </c>
      <c r="BE23" s="71">
        <f t="shared" ca="1" si="64"/>
        <v>0</v>
      </c>
      <c r="BF23" s="71">
        <f t="shared" ca="1" si="64"/>
        <v>0</v>
      </c>
      <c r="BG23" s="71">
        <f t="shared" ca="1" si="64"/>
        <v>0</v>
      </c>
      <c r="BH23" s="71">
        <f t="shared" ca="1" si="64"/>
        <v>0</v>
      </c>
      <c r="BI23" s="71">
        <f t="shared" ca="1" si="64"/>
        <v>0</v>
      </c>
      <c r="BJ23" s="71">
        <f t="shared" ca="1" si="4"/>
        <v>0</v>
      </c>
      <c r="BK23" s="71">
        <f t="shared" ca="1" si="24"/>
        <v>99</v>
      </c>
      <c r="BL23" s="71" t="str">
        <f t="shared" ca="1" si="25"/>
        <v/>
      </c>
      <c r="BM23" s="268">
        <f t="shared" ca="1" si="26"/>
        <v>5.1618403231318908</v>
      </c>
      <c r="BN23" s="268">
        <f t="shared" ca="1" si="27"/>
        <v>6.6050299999999993</v>
      </c>
      <c r="BO23" s="269">
        <f t="shared" ca="1" si="28"/>
        <v>-0.12264855796286082</v>
      </c>
      <c r="BP23" s="264"/>
      <c r="BQ23" s="261">
        <f t="shared" ca="1" si="5"/>
        <v>3.8461538461538464E-2</v>
      </c>
      <c r="BR23" s="261">
        <f t="shared" ca="1" si="6"/>
        <v>0</v>
      </c>
      <c r="BS23" s="261">
        <f t="shared" ca="1" si="7"/>
        <v>0.96153846153846156</v>
      </c>
      <c r="BT23" s="262">
        <f t="shared" ca="1" si="8"/>
        <v>1.132496153846154</v>
      </c>
      <c r="BU23" s="263">
        <f t="shared" ca="1" si="29"/>
        <v>3.8461538461538464E-2</v>
      </c>
      <c r="BV23" s="261">
        <f t="shared" ca="1" si="9"/>
        <v>3.7037037037037035E-2</v>
      </c>
      <c r="BW23" s="261">
        <f t="shared" ca="1" si="10"/>
        <v>3.7037037037037035E-2</v>
      </c>
      <c r="BX23" s="261">
        <f t="shared" ca="1" si="11"/>
        <v>0.92592592592592593</v>
      </c>
      <c r="BY23" s="262">
        <f t="shared" ca="1" si="12"/>
        <v>1.090551851851852</v>
      </c>
      <c r="BZ23" s="263">
        <f t="shared" ca="1" si="30"/>
        <v>3.7037037037037035E-2</v>
      </c>
      <c r="CA23" s="261">
        <f t="shared" ca="1" si="13"/>
        <v>0.27777777777777773</v>
      </c>
      <c r="CB23" s="261">
        <f t="shared" ca="1" si="14"/>
        <v>0.44444444444444442</v>
      </c>
      <c r="CC23" s="261">
        <f t="shared" ca="1" si="15"/>
        <v>0.27777777777777773</v>
      </c>
      <c r="CD23" s="262">
        <f t="shared" ca="1" si="16"/>
        <v>0.48113888888888884</v>
      </c>
      <c r="CE23" s="263">
        <f t="shared" ca="1" si="31"/>
        <v>0.27777777777777773</v>
      </c>
      <c r="CF23" s="261">
        <f t="shared" ca="1" si="17"/>
        <v>2.4875621890547263E-3</v>
      </c>
      <c r="CG23" s="261">
        <f t="shared" ca="1" si="18"/>
        <v>2.4875621890547263E-3</v>
      </c>
      <c r="CH23" s="261">
        <f t="shared" ca="1" si="19"/>
        <v>0.99502487562189057</v>
      </c>
      <c r="CI23" s="262">
        <f t="shared" ca="1" si="20"/>
        <v>1.1503915422885573</v>
      </c>
      <c r="CJ23" s="263">
        <f t="shared" ca="1" si="32"/>
        <v>2.4875621890547263E-3</v>
      </c>
      <c r="CK23" s="310">
        <f t="shared" ca="1" si="33"/>
        <v>0.01</v>
      </c>
      <c r="CL23" s="310">
        <f t="shared" ca="1" si="34"/>
        <v>4.0000000000000001E-3</v>
      </c>
      <c r="CM23" s="310">
        <f t="shared" ca="1" si="35"/>
        <v>1E-3</v>
      </c>
      <c r="CN23" s="296">
        <f t="shared" ca="1" si="36"/>
        <v>0.27777777777777773</v>
      </c>
      <c r="CO23" s="261">
        <f t="shared" ca="1" si="37"/>
        <v>0.44444444444444442</v>
      </c>
      <c r="CP23" s="261">
        <f t="shared" ca="1" si="38"/>
        <v>0.27777777777777773</v>
      </c>
      <c r="CQ23" s="262">
        <f t="shared" ca="1" si="21"/>
        <v>0.48113888888888884</v>
      </c>
      <c r="CR23" s="263">
        <f t="shared" ca="1" si="39"/>
        <v>0.27777777777777773</v>
      </c>
      <c r="CS23" s="261">
        <f t="shared" ca="1" si="40"/>
        <v>2.5079083616949258E-3</v>
      </c>
      <c r="CT23" s="261">
        <f t="shared" ca="1" si="41"/>
        <v>8.3596945389830864E-3</v>
      </c>
      <c r="CU23" s="261">
        <f t="shared" ca="1" si="42"/>
        <v>0.98913239709932199</v>
      </c>
      <c r="CV23" s="262">
        <f t="shared" ca="1" si="22"/>
        <v>1.1435992452186299</v>
      </c>
      <c r="CW23" s="263">
        <f t="shared" ca="1" si="43"/>
        <v>2.5079083616949258E-3</v>
      </c>
      <c r="CX23" s="264"/>
      <c r="CY23" s="265">
        <f t="shared" ca="1" si="44"/>
        <v>-0.14612803567823796</v>
      </c>
      <c r="CZ23" s="266">
        <f t="shared" ca="1" si="45"/>
        <v>-7.9181246047624665E-2</v>
      </c>
      <c r="DA23" s="265">
        <f t="shared" ca="1" si="46"/>
        <v>0.92105263157894735</v>
      </c>
      <c r="DB23" s="265">
        <f t="shared" ca="1" si="47"/>
        <v>0.76923076923076927</v>
      </c>
      <c r="DC23" s="267">
        <f t="shared" ca="1" si="48"/>
        <v>97.415486017419823</v>
      </c>
      <c r="DD23" s="330">
        <f t="shared" ca="1" si="49"/>
        <v>1</v>
      </c>
      <c r="DE23" s="267">
        <f t="shared" ca="1" si="23"/>
        <v>409.06551052999089</v>
      </c>
      <c r="DF23" s="330">
        <f t="shared" ca="1" si="50"/>
        <v>96.296399999999991</v>
      </c>
      <c r="DG23" s="324">
        <f t="shared" ca="1" si="51"/>
        <v>0.15133473610720555</v>
      </c>
      <c r="DH23" s="318">
        <f t="shared" ca="1" si="52"/>
        <v>0.29031601198498969</v>
      </c>
      <c r="DI23" s="318">
        <f t="shared" ca="1" si="53"/>
        <v>0.55834925190780493</v>
      </c>
      <c r="DJ23" s="319">
        <f t="shared" ca="1" si="54"/>
        <v>0.49713707783455685</v>
      </c>
      <c r="DK23" s="320">
        <f t="shared" ca="1" si="55"/>
        <v>0.55834925190780493</v>
      </c>
      <c r="DL23" s="324">
        <f t="shared" ca="1" si="56"/>
        <v>4.2709874141374079E-3</v>
      </c>
      <c r="DM23" s="318">
        <f t="shared" ca="1" si="57"/>
        <v>0.99257686944646739</v>
      </c>
      <c r="DN23" s="318">
        <f t="shared" ca="1" si="58"/>
        <v>3.1521431393952801E-3</v>
      </c>
      <c r="DO23" s="319">
        <f ca="1">IF(ISERROR(DL23),-1,Tgrid!$A$46+0.5774*DN23+1.1547*DL23)</f>
        <v>1.3614517566157913</v>
      </c>
      <c r="DP23" s="320">
        <f t="shared" ca="1" si="59"/>
        <v>3.1521431393952801E-3</v>
      </c>
      <c r="DQ23" s="325">
        <f t="shared" ca="1" si="60"/>
        <v>0.15133473610720555</v>
      </c>
      <c r="DR23" s="326">
        <f t="shared" ca="1" si="61"/>
        <v>0.99257686944646739</v>
      </c>
      <c r="DS23" s="319">
        <f ca="1">IF(ISERROR(DQ23),-1,0.5*Tgrid!$B$42+0.5774*(2+DQ23-DR23))</f>
        <v>0.76906679220991037</v>
      </c>
      <c r="DT23" s="320">
        <f ca="1">IF(ISERROR(DQ23),-1,2+Tgrid!$B$54-DQ23-DR23)</f>
        <v>1.0292883944463269</v>
      </c>
    </row>
    <row r="24" spans="1:124" s="52" customFormat="1">
      <c r="A24" s="359" t="s">
        <v>198</v>
      </c>
      <c r="B24" s="355"/>
      <c r="C24" s="362"/>
      <c r="D24" s="366" t="s">
        <v>199</v>
      </c>
      <c r="E24" s="366"/>
      <c r="F24" s="366"/>
      <c r="G24" s="366"/>
      <c r="H24" s="366">
        <v>49</v>
      </c>
      <c r="I24" s="373"/>
      <c r="J24" s="381">
        <v>7.3</v>
      </c>
      <c r="K24" s="381">
        <v>1.7</v>
      </c>
      <c r="L24" s="382">
        <v>285</v>
      </c>
      <c r="M24" s="382">
        <v>24</v>
      </c>
      <c r="N24" s="383">
        <v>17</v>
      </c>
      <c r="O24" s="384">
        <v>8.9</v>
      </c>
      <c r="P24" s="382">
        <v>176</v>
      </c>
      <c r="Q24" s="382">
        <v>3</v>
      </c>
      <c r="R24" s="382">
        <v>365</v>
      </c>
      <c r="S24" s="382"/>
      <c r="T24" s="382">
        <v>48</v>
      </c>
      <c r="U24" s="382">
        <v>265</v>
      </c>
      <c r="V24" s="383"/>
      <c r="W24" s="383"/>
      <c r="X24" s="381"/>
      <c r="Y24" s="384">
        <v>0.11</v>
      </c>
      <c r="Z24" s="384">
        <v>7.0000000000000007E-2</v>
      </c>
      <c r="AA24" s="381"/>
      <c r="AB24" s="381"/>
      <c r="AC24" s="381"/>
      <c r="AD24" s="381"/>
      <c r="AE24" s="381"/>
      <c r="AF24" s="387"/>
      <c r="AG24" s="387"/>
      <c r="AH24" s="308" t="str">
        <f t="shared" ca="1" si="0"/>
        <v>ws</v>
      </c>
      <c r="AI24" s="71">
        <f t="shared" ca="1" si="62"/>
        <v>0</v>
      </c>
      <c r="AJ24" s="71">
        <f t="shared" ca="1" si="62"/>
        <v>0</v>
      </c>
      <c r="AK24" s="71">
        <f t="shared" ca="1" si="62"/>
        <v>0</v>
      </c>
      <c r="AL24" s="71">
        <f t="shared" ca="1" si="62"/>
        <v>49</v>
      </c>
      <c r="AM24" s="71">
        <f t="shared" ca="1" si="62"/>
        <v>0</v>
      </c>
      <c r="AN24" s="71">
        <f t="shared" ca="1" si="62"/>
        <v>7.3</v>
      </c>
      <c r="AO24" s="71">
        <f t="shared" ca="1" si="63"/>
        <v>1.7</v>
      </c>
      <c r="AP24" s="71">
        <f t="shared" ca="1" si="63"/>
        <v>285</v>
      </c>
      <c r="AQ24" s="71">
        <f t="shared" ca="1" si="63"/>
        <v>24</v>
      </c>
      <c r="AR24" s="71">
        <f t="shared" ca="1" si="63"/>
        <v>17</v>
      </c>
      <c r="AS24" s="107">
        <f t="shared" ca="1" si="63"/>
        <v>8.9</v>
      </c>
      <c r="AT24" s="71">
        <f t="shared" ca="1" si="63"/>
        <v>176</v>
      </c>
      <c r="AU24" s="71">
        <f t="shared" ca="1" si="63"/>
        <v>3</v>
      </c>
      <c r="AV24" s="71">
        <f t="shared" ca="1" si="63"/>
        <v>365</v>
      </c>
      <c r="AW24" s="71">
        <f t="shared" ca="1" si="63"/>
        <v>0</v>
      </c>
      <c r="AX24" s="71">
        <f t="shared" ca="1" si="63"/>
        <v>48</v>
      </c>
      <c r="AY24" s="71">
        <f t="shared" ca="1" si="64"/>
        <v>265</v>
      </c>
      <c r="AZ24" s="71">
        <f t="shared" ca="1" si="64"/>
        <v>0</v>
      </c>
      <c r="BA24" s="71">
        <f t="shared" ca="1" si="64"/>
        <v>0</v>
      </c>
      <c r="BB24" s="71">
        <f t="shared" ca="1" si="64"/>
        <v>0</v>
      </c>
      <c r="BC24" s="71">
        <f t="shared" ca="1" si="64"/>
        <v>0.11</v>
      </c>
      <c r="BD24" s="71">
        <f t="shared" ca="1" si="64"/>
        <v>7.0000000000000007E-2</v>
      </c>
      <c r="BE24" s="71">
        <f t="shared" ca="1" si="64"/>
        <v>0</v>
      </c>
      <c r="BF24" s="71">
        <f t="shared" ca="1" si="64"/>
        <v>0</v>
      </c>
      <c r="BG24" s="71">
        <f t="shared" ca="1" si="64"/>
        <v>0</v>
      </c>
      <c r="BH24" s="71">
        <f t="shared" ca="1" si="64"/>
        <v>0</v>
      </c>
      <c r="BI24" s="71">
        <f t="shared" ca="1" si="64"/>
        <v>0</v>
      </c>
      <c r="BJ24" s="71">
        <f t="shared" ca="1" si="4"/>
        <v>0</v>
      </c>
      <c r="BK24" s="71">
        <f t="shared" ca="1" si="24"/>
        <v>99</v>
      </c>
      <c r="BL24" s="71" t="str">
        <f t="shared" ca="1" si="25"/>
        <v/>
      </c>
      <c r="BM24" s="268">
        <f t="shared" ca="1" si="26"/>
        <v>14.836630717773575</v>
      </c>
      <c r="BN24" s="268">
        <f t="shared" ca="1" si="27"/>
        <v>15.639359999999998</v>
      </c>
      <c r="BO24" s="269">
        <f t="shared" ca="1" si="28"/>
        <v>-2.6339727218720795E-2</v>
      </c>
      <c r="BP24" s="264"/>
      <c r="BQ24" s="261">
        <f t="shared" ca="1" si="5"/>
        <v>0.82954545454545459</v>
      </c>
      <c r="BR24" s="261">
        <f t="shared" ca="1" si="6"/>
        <v>0</v>
      </c>
      <c r="BS24" s="261">
        <f t="shared" ca="1" si="7"/>
        <v>0.17045454545454544</v>
      </c>
      <c r="BT24" s="262">
        <f t="shared" ca="1" si="8"/>
        <v>0.67580340909090919</v>
      </c>
      <c r="BU24" s="263">
        <f t="shared" ca="1" si="29"/>
        <v>0.82954545454545459</v>
      </c>
      <c r="BV24" s="261">
        <f t="shared" ca="1" si="9"/>
        <v>0.59836065573770492</v>
      </c>
      <c r="BW24" s="261">
        <f t="shared" ca="1" si="10"/>
        <v>0.27868852459016391</v>
      </c>
      <c r="BX24" s="261">
        <f t="shared" ca="1" si="11"/>
        <v>0.12295081967213115</v>
      </c>
      <c r="BY24" s="262">
        <f t="shared" ca="1" si="12"/>
        <v>0.48746475409836065</v>
      </c>
      <c r="BZ24" s="263">
        <f t="shared" ca="1" si="30"/>
        <v>0.59836065573770492</v>
      </c>
      <c r="CA24" s="261">
        <f t="shared" ca="1" si="13"/>
        <v>0.59859154929577452</v>
      </c>
      <c r="CB24" s="261">
        <f t="shared" ca="1" si="14"/>
        <v>0.15492957746478872</v>
      </c>
      <c r="CC24" s="261">
        <f t="shared" ca="1" si="15"/>
        <v>0.24647887323943662</v>
      </c>
      <c r="CD24" s="262">
        <f t="shared" ca="1" si="16"/>
        <v>0.63023591549295777</v>
      </c>
      <c r="CE24" s="263">
        <f t="shared" ca="1" si="31"/>
        <v>0.59859154929577452</v>
      </c>
      <c r="CF24" s="261">
        <f t="shared" ca="1" si="17"/>
        <v>0.53834808259587019</v>
      </c>
      <c r="CG24" s="261">
        <f t="shared" ca="1" si="18"/>
        <v>7.0796460176991149E-2</v>
      </c>
      <c r="CH24" s="261">
        <f t="shared" ca="1" si="19"/>
        <v>0.39085545722713866</v>
      </c>
      <c r="CI24" s="262">
        <f t="shared" ca="1" si="20"/>
        <v>0.7621629793510325</v>
      </c>
      <c r="CJ24" s="263">
        <f t="shared" ca="1" si="32"/>
        <v>0.53834808259587019</v>
      </c>
      <c r="CK24" s="310">
        <f t="shared" ca="1" si="33"/>
        <v>1.7</v>
      </c>
      <c r="CL24" s="310">
        <f t="shared" ca="1" si="34"/>
        <v>0.11</v>
      </c>
      <c r="CM24" s="310">
        <f t="shared" ca="1" si="35"/>
        <v>7.0000000000000007E-2</v>
      </c>
      <c r="CN24" s="296">
        <f t="shared" ca="1" si="36"/>
        <v>0.59859154929577452</v>
      </c>
      <c r="CO24" s="261">
        <f t="shared" ca="1" si="37"/>
        <v>0.15492957746478872</v>
      </c>
      <c r="CP24" s="261">
        <f t="shared" ca="1" si="38"/>
        <v>0.24647887323943662</v>
      </c>
      <c r="CQ24" s="262">
        <f t="shared" ca="1" si="21"/>
        <v>0.63023591549295777</v>
      </c>
      <c r="CR24" s="263">
        <f t="shared" ca="1" si="39"/>
        <v>0.59859154929577452</v>
      </c>
      <c r="CS24" s="261">
        <f t="shared" ca="1" si="40"/>
        <v>8.1236232392497887E-2</v>
      </c>
      <c r="CT24" s="261">
        <f t="shared" ca="1" si="41"/>
        <v>6.8409458856840327E-2</v>
      </c>
      <c r="CU24" s="261">
        <f t="shared" ca="1" si="42"/>
        <v>0.85035430875066176</v>
      </c>
      <c r="CV24" s="262">
        <f t="shared" ca="1" si="22"/>
        <v>1.0288099208978174</v>
      </c>
      <c r="CW24" s="263">
        <f t="shared" ca="1" si="43"/>
        <v>8.1236232392497887E-2</v>
      </c>
      <c r="CX24" s="264"/>
      <c r="CY24" s="265">
        <f t="shared" ca="1" si="44"/>
        <v>1.811032476778299</v>
      </c>
      <c r="CZ24" s="266">
        <f t="shared" ca="1" si="45"/>
        <v>1.529973562044938</v>
      </c>
      <c r="DA24" s="265">
        <f t="shared" ca="1" si="46"/>
        <v>0.839622641509434</v>
      </c>
      <c r="DB24" s="265">
        <f t="shared" ca="1" si="47"/>
        <v>0.45714285714285713</v>
      </c>
      <c r="DC24" s="267">
        <f t="shared" ca="1" si="48"/>
        <v>171.88783236279525</v>
      </c>
      <c r="DD24" s="330">
        <f t="shared" ca="1" si="49"/>
        <v>365</v>
      </c>
      <c r="DE24" s="267">
        <f t="shared" ca="1" si="23"/>
        <v>727.66466995555515</v>
      </c>
      <c r="DF24" s="330">
        <f t="shared" ca="1" si="50"/>
        <v>205.1532</v>
      </c>
      <c r="DG24" s="324">
        <f t="shared" ca="1" si="51"/>
        <v>0.89169010596100751</v>
      </c>
      <c r="DH24" s="318">
        <f t="shared" ca="1" si="52"/>
        <v>5.8136211849096141E-2</v>
      </c>
      <c r="DI24" s="318">
        <f t="shared" ca="1" si="53"/>
        <v>5.0173682189896464E-2</v>
      </c>
      <c r="DJ24" s="319">
        <f t="shared" ca="1" si="54"/>
        <v>1.0586048494496216</v>
      </c>
      <c r="DK24" s="320">
        <f t="shared" ca="1" si="55"/>
        <v>5.0173682189896464E-2</v>
      </c>
      <c r="DL24" s="324">
        <f t="shared" ca="1" si="56"/>
        <v>0.65838052196509322</v>
      </c>
      <c r="DM24" s="318">
        <f t="shared" ca="1" si="57"/>
        <v>0.27771916497861804</v>
      </c>
      <c r="DN24" s="318">
        <f t="shared" ca="1" si="58"/>
        <v>6.3900313056288752E-2</v>
      </c>
      <c r="DO24" s="319">
        <f ca="1">IF(ISERROR(DL24),-1,Tgrid!$A$46+0.5774*DN24+1.1547*DL24)</f>
        <v>2.1518280294717944</v>
      </c>
      <c r="DP24" s="320">
        <f t="shared" ca="1" si="59"/>
        <v>6.3900313056288752E-2</v>
      </c>
      <c r="DQ24" s="325">
        <f t="shared" ca="1" si="60"/>
        <v>0.89169010596100751</v>
      </c>
      <c r="DR24" s="326">
        <f t="shared" ca="1" si="61"/>
        <v>0.27771916497861804</v>
      </c>
      <c r="DS24" s="319">
        <f ca="1">IF(ISERROR(DQ24),-1,0.5*Tgrid!$B$42+0.5774*(2+DQ24-DR24))</f>
        <v>1.6093068213232318</v>
      </c>
      <c r="DT24" s="320">
        <f ca="1">IF(ISERROR(DQ24),-1,2+Tgrid!$B$54-DQ24-DR24)</f>
        <v>1.0037907290603743</v>
      </c>
    </row>
    <row r="25" spans="1:124" s="52" customFormat="1">
      <c r="A25" s="359" t="s">
        <v>200</v>
      </c>
      <c r="B25" s="355"/>
      <c r="C25" s="362"/>
      <c r="D25" s="366" t="s">
        <v>201</v>
      </c>
      <c r="E25" s="366"/>
      <c r="F25" s="369"/>
      <c r="G25" s="366"/>
      <c r="H25" s="366">
        <v>47</v>
      </c>
      <c r="I25" s="373"/>
      <c r="J25" s="387">
        <v>7</v>
      </c>
      <c r="K25" s="381">
        <v>4.5999999999999996</v>
      </c>
      <c r="L25" s="382">
        <v>6700</v>
      </c>
      <c r="M25" s="382">
        <v>84</v>
      </c>
      <c r="N25" s="383">
        <v>2360</v>
      </c>
      <c r="O25" s="384">
        <v>80</v>
      </c>
      <c r="P25" s="385">
        <v>27</v>
      </c>
      <c r="Q25" s="382">
        <v>57</v>
      </c>
      <c r="R25" s="382">
        <v>15800</v>
      </c>
      <c r="S25" s="382"/>
      <c r="T25" s="382">
        <v>-3</v>
      </c>
      <c r="U25" s="382">
        <v>30</v>
      </c>
      <c r="V25" s="387"/>
      <c r="W25" s="383"/>
      <c r="X25" s="387"/>
      <c r="Y25" s="384">
        <v>0.1</v>
      </c>
      <c r="Z25" s="384">
        <v>4.0000000000000001E-3</v>
      </c>
      <c r="AA25" s="387"/>
      <c r="AB25" s="387"/>
      <c r="AC25" s="387"/>
      <c r="AD25" s="387"/>
      <c r="AE25" s="388"/>
      <c r="AF25" s="387"/>
      <c r="AG25" s="387"/>
      <c r="AH25" s="308" t="str">
        <f t="shared" ca="1" si="0"/>
        <v>mo</v>
      </c>
      <c r="AI25" s="71">
        <f t="shared" ca="1" si="62"/>
        <v>0</v>
      </c>
      <c r="AJ25" s="71">
        <f t="shared" ca="1" si="62"/>
        <v>0</v>
      </c>
      <c r="AK25" s="71">
        <f t="shared" ca="1" si="62"/>
        <v>0</v>
      </c>
      <c r="AL25" s="71">
        <f t="shared" ca="1" si="62"/>
        <v>47</v>
      </c>
      <c r="AM25" s="71">
        <f t="shared" ca="1" si="62"/>
        <v>0</v>
      </c>
      <c r="AN25" s="71">
        <f t="shared" ca="1" si="62"/>
        <v>7</v>
      </c>
      <c r="AO25" s="71">
        <f t="shared" ca="1" si="63"/>
        <v>4.5999999999999996</v>
      </c>
      <c r="AP25" s="71">
        <f t="shared" ca="1" si="63"/>
        <v>6700</v>
      </c>
      <c r="AQ25" s="71">
        <f t="shared" ca="1" si="63"/>
        <v>84</v>
      </c>
      <c r="AR25" s="71">
        <f t="shared" ca="1" si="63"/>
        <v>2360</v>
      </c>
      <c r="AS25" s="107">
        <f t="shared" ca="1" si="63"/>
        <v>80</v>
      </c>
      <c r="AT25" s="71">
        <f t="shared" ca="1" si="63"/>
        <v>27</v>
      </c>
      <c r="AU25" s="71">
        <f t="shared" ca="1" si="63"/>
        <v>57</v>
      </c>
      <c r="AV25" s="71">
        <f t="shared" ca="1" si="63"/>
        <v>15800</v>
      </c>
      <c r="AW25" s="71">
        <f t="shared" ca="1" si="63"/>
        <v>0</v>
      </c>
      <c r="AX25" s="71">
        <f t="shared" ca="1" si="63"/>
        <v>3</v>
      </c>
      <c r="AY25" s="71">
        <f t="shared" ca="1" si="64"/>
        <v>30</v>
      </c>
      <c r="AZ25" s="71">
        <f t="shared" ca="1" si="64"/>
        <v>0</v>
      </c>
      <c r="BA25" s="71">
        <f t="shared" ca="1" si="64"/>
        <v>0</v>
      </c>
      <c r="BB25" s="71">
        <f t="shared" ca="1" si="64"/>
        <v>0</v>
      </c>
      <c r="BC25" s="71">
        <f t="shared" ca="1" si="64"/>
        <v>0.1</v>
      </c>
      <c r="BD25" s="71">
        <f t="shared" ca="1" si="64"/>
        <v>4.0000000000000001E-3</v>
      </c>
      <c r="BE25" s="71">
        <f t="shared" ca="1" si="64"/>
        <v>0</v>
      </c>
      <c r="BF25" s="71">
        <f t="shared" ca="1" si="64"/>
        <v>0</v>
      </c>
      <c r="BG25" s="71">
        <f t="shared" ca="1" si="64"/>
        <v>0</v>
      </c>
      <c r="BH25" s="71">
        <f t="shared" ca="1" si="64"/>
        <v>0</v>
      </c>
      <c r="BI25" s="71">
        <f t="shared" ca="1" si="64"/>
        <v>0</v>
      </c>
      <c r="BJ25" s="71">
        <f t="shared" ca="1" si="4"/>
        <v>0</v>
      </c>
      <c r="BK25" s="71">
        <f t="shared" ca="1" si="24"/>
        <v>99</v>
      </c>
      <c r="BL25" s="71" t="str">
        <f t="shared" ca="1" si="25"/>
        <v/>
      </c>
      <c r="BM25" s="268">
        <f t="shared" ca="1" si="26"/>
        <v>418.60568520000004</v>
      </c>
      <c r="BN25" s="268">
        <f t="shared" ca="1" si="27"/>
        <v>446.27215999999993</v>
      </c>
      <c r="BO25" s="269">
        <f t="shared" ca="1" si="28"/>
        <v>-3.198888138197379E-2</v>
      </c>
      <c r="BP25" s="264"/>
      <c r="BQ25" s="261">
        <f t="shared" ca="1" si="5"/>
        <v>0.91727140783744554</v>
      </c>
      <c r="BR25" s="261">
        <f t="shared" ca="1" si="6"/>
        <v>0</v>
      </c>
      <c r="BS25" s="261">
        <f t="shared" ca="1" si="7"/>
        <v>8.2728592162554432E-2</v>
      </c>
      <c r="BT25" s="262">
        <f t="shared" ca="1" si="8"/>
        <v>0.62515921625544268</v>
      </c>
      <c r="BU25" s="263">
        <f t="shared" ca="1" si="29"/>
        <v>0.91727140783744554</v>
      </c>
      <c r="BV25" s="261">
        <f t="shared" ca="1" si="9"/>
        <v>0.89341249646593157</v>
      </c>
      <c r="BW25" s="261">
        <f t="shared" ca="1" si="10"/>
        <v>2.6010743567995473E-2</v>
      </c>
      <c r="BX25" s="261">
        <f t="shared" ca="1" si="11"/>
        <v>8.0576759966072942E-2</v>
      </c>
      <c r="BY25" s="262">
        <f t="shared" ca="1" si="12"/>
        <v>0.6088983601922533</v>
      </c>
      <c r="BZ25" s="263">
        <f t="shared" ca="1" si="30"/>
        <v>0.89341249646593157</v>
      </c>
      <c r="CA25" s="261">
        <f t="shared" ca="1" si="13"/>
        <v>0.91269841269841268</v>
      </c>
      <c r="CB25" s="261">
        <f t="shared" ca="1" si="14"/>
        <v>7.9365079365079375E-2</v>
      </c>
      <c r="CC25" s="261">
        <f t="shared" ca="1" si="15"/>
        <v>7.9365079365079361E-3</v>
      </c>
      <c r="CD25" s="262">
        <f t="shared" ca="1" si="16"/>
        <v>0.53615634920634925</v>
      </c>
      <c r="CE25" s="263">
        <f t="shared" ca="1" si="31"/>
        <v>0.91269841269841268</v>
      </c>
      <c r="CF25" s="261">
        <f t="shared" ca="1" si="17"/>
        <v>0.99791574559464413</v>
      </c>
      <c r="CG25" s="261">
        <f t="shared" ca="1" si="18"/>
        <v>1.8947767321417293E-4</v>
      </c>
      <c r="CH25" s="261">
        <f t="shared" ca="1" si="19"/>
        <v>1.8947767321417293E-3</v>
      </c>
      <c r="CI25" s="262">
        <f t="shared" ca="1" si="20"/>
        <v>0.57838445019895157</v>
      </c>
      <c r="CJ25" s="263">
        <f t="shared" ca="1" si="32"/>
        <v>0.99791574559464413</v>
      </c>
      <c r="CK25" s="310">
        <f t="shared" ca="1" si="33"/>
        <v>4.5999999999999996</v>
      </c>
      <c r="CL25" s="310">
        <f t="shared" ca="1" si="34"/>
        <v>0.1</v>
      </c>
      <c r="CM25" s="310">
        <f t="shared" ca="1" si="35"/>
        <v>4.0000000000000001E-3</v>
      </c>
      <c r="CN25" s="296">
        <f t="shared" ca="1" si="36"/>
        <v>0.91269841269841268</v>
      </c>
      <c r="CO25" s="261">
        <f t="shared" ca="1" si="37"/>
        <v>7.9365079365079375E-2</v>
      </c>
      <c r="CP25" s="261">
        <f t="shared" ca="1" si="38"/>
        <v>7.9365079365079361E-3</v>
      </c>
      <c r="CQ25" s="262">
        <f t="shared" ca="1" si="21"/>
        <v>0.53615634920634925</v>
      </c>
      <c r="CR25" s="263">
        <f t="shared" ca="1" si="39"/>
        <v>0.91269841269841268</v>
      </c>
      <c r="CS25" s="261">
        <f t="shared" ca="1" si="40"/>
        <v>0.40644803947548702</v>
      </c>
      <c r="CT25" s="261">
        <f t="shared" ca="1" si="41"/>
        <v>5.0957664650658076E-2</v>
      </c>
      <c r="CU25" s="261">
        <f t="shared" ca="1" si="42"/>
        <v>0.54259429587385488</v>
      </c>
      <c r="CV25" s="262">
        <f t="shared" ca="1" si="22"/>
        <v>0.86121673143868649</v>
      </c>
      <c r="CW25" s="263">
        <f t="shared" ca="1" si="43"/>
        <v>0.40644803947548702</v>
      </c>
      <c r="CX25" s="264"/>
      <c r="CY25" s="265">
        <f t="shared" ca="1" si="44"/>
        <v>1.9454685851318196</v>
      </c>
      <c r="CZ25" s="266">
        <f t="shared" ca="1" si="45"/>
        <v>0.47564656915365644</v>
      </c>
      <c r="DA25" s="265">
        <f t="shared" ca="1" si="46"/>
        <v>0.25316455696202533</v>
      </c>
      <c r="DB25" s="265">
        <f t="shared" ca="1" si="47"/>
        <v>0.11140583554376658</v>
      </c>
      <c r="DC25" s="267">
        <f t="shared" ca="1" si="48"/>
        <v>75.588837890173437</v>
      </c>
      <c r="DD25" s="330">
        <f t="shared" ca="1" si="49"/>
        <v>15800</v>
      </c>
      <c r="DE25" s="267">
        <f t="shared" ca="1" si="23"/>
        <v>317.72174943114044</v>
      </c>
      <c r="DF25" s="330">
        <f t="shared" ca="1" si="50"/>
        <v>196.77959999999999</v>
      </c>
      <c r="DG25" s="324">
        <f t="shared" ca="1" si="51"/>
        <v>0.70248360373245433</v>
      </c>
      <c r="DH25" s="318">
        <f t="shared" ca="1" si="52"/>
        <v>0.28177069640267416</v>
      </c>
      <c r="DI25" s="318">
        <f t="shared" ca="1" si="53"/>
        <v>1.5745699864871423E-2</v>
      </c>
      <c r="DJ25" s="319">
        <f t="shared" ca="1" si="54"/>
        <v>0.8202493843318418</v>
      </c>
      <c r="DK25" s="320">
        <f t="shared" ca="1" si="55"/>
        <v>1.5745699864871423E-2</v>
      </c>
      <c r="DL25" s="324">
        <f t="shared" ca="1" si="56"/>
        <v>0.99875824653727008</v>
      </c>
      <c r="DM25" s="318">
        <f t="shared" ca="1" si="57"/>
        <v>1.1017940263179312E-3</v>
      </c>
      <c r="DN25" s="318">
        <f t="shared" ca="1" si="58"/>
        <v>1.3995943641207647E-4</v>
      </c>
      <c r="DO25" s="319">
        <f ca="1">IF(ISERROR(DL25),-1,Tgrid!$A$46+0.5774*DN25+1.1547*DL25)</f>
        <v>2.5080469598551698</v>
      </c>
      <c r="DP25" s="320">
        <f t="shared" ca="1" si="59"/>
        <v>1.3995943641207647E-4</v>
      </c>
      <c r="DQ25" s="325">
        <f t="shared" ca="1" si="60"/>
        <v>0.70248360373245433</v>
      </c>
      <c r="DR25" s="326">
        <f t="shared" ca="1" si="61"/>
        <v>1.1017940263179312E-3</v>
      </c>
      <c r="DS25" s="319">
        <f ca="1">IF(ISERROR(DQ25),-1,0.5*Tgrid!$B$42+0.5774*(2+DQ25-DR25))</f>
        <v>1.6597778569243233</v>
      </c>
      <c r="DT25" s="320">
        <f ca="1">IF(ISERROR(DQ25),-1,2+Tgrid!$B$54-DQ25-DR25)</f>
        <v>1.469614602241228</v>
      </c>
    </row>
    <row r="26" spans="1:124" s="52" customFormat="1">
      <c r="A26" s="359" t="s">
        <v>202</v>
      </c>
      <c r="B26" s="355"/>
      <c r="C26" s="362"/>
      <c r="D26" s="366" t="s">
        <v>203</v>
      </c>
      <c r="E26" s="366"/>
      <c r="F26" s="366"/>
      <c r="G26" s="366"/>
      <c r="H26" s="366">
        <v>130</v>
      </c>
      <c r="I26" s="373"/>
      <c r="J26" s="381">
        <v>7.5</v>
      </c>
      <c r="K26" s="381">
        <v>3.6</v>
      </c>
      <c r="L26" s="382">
        <v>7890</v>
      </c>
      <c r="M26" s="382">
        <v>440</v>
      </c>
      <c r="N26" s="383">
        <v>190</v>
      </c>
      <c r="O26" s="384">
        <v>48</v>
      </c>
      <c r="P26" s="382">
        <v>36</v>
      </c>
      <c r="Q26" s="382">
        <v>15</v>
      </c>
      <c r="R26" s="382">
        <v>12600</v>
      </c>
      <c r="S26" s="382"/>
      <c r="T26" s="382">
        <v>18</v>
      </c>
      <c r="U26" s="382">
        <v>630</v>
      </c>
      <c r="V26" s="383"/>
      <c r="W26" s="383"/>
      <c r="X26" s="381"/>
      <c r="Y26" s="384">
        <v>0.71</v>
      </c>
      <c r="Z26" s="384">
        <v>0.08</v>
      </c>
      <c r="AA26" s="381"/>
      <c r="AB26" s="381"/>
      <c r="AC26" s="381"/>
      <c r="AD26" s="381"/>
      <c r="AE26" s="381"/>
      <c r="AF26" s="387"/>
      <c r="AG26" s="387"/>
      <c r="AH26" s="308" t="str">
        <f t="shared" ca="1" si="0"/>
        <v>MU</v>
      </c>
      <c r="AI26" s="71">
        <f t="shared" ca="1" si="62"/>
        <v>0</v>
      </c>
      <c r="AJ26" s="71">
        <f t="shared" ca="1" si="62"/>
        <v>0</v>
      </c>
      <c r="AK26" s="71">
        <f t="shared" ca="1" si="62"/>
        <v>0</v>
      </c>
      <c r="AL26" s="71">
        <f t="shared" ca="1" si="62"/>
        <v>130</v>
      </c>
      <c r="AM26" s="71">
        <f t="shared" ca="1" si="62"/>
        <v>0</v>
      </c>
      <c r="AN26" s="71">
        <f t="shared" ca="1" si="62"/>
        <v>7.5</v>
      </c>
      <c r="AO26" s="71">
        <f t="shared" ca="1" si="63"/>
        <v>3.6</v>
      </c>
      <c r="AP26" s="71">
        <f t="shared" ca="1" si="63"/>
        <v>7890</v>
      </c>
      <c r="AQ26" s="71">
        <f t="shared" ca="1" si="63"/>
        <v>440</v>
      </c>
      <c r="AR26" s="71">
        <f t="shared" ca="1" si="63"/>
        <v>190</v>
      </c>
      <c r="AS26" s="107">
        <f t="shared" ca="1" si="63"/>
        <v>48</v>
      </c>
      <c r="AT26" s="71">
        <f t="shared" ca="1" si="63"/>
        <v>36</v>
      </c>
      <c r="AU26" s="71">
        <f t="shared" ca="1" si="63"/>
        <v>15</v>
      </c>
      <c r="AV26" s="71">
        <f t="shared" ca="1" si="63"/>
        <v>12600</v>
      </c>
      <c r="AW26" s="71">
        <f t="shared" ca="1" si="63"/>
        <v>0</v>
      </c>
      <c r="AX26" s="71">
        <f t="shared" ca="1" si="63"/>
        <v>18</v>
      </c>
      <c r="AY26" s="71">
        <f t="shared" ca="1" si="64"/>
        <v>630</v>
      </c>
      <c r="AZ26" s="71">
        <f t="shared" ca="1" si="64"/>
        <v>0</v>
      </c>
      <c r="BA26" s="71">
        <f t="shared" ca="1" si="64"/>
        <v>0</v>
      </c>
      <c r="BB26" s="71">
        <f t="shared" ca="1" si="64"/>
        <v>0</v>
      </c>
      <c r="BC26" s="71">
        <f t="shared" ca="1" si="64"/>
        <v>0.71</v>
      </c>
      <c r="BD26" s="71">
        <f t="shared" ca="1" si="64"/>
        <v>0.08</v>
      </c>
      <c r="BE26" s="71">
        <f t="shared" ca="1" si="64"/>
        <v>0</v>
      </c>
      <c r="BF26" s="71">
        <f t="shared" ca="1" si="64"/>
        <v>0</v>
      </c>
      <c r="BG26" s="71">
        <f t="shared" ca="1" si="64"/>
        <v>0</v>
      </c>
      <c r="BH26" s="71">
        <f t="shared" ca="1" si="64"/>
        <v>0</v>
      </c>
      <c r="BI26" s="71">
        <f t="shared" ca="1" si="64"/>
        <v>0</v>
      </c>
      <c r="BJ26" s="71">
        <f t="shared" ca="1" si="4"/>
        <v>0</v>
      </c>
      <c r="BK26" s="71">
        <f t="shared" ca="1" si="24"/>
        <v>99</v>
      </c>
      <c r="BL26" s="71" t="str">
        <f t="shared" ca="1" si="25"/>
        <v/>
      </c>
      <c r="BM26" s="268">
        <f t="shared" ca="1" si="26"/>
        <v>368.41410736979441</v>
      </c>
      <c r="BN26" s="268">
        <f t="shared" ca="1" si="27"/>
        <v>366.14645999999993</v>
      </c>
      <c r="BO26" s="269">
        <f t="shared" ca="1" si="28"/>
        <v>3.087080181712081E-3</v>
      </c>
      <c r="BP26" s="264"/>
      <c r="BQ26" s="261">
        <f t="shared" ca="1" si="5"/>
        <v>0.97109826589595372</v>
      </c>
      <c r="BR26" s="261">
        <f t="shared" ca="1" si="6"/>
        <v>0</v>
      </c>
      <c r="BS26" s="261">
        <f t="shared" ca="1" si="7"/>
        <v>2.8901734104046242E-2</v>
      </c>
      <c r="BT26" s="262">
        <f t="shared" ca="1" si="8"/>
        <v>0.59408497109826586</v>
      </c>
      <c r="BU26" s="263">
        <f t="shared" ca="1" si="29"/>
        <v>0.97109826589595372</v>
      </c>
      <c r="BV26" s="261">
        <f t="shared" ca="1" si="9"/>
        <v>0.94488188976377951</v>
      </c>
      <c r="BW26" s="261">
        <f t="shared" ca="1" si="10"/>
        <v>2.6996625421822271E-2</v>
      </c>
      <c r="BX26" s="261">
        <f t="shared" ca="1" si="11"/>
        <v>2.81214848143982E-2</v>
      </c>
      <c r="BY26" s="262">
        <f t="shared" ca="1" si="12"/>
        <v>0.57804668166479189</v>
      </c>
      <c r="BZ26" s="263">
        <f t="shared" ca="1" si="30"/>
        <v>0.94488188976377951</v>
      </c>
      <c r="CA26" s="261">
        <f t="shared" ca="1" si="13"/>
        <v>0.49723756906077354</v>
      </c>
      <c r="CB26" s="261">
        <f t="shared" ca="1" si="14"/>
        <v>0.39226519337016574</v>
      </c>
      <c r="CC26" s="261">
        <f t="shared" ca="1" si="15"/>
        <v>0.1104972375690608</v>
      </c>
      <c r="CD26" s="262">
        <f t="shared" ca="1" si="16"/>
        <v>0.41469613259668514</v>
      </c>
      <c r="CE26" s="263">
        <f t="shared" ca="1" si="31"/>
        <v>0.49723756906077354</v>
      </c>
      <c r="CF26" s="261">
        <f t="shared" ca="1" si="17"/>
        <v>0.95108695652173914</v>
      </c>
      <c r="CG26" s="261">
        <f t="shared" ca="1" si="18"/>
        <v>1.358695652173913E-3</v>
      </c>
      <c r="CH26" s="261">
        <f t="shared" ca="1" si="19"/>
        <v>4.755434782608696E-2</v>
      </c>
      <c r="CI26" s="262">
        <f t="shared" ca="1" si="20"/>
        <v>0.60406861413043489</v>
      </c>
      <c r="CJ26" s="263">
        <f t="shared" ca="1" si="32"/>
        <v>0.95108695652173914</v>
      </c>
      <c r="CK26" s="310">
        <f t="shared" ca="1" si="33"/>
        <v>3.6</v>
      </c>
      <c r="CL26" s="310">
        <f t="shared" ca="1" si="34"/>
        <v>0.71</v>
      </c>
      <c r="CM26" s="310">
        <f t="shared" ca="1" si="35"/>
        <v>0.08</v>
      </c>
      <c r="CN26" s="296">
        <f t="shared" ca="1" si="36"/>
        <v>0.49723756906077354</v>
      </c>
      <c r="CO26" s="261">
        <f t="shared" ca="1" si="37"/>
        <v>0.39226519337016574</v>
      </c>
      <c r="CP26" s="261">
        <f t="shared" ca="1" si="38"/>
        <v>0.1104972375690608</v>
      </c>
      <c r="CQ26" s="262">
        <f t="shared" ca="1" si="21"/>
        <v>0.41469613259668514</v>
      </c>
      <c r="CR26" s="263">
        <f t="shared" ca="1" si="39"/>
        <v>0.49723756906077354</v>
      </c>
      <c r="CS26" s="261">
        <f t="shared" ca="1" si="40"/>
        <v>0.41054826538468703</v>
      </c>
      <c r="CT26" s="261">
        <f t="shared" ca="1" si="41"/>
        <v>0.22894960300286729</v>
      </c>
      <c r="CU26" s="261">
        <f t="shared" ca="1" si="42"/>
        <v>0.3605021316124456</v>
      </c>
      <c r="CV26" s="262">
        <f t="shared" ca="1" si="22"/>
        <v>0.65332237980600927</v>
      </c>
      <c r="CW26" s="263">
        <f t="shared" ca="1" si="43"/>
        <v>0.41054826538468703</v>
      </c>
      <c r="CX26" s="264"/>
      <c r="CY26" s="265">
        <f t="shared" ca="1" si="44"/>
        <v>3.6056641155967877</v>
      </c>
      <c r="CZ26" s="266">
        <f t="shared" ca="1" si="45"/>
        <v>3.008151752019546</v>
      </c>
      <c r="DA26" s="265">
        <f t="shared" ca="1" si="46"/>
        <v>0.71641791044776115</v>
      </c>
      <c r="DB26" s="265">
        <f t="shared" ca="1" si="47"/>
        <v>0.3580146460537022</v>
      </c>
      <c r="DC26" s="267">
        <f t="shared" ca="1" si="48"/>
        <v>87.608689906507209</v>
      </c>
      <c r="DD26" s="330">
        <f t="shared" ca="1" si="49"/>
        <v>12600</v>
      </c>
      <c r="DE26" s="267">
        <f t="shared" ca="1" si="23"/>
        <v>368.08389174315153</v>
      </c>
      <c r="DF26" s="330">
        <f t="shared" ca="1" si="50"/>
        <v>546.0962208472348</v>
      </c>
      <c r="DG26" s="324">
        <f t="shared" ca="1" si="51"/>
        <v>0.96349646018834489</v>
      </c>
      <c r="DH26" s="318">
        <f t="shared" ca="1" si="52"/>
        <v>2.5770920464105979E-2</v>
      </c>
      <c r="DI26" s="318">
        <f t="shared" ca="1" si="53"/>
        <v>1.0732619347549117E-2</v>
      </c>
      <c r="DJ26" s="319">
        <f t="shared" ca="1" si="54"/>
        <v>1.1187463769907569</v>
      </c>
      <c r="DK26" s="320">
        <f t="shared" ca="1" si="55"/>
        <v>1.0732619347549117E-2</v>
      </c>
      <c r="DL26" s="324">
        <f t="shared" ca="1" si="56"/>
        <v>0.97077546509667212</v>
      </c>
      <c r="DM26" s="318">
        <f t="shared" ca="1" si="57"/>
        <v>2.8201010054828883E-2</v>
      </c>
      <c r="DN26" s="318">
        <f t="shared" ca="1" si="58"/>
        <v>1.0235248484991501E-3</v>
      </c>
      <c r="DO26" s="319">
        <f ca="1">IF(ISERROR(DL26),-1,Tgrid!$A$46+0.5774*DN26+1.1547*DL26)</f>
        <v>2.4762454127946509</v>
      </c>
      <c r="DP26" s="320">
        <f t="shared" ca="1" si="59"/>
        <v>1.0235248484991501E-3</v>
      </c>
      <c r="DQ26" s="325">
        <f t="shared" ca="1" si="60"/>
        <v>0.96349646018834489</v>
      </c>
      <c r="DR26" s="326">
        <f t="shared" ca="1" si="61"/>
        <v>2.8201010054828883E-2</v>
      </c>
      <c r="DS26" s="319">
        <f ca="1">IF(ISERROR(DQ26),-1,0.5*Tgrid!$B$42+0.5774*(2+DQ26-DR26))</f>
        <v>1.7948395929070924</v>
      </c>
      <c r="DT26" s="320">
        <f ca="1">IF(ISERROR(DQ26),-1,2+Tgrid!$B$54-DQ26-DR26)</f>
        <v>1.1815025297568262</v>
      </c>
    </row>
    <row r="27" spans="1:124" s="53" customFormat="1">
      <c r="A27" s="359" t="s">
        <v>204</v>
      </c>
      <c r="B27" s="355"/>
      <c r="C27" s="362"/>
      <c r="D27" s="366" t="s">
        <v>205</v>
      </c>
      <c r="E27" s="366"/>
      <c r="F27" s="369"/>
      <c r="G27" s="366"/>
      <c r="H27" s="366">
        <v>98</v>
      </c>
      <c r="I27" s="373"/>
      <c r="J27" s="387">
        <v>0.6</v>
      </c>
      <c r="K27" s="381">
        <v>2.9</v>
      </c>
      <c r="L27" s="382">
        <v>5910</v>
      </c>
      <c r="M27" s="382">
        <v>635</v>
      </c>
      <c r="N27" s="383">
        <v>3150</v>
      </c>
      <c r="O27" s="384">
        <v>3800</v>
      </c>
      <c r="P27" s="385">
        <v>0</v>
      </c>
      <c r="Q27" s="382">
        <v>160</v>
      </c>
      <c r="R27" s="382">
        <v>38700</v>
      </c>
      <c r="S27" s="382"/>
      <c r="T27" s="382">
        <v>4870</v>
      </c>
      <c r="U27" s="382">
        <v>-1</v>
      </c>
      <c r="V27" s="387"/>
      <c r="W27" s="383"/>
      <c r="X27" s="387"/>
      <c r="Y27" s="384">
        <v>5.4</v>
      </c>
      <c r="Z27" s="384">
        <v>0.36</v>
      </c>
      <c r="AA27" s="387"/>
      <c r="AB27" s="387"/>
      <c r="AC27" s="387"/>
      <c r="AD27" s="387"/>
      <c r="AE27" s="388"/>
      <c r="AF27" s="387"/>
      <c r="AG27" s="387"/>
      <c r="AH27" s="308" t="str">
        <f t="shared" ca="1" si="0"/>
        <v>wi</v>
      </c>
      <c r="AI27" s="71">
        <f t="shared" ca="1" si="62"/>
        <v>0</v>
      </c>
      <c r="AJ27" s="71">
        <f t="shared" ca="1" si="62"/>
        <v>0</v>
      </c>
      <c r="AK27" s="71">
        <f t="shared" ca="1" si="62"/>
        <v>0</v>
      </c>
      <c r="AL27" s="71">
        <f t="shared" ca="1" si="62"/>
        <v>98</v>
      </c>
      <c r="AM27" s="71">
        <f t="shared" ca="1" si="62"/>
        <v>0</v>
      </c>
      <c r="AN27" s="71">
        <f t="shared" ca="1" si="62"/>
        <v>0.6</v>
      </c>
      <c r="AO27" s="71">
        <f t="shared" ca="1" si="63"/>
        <v>2.9</v>
      </c>
      <c r="AP27" s="71">
        <f t="shared" ca="1" si="63"/>
        <v>5910</v>
      </c>
      <c r="AQ27" s="71">
        <f t="shared" ca="1" si="63"/>
        <v>635</v>
      </c>
      <c r="AR27" s="71">
        <f t="shared" ca="1" si="63"/>
        <v>3150</v>
      </c>
      <c r="AS27" s="107">
        <f t="shared" ca="1" si="63"/>
        <v>3800</v>
      </c>
      <c r="AT27" s="71">
        <f t="shared" ca="1" si="63"/>
        <v>0</v>
      </c>
      <c r="AU27" s="71">
        <f t="shared" ca="1" si="63"/>
        <v>160</v>
      </c>
      <c r="AV27" s="71">
        <f t="shared" ca="1" si="63"/>
        <v>38700</v>
      </c>
      <c r="AW27" s="71">
        <f t="shared" ca="1" si="63"/>
        <v>0</v>
      </c>
      <c r="AX27" s="71">
        <f t="shared" ca="1" si="63"/>
        <v>4870</v>
      </c>
      <c r="AY27" s="71">
        <f t="shared" ca="1" si="64"/>
        <v>1</v>
      </c>
      <c r="AZ27" s="71">
        <f t="shared" ca="1" si="64"/>
        <v>0</v>
      </c>
      <c r="BA27" s="71">
        <f t="shared" ca="1" si="64"/>
        <v>0</v>
      </c>
      <c r="BB27" s="71">
        <f t="shared" ca="1" si="64"/>
        <v>0</v>
      </c>
      <c r="BC27" s="71">
        <f t="shared" ca="1" si="64"/>
        <v>5.4</v>
      </c>
      <c r="BD27" s="71">
        <f t="shared" ca="1" si="64"/>
        <v>0.36</v>
      </c>
      <c r="BE27" s="71">
        <f t="shared" ca="1" si="64"/>
        <v>0</v>
      </c>
      <c r="BF27" s="71">
        <f t="shared" ca="1" si="64"/>
        <v>0</v>
      </c>
      <c r="BG27" s="71">
        <f t="shared" ca="1" si="64"/>
        <v>0</v>
      </c>
      <c r="BH27" s="71">
        <f t="shared" ca="1" si="64"/>
        <v>0</v>
      </c>
      <c r="BI27" s="71">
        <f t="shared" ca="1" si="64"/>
        <v>0</v>
      </c>
      <c r="BJ27" s="71">
        <f t="shared" ca="1" si="4"/>
        <v>0</v>
      </c>
      <c r="BK27" s="71">
        <f t="shared" ca="1" si="24"/>
        <v>99</v>
      </c>
      <c r="BL27" s="71" t="str">
        <f t="shared" ca="1" si="25"/>
        <v/>
      </c>
      <c r="BM27" s="268">
        <f t="shared" ca="1" si="26"/>
        <v>992.69200300575028</v>
      </c>
      <c r="BN27" s="268">
        <f t="shared" ca="1" si="27"/>
        <v>1193.1367899999998</v>
      </c>
      <c r="BO27" s="269">
        <f t="shared" ca="1" si="28"/>
        <v>-9.1701961121399791E-2</v>
      </c>
      <c r="BP27" s="271"/>
      <c r="BQ27" s="261">
        <f t="shared" ca="1" si="5"/>
        <v>0.90632318501170961</v>
      </c>
      <c r="BR27" s="261">
        <f t="shared" ca="1" si="6"/>
        <v>0</v>
      </c>
      <c r="BS27" s="261">
        <f t="shared" ca="1" si="7"/>
        <v>9.3676814988290405E-2</v>
      </c>
      <c r="BT27" s="262">
        <f t="shared" ca="1" si="8"/>
        <v>0.63147962529274015</v>
      </c>
      <c r="BU27" s="263">
        <f t="shared" ca="1" si="29"/>
        <v>0.90632318501170961</v>
      </c>
      <c r="BV27" s="261">
        <f t="shared" ca="1" si="9"/>
        <v>0.90020935101186328</v>
      </c>
      <c r="BW27" s="261">
        <f t="shared" ca="1" si="10"/>
        <v>6.7457548267038847E-3</v>
      </c>
      <c r="BX27" s="261">
        <f t="shared" ca="1" si="11"/>
        <v>9.3044894161432898E-2</v>
      </c>
      <c r="BY27" s="262">
        <f t="shared" ca="1" si="12"/>
        <v>0.62721981856245645</v>
      </c>
      <c r="BZ27" s="263">
        <f t="shared" ca="1" si="30"/>
        <v>0.90020935101186328</v>
      </c>
      <c r="CA27" s="261">
        <f t="shared" ca="1" si="13"/>
        <v>0.10320284697508895</v>
      </c>
      <c r="CB27" s="261">
        <f t="shared" ca="1" si="14"/>
        <v>0.76868327402135228</v>
      </c>
      <c r="CC27" s="261">
        <f t="shared" ca="1" si="15"/>
        <v>0.12811387900355869</v>
      </c>
      <c r="CD27" s="262">
        <f t="shared" ca="1" si="16"/>
        <v>0.20752241992882559</v>
      </c>
      <c r="CE27" s="263">
        <f t="shared" ca="1" si="31"/>
        <v>0.10320284697508895</v>
      </c>
      <c r="CF27" s="261">
        <f t="shared" ca="1" si="17"/>
        <v>0.88820545775860094</v>
      </c>
      <c r="CG27" s="261">
        <f t="shared" ca="1" si="18"/>
        <v>0.11177159119597897</v>
      </c>
      <c r="CH27" s="261">
        <f t="shared" ca="1" si="19"/>
        <v>2.2951045420118886E-5</v>
      </c>
      <c r="CI27" s="262">
        <f t="shared" ca="1" si="20"/>
        <v>0.51287633288196277</v>
      </c>
      <c r="CJ27" s="263">
        <f t="shared" ca="1" si="32"/>
        <v>0.88820545775860094</v>
      </c>
      <c r="CK27" s="310">
        <f t="shared" ca="1" si="33"/>
        <v>2.9</v>
      </c>
      <c r="CL27" s="310">
        <f t="shared" ca="1" si="34"/>
        <v>5.4</v>
      </c>
      <c r="CM27" s="310">
        <f t="shared" ca="1" si="35"/>
        <v>0.36</v>
      </c>
      <c r="CN27" s="296">
        <f t="shared" ca="1" si="36"/>
        <v>0.10320284697508895</v>
      </c>
      <c r="CO27" s="261">
        <f t="shared" ca="1" si="37"/>
        <v>0.76868327402135228</v>
      </c>
      <c r="CP27" s="261">
        <f t="shared" ca="1" si="38"/>
        <v>0.12811387900355869</v>
      </c>
      <c r="CQ27" s="262">
        <f t="shared" ca="1" si="21"/>
        <v>0.20752241992882559</v>
      </c>
      <c r="CR27" s="263">
        <f t="shared" ca="1" si="39"/>
        <v>0.10320284697508895</v>
      </c>
      <c r="CS27" s="261">
        <f t="shared" ca="1" si="40"/>
        <v>7.9968456403467461E-2</v>
      </c>
      <c r="CT27" s="261">
        <f t="shared" ca="1" si="41"/>
        <v>8.5922114748226461E-2</v>
      </c>
      <c r="CU27" s="261">
        <f t="shared" ca="1" si="42"/>
        <v>0.83410942884830608</v>
      </c>
      <c r="CV27" s="262">
        <f t="shared" ca="1" si="22"/>
        <v>1.0093199442185012</v>
      </c>
      <c r="CW27" s="263">
        <f t="shared" ca="1" si="43"/>
        <v>7.9968456403467461E-2</v>
      </c>
      <c r="CX27" s="264"/>
      <c r="CY27" s="265">
        <f t="shared" ca="1" si="44"/>
        <v>2.025763853967141</v>
      </c>
      <c r="CZ27" s="266">
        <f t="shared" ca="1" si="45"/>
        <v>2.1072368967943507</v>
      </c>
      <c r="DA27" s="265">
        <f t="shared" ca="1" si="46"/>
        <v>0.92345078979343864</v>
      </c>
      <c r="DB27" s="265">
        <f t="shared" ca="1" si="47"/>
        <v>0.51794453507340943</v>
      </c>
      <c r="DC27" s="267" t="e">
        <f t="shared" ca="1" si="48"/>
        <v>#NUM!</v>
      </c>
      <c r="DD27" s="330">
        <f t="shared" ca="1" si="49"/>
        <v>38700</v>
      </c>
      <c r="DE27" s="267">
        <f t="shared" ca="1" si="23"/>
        <v>-999</v>
      </c>
      <c r="DF27" s="330">
        <f t="shared" ca="1" si="50"/>
        <v>411.50803244292877</v>
      </c>
      <c r="DG27" s="324">
        <f t="shared" ca="1" si="51"/>
        <v>0.36781564724669435</v>
      </c>
      <c r="DH27" s="318">
        <f t="shared" ca="1" si="52"/>
        <v>0.211527477074094</v>
      </c>
      <c r="DI27" s="318">
        <f t="shared" ca="1" si="53"/>
        <v>0.42065687567921173</v>
      </c>
      <c r="DJ27" s="319">
        <f t="shared" ca="1" si="54"/>
        <v>0.66760400789293484</v>
      </c>
      <c r="DK27" s="320">
        <f t="shared" ca="1" si="55"/>
        <v>0.42065687567921173</v>
      </c>
      <c r="DL27" s="324">
        <f t="shared" ca="1" si="56"/>
        <v>0.91500573039911048</v>
      </c>
      <c r="DM27" s="318">
        <f t="shared" ca="1" si="57"/>
        <v>1.3736899354180506E-5</v>
      </c>
      <c r="DN27" s="318">
        <f t="shared" ca="1" si="58"/>
        <v>8.4980532701535452E-2</v>
      </c>
      <c r="DO27" s="319">
        <f ca="1">IF(ISERROR(DL27),-1,Tgrid!$A$46+0.5774*DN27+1.1547*DL27)</f>
        <v>2.4603248764737193</v>
      </c>
      <c r="DP27" s="320">
        <f t="shared" ca="1" si="59"/>
        <v>8.4980532701535452E-2</v>
      </c>
      <c r="DQ27" s="325">
        <f t="shared" ca="1" si="60"/>
        <v>0.36781564724669435</v>
      </c>
      <c r="DR27" s="326">
        <f t="shared" ca="1" si="61"/>
        <v>1.3736899354180506E-5</v>
      </c>
      <c r="DS27" s="319">
        <f ca="1">IF(ISERROR(DQ27),-1,0.5*Tgrid!$B$42+0.5774*(2+DQ27-DR27))</f>
        <v>1.4671688230345543</v>
      </c>
      <c r="DT27" s="320">
        <f ca="1">IF(ISERROR(DQ27),-1,2+Tgrid!$B$54-DQ27-DR27)</f>
        <v>1.8053706158539515</v>
      </c>
    </row>
    <row r="28" spans="1:124" s="53" customFormat="1">
      <c r="A28" s="359" t="s">
        <v>207</v>
      </c>
      <c r="B28" s="355"/>
      <c r="C28" s="362"/>
      <c r="D28" s="366" t="s">
        <v>208</v>
      </c>
      <c r="E28" s="366"/>
      <c r="F28" s="366"/>
      <c r="G28" s="366"/>
      <c r="H28" s="366">
        <v>280</v>
      </c>
      <c r="I28" s="373"/>
      <c r="J28" s="381"/>
      <c r="K28" s="381"/>
      <c r="L28" s="382"/>
      <c r="M28" s="382"/>
      <c r="N28" s="383"/>
      <c r="O28" s="384"/>
      <c r="P28" s="382"/>
      <c r="Q28" s="382"/>
      <c r="R28" s="382"/>
      <c r="S28" s="382"/>
      <c r="T28" s="382"/>
      <c r="U28" s="382"/>
      <c r="V28" s="383"/>
      <c r="W28" s="383"/>
      <c r="X28" s="381"/>
      <c r="Y28" s="384"/>
      <c r="Z28" s="384"/>
      <c r="AA28" s="381"/>
      <c r="AB28" s="381"/>
      <c r="AC28" s="381"/>
      <c r="AD28" s="381"/>
      <c r="AE28" s="381"/>
      <c r="AF28" s="389">
        <v>-4.5</v>
      </c>
      <c r="AG28" s="387">
        <v>-40</v>
      </c>
      <c r="AH28" s="308" t="str">
        <f t="shared" ca="1" si="0"/>
        <v/>
      </c>
      <c r="AI28" s="71">
        <f t="shared" ref="AI28:AN37" ca="1" si="65">INDIRECT(AI$5&amp;(CELL("row", AI28)))</f>
        <v>0</v>
      </c>
      <c r="AJ28" s="71">
        <f t="shared" ca="1" si="65"/>
        <v>0</v>
      </c>
      <c r="AK28" s="71">
        <f t="shared" ca="1" si="65"/>
        <v>0</v>
      </c>
      <c r="AL28" s="71">
        <f t="shared" ca="1" si="65"/>
        <v>280</v>
      </c>
      <c r="AM28" s="71">
        <f t="shared" ca="1" si="65"/>
        <v>0</v>
      </c>
      <c r="AN28" s="71">
        <f t="shared" ca="1" si="65"/>
        <v>0</v>
      </c>
      <c r="AO28" s="71">
        <f t="shared" ref="AO28:AX37" ca="1" si="66">ABS(INDIRECT(AO$5&amp;(CELL("row", AO28))))</f>
        <v>0</v>
      </c>
      <c r="AP28" s="71">
        <f t="shared" ca="1" si="66"/>
        <v>0</v>
      </c>
      <c r="AQ28" s="71">
        <f t="shared" ca="1" si="66"/>
        <v>0</v>
      </c>
      <c r="AR28" s="71">
        <f t="shared" ca="1" si="66"/>
        <v>0</v>
      </c>
      <c r="AS28" s="107">
        <f t="shared" ca="1" si="66"/>
        <v>0</v>
      </c>
      <c r="AT28" s="71">
        <f t="shared" ca="1" si="66"/>
        <v>0</v>
      </c>
      <c r="AU28" s="71">
        <f t="shared" ca="1" si="66"/>
        <v>0</v>
      </c>
      <c r="AV28" s="71">
        <f t="shared" ca="1" si="66"/>
        <v>0</v>
      </c>
      <c r="AW28" s="71">
        <f t="shared" ca="1" si="66"/>
        <v>0</v>
      </c>
      <c r="AX28" s="71">
        <f t="shared" ca="1" si="66"/>
        <v>0</v>
      </c>
      <c r="AY28" s="71">
        <f t="shared" ref="AY28:BI37" ca="1" si="67">ABS(INDIRECT(AY$5&amp;(CELL("row", AY28))))</f>
        <v>0</v>
      </c>
      <c r="AZ28" s="71">
        <f t="shared" ca="1" si="67"/>
        <v>0</v>
      </c>
      <c r="BA28" s="71">
        <f t="shared" ca="1" si="67"/>
        <v>0</v>
      </c>
      <c r="BB28" s="71">
        <f t="shared" ca="1" si="67"/>
        <v>0</v>
      </c>
      <c r="BC28" s="71">
        <f t="shared" ca="1" si="67"/>
        <v>0</v>
      </c>
      <c r="BD28" s="71">
        <f t="shared" ca="1" si="67"/>
        <v>0</v>
      </c>
      <c r="BE28" s="71">
        <f t="shared" ca="1" si="67"/>
        <v>0</v>
      </c>
      <c r="BF28" s="71">
        <f t="shared" ca="1" si="67"/>
        <v>0</v>
      </c>
      <c r="BG28" s="71">
        <f t="shared" ca="1" si="67"/>
        <v>0</v>
      </c>
      <c r="BH28" s="71">
        <f t="shared" ca="1" si="67"/>
        <v>0</v>
      </c>
      <c r="BI28" s="71">
        <f t="shared" ca="1" si="67"/>
        <v>0</v>
      </c>
      <c r="BJ28" s="71">
        <f t="shared" ca="1" si="4"/>
        <v>-4.5</v>
      </c>
      <c r="BK28" s="71">
        <f t="shared" ref="BK28:BK37" ca="1" si="68">IF(INDIRECT(BK$5&amp;(CELL("row", BK28)))=0,99,INDIRECT(BK$5&amp;(CELL("row", BK28))))</f>
        <v>-40</v>
      </c>
      <c r="BL28" s="308" t="str">
        <f t="shared" ca="1" si="25"/>
        <v>OH</v>
      </c>
      <c r="BM28" s="268">
        <f t="shared" ref="BM28:BM37" ca="1" si="69">IF(AN28=0,ABS(AO28)*0.14411+ABS(AP28)*0.0435+ABS(AQ28)*0.02557+ABS(AR28)*0.0499+ABS(AS28)*0.08226+ABS(BA28)*0.05544+ABS(BG28)*0.05372, ABS(AO28)*0.14411+ABS(AP28)*0.0435+ABS(AQ28)*0.02557+ABS(AR28)*0.0499+ABS(AS28)*0.08226+ABS(BA28)*0.05544+0.992*10^(3-AN28)+ABS(BG28)*0.05372)</f>
        <v>0</v>
      </c>
      <c r="BN28" s="268">
        <f t="shared" ref="BN28:BN37" ca="1" si="70">ABS(AV28)*0.02821+ABS(AW28)*0.05264+ABS(AX28)*0.02082+ABS(AY28)*0.01639+ABS(AZ28)*0.03333</f>
        <v>0</v>
      </c>
      <c r="BO28" s="269" t="str">
        <f t="shared" ca="1" si="28"/>
        <v/>
      </c>
      <c r="BP28" s="271"/>
      <c r="BQ28" s="261" t="e">
        <f t="shared" ca="1" si="5"/>
        <v>#DIV/0!</v>
      </c>
      <c r="BR28" s="261" t="e">
        <f t="shared" ca="1" si="6"/>
        <v>#DIV/0!</v>
      </c>
      <c r="BS28" s="261" t="e">
        <f t="shared" ca="1" si="7"/>
        <v>#DIV/0!</v>
      </c>
      <c r="BT28" s="262" t="e">
        <f t="shared" ca="1" si="8"/>
        <v>#DIV/0!</v>
      </c>
      <c r="BU28" s="263">
        <f t="shared" ca="1" si="29"/>
        <v>-1</v>
      </c>
      <c r="BV28" s="261" t="e">
        <f t="shared" ca="1" si="9"/>
        <v>#DIV/0!</v>
      </c>
      <c r="BW28" s="261" t="e">
        <f t="shared" ca="1" si="10"/>
        <v>#DIV/0!</v>
      </c>
      <c r="BX28" s="261" t="e">
        <f t="shared" ca="1" si="11"/>
        <v>#DIV/0!</v>
      </c>
      <c r="BY28" s="262" t="e">
        <f t="shared" ca="1" si="12"/>
        <v>#DIV/0!</v>
      </c>
      <c r="BZ28" s="263">
        <f ca="1">IF(ISERROR(BV28),-1,BV28)</f>
        <v>-1</v>
      </c>
      <c r="CA28" s="261" t="e">
        <f t="shared" ca="1" si="13"/>
        <v>#DIV/0!</v>
      </c>
      <c r="CB28" s="261" t="e">
        <f t="shared" ca="1" si="14"/>
        <v>#DIV/0!</v>
      </c>
      <c r="CC28" s="261" t="e">
        <f t="shared" ca="1" si="15"/>
        <v>#DIV/0!</v>
      </c>
      <c r="CD28" s="262" t="e">
        <f t="shared" ca="1" si="16"/>
        <v>#DIV/0!</v>
      </c>
      <c r="CE28" s="263">
        <f t="shared" ca="1" si="31"/>
        <v>-1</v>
      </c>
      <c r="CF28" s="261" t="e">
        <f t="shared" ca="1" si="17"/>
        <v>#DIV/0!</v>
      </c>
      <c r="CG28" s="261" t="e">
        <f t="shared" ca="1" si="18"/>
        <v>#DIV/0!</v>
      </c>
      <c r="CH28" s="261" t="e">
        <f t="shared" ca="1" si="19"/>
        <v>#DIV/0!</v>
      </c>
      <c r="CI28" s="262" t="e">
        <f t="shared" ca="1" si="20"/>
        <v>#DIV/0!</v>
      </c>
      <c r="CJ28" s="263">
        <f t="shared" ca="1" si="32"/>
        <v>-1</v>
      </c>
      <c r="CK28" s="310">
        <f t="shared" ca="1" si="33"/>
        <v>0</v>
      </c>
      <c r="CL28" s="310">
        <f t="shared" ca="1" si="34"/>
        <v>0</v>
      </c>
      <c r="CM28" s="310">
        <f t="shared" ca="1" si="35"/>
        <v>0</v>
      </c>
      <c r="CN28" s="296" t="e">
        <f t="shared" ca="1" si="36"/>
        <v>#DIV/0!</v>
      </c>
      <c r="CO28" s="261" t="e">
        <f t="shared" ca="1" si="37"/>
        <v>#DIV/0!</v>
      </c>
      <c r="CP28" s="261" t="e">
        <f t="shared" ca="1" si="38"/>
        <v>#DIV/0!</v>
      </c>
      <c r="CQ28" s="262" t="e">
        <f t="shared" ca="1" si="21"/>
        <v>#DIV/0!</v>
      </c>
      <c r="CR28" s="263">
        <f t="shared" ca="1" si="39"/>
        <v>-1</v>
      </c>
      <c r="CS28" s="261" t="e">
        <f t="shared" ca="1" si="40"/>
        <v>#DIV/0!</v>
      </c>
      <c r="CT28" s="261" t="e">
        <f t="shared" ca="1" si="41"/>
        <v>#DIV/0!</v>
      </c>
      <c r="CU28" s="261" t="e">
        <f t="shared" ca="1" si="42"/>
        <v>#DIV/0!</v>
      </c>
      <c r="CV28" s="262" t="e">
        <f t="shared" ca="1" si="22"/>
        <v>#DIV/0!</v>
      </c>
      <c r="CW28" s="263">
        <f t="shared" ca="1" si="43"/>
        <v>-1</v>
      </c>
      <c r="CX28" s="264"/>
      <c r="CY28" s="265">
        <f t="shared" ca="1" si="44"/>
        <v>-99</v>
      </c>
      <c r="CZ28" s="266">
        <f t="shared" ca="1" si="45"/>
        <v>-99</v>
      </c>
      <c r="DA28" s="265">
        <f t="shared" ca="1" si="46"/>
        <v>-99</v>
      </c>
      <c r="DB28" s="265">
        <f t="shared" ca="1" si="47"/>
        <v>-99</v>
      </c>
      <c r="DC28" s="267" t="e">
        <f t="shared" ca="1" si="48"/>
        <v>#NUM!</v>
      </c>
      <c r="DD28" s="330">
        <f t="shared" ca="1" si="49"/>
        <v>-999</v>
      </c>
      <c r="DE28" s="267">
        <f t="shared" ca="1" si="23"/>
        <v>-999</v>
      </c>
      <c r="DF28" s="330">
        <f t="shared" ca="1" si="50"/>
        <v>1235.6743169683357</v>
      </c>
      <c r="DG28" s="324" t="e">
        <f t="shared" ca="1" si="51"/>
        <v>#DIV/0!</v>
      </c>
      <c r="DH28" s="318" t="e">
        <f t="shared" ca="1" si="52"/>
        <v>#DIV/0!</v>
      </c>
      <c r="DI28" s="318" t="e">
        <f t="shared" ca="1" si="53"/>
        <v>#DIV/0!</v>
      </c>
      <c r="DJ28" s="319">
        <f t="shared" ca="1" si="54"/>
        <v>-1</v>
      </c>
      <c r="DK28" s="320">
        <f t="shared" ca="1" si="55"/>
        <v>-1</v>
      </c>
      <c r="DL28" s="324" t="e">
        <f t="shared" ca="1" si="56"/>
        <v>#DIV/0!</v>
      </c>
      <c r="DM28" s="318" t="e">
        <f t="shared" ca="1" si="57"/>
        <v>#DIV/0!</v>
      </c>
      <c r="DN28" s="318" t="e">
        <f t="shared" ca="1" si="58"/>
        <v>#DIV/0!</v>
      </c>
      <c r="DO28" s="319">
        <f ca="1">IF(ISERROR(DL28),-1,Tgrid!$A$46+0.5774*DN28+1.1547*DL28)</f>
        <v>-1</v>
      </c>
      <c r="DP28" s="320">
        <f t="shared" ca="1" si="59"/>
        <v>-1</v>
      </c>
      <c r="DQ28" s="325" t="e">
        <f t="shared" ca="1" si="60"/>
        <v>#DIV/0!</v>
      </c>
      <c r="DR28" s="326" t="e">
        <f t="shared" ca="1" si="61"/>
        <v>#DIV/0!</v>
      </c>
      <c r="DS28" s="319">
        <f ca="1">IF(ISERROR(DQ28),-1,0.5*Tgrid!$B$42+0.5774*(2+DQ28-DR28))</f>
        <v>-1</v>
      </c>
      <c r="DT28" s="320">
        <f ca="1">IF(ISERROR(DQ28),-1,2+Tgrid!$B$54-DQ28-DR28)</f>
        <v>-1</v>
      </c>
    </row>
    <row r="29" spans="1:124" s="53" customFormat="1">
      <c r="A29" s="359" t="s">
        <v>209</v>
      </c>
      <c r="B29" s="355"/>
      <c r="C29" s="362"/>
      <c r="D29" s="366" t="s">
        <v>210</v>
      </c>
      <c r="E29" s="366"/>
      <c r="F29" s="369"/>
      <c r="G29" s="366"/>
      <c r="H29" s="366"/>
      <c r="I29" s="373"/>
      <c r="J29" s="387"/>
      <c r="K29" s="381"/>
      <c r="L29" s="382"/>
      <c r="M29" s="382"/>
      <c r="N29" s="383"/>
      <c r="O29" s="384"/>
      <c r="P29" s="385"/>
      <c r="Q29" s="382"/>
      <c r="R29" s="382"/>
      <c r="S29" s="382"/>
      <c r="T29" s="382"/>
      <c r="U29" s="382"/>
      <c r="V29" s="387"/>
      <c r="W29" s="383"/>
      <c r="X29" s="387"/>
      <c r="Y29" s="384"/>
      <c r="Z29" s="384"/>
      <c r="AA29" s="387"/>
      <c r="AB29" s="387"/>
      <c r="AC29" s="387"/>
      <c r="AD29" s="387"/>
      <c r="AE29" s="388"/>
      <c r="AF29" s="389">
        <v>-7</v>
      </c>
      <c r="AG29" s="387">
        <v>-45</v>
      </c>
      <c r="AH29" s="308" t="str">
        <f t="shared" ca="1" si="0"/>
        <v/>
      </c>
      <c r="AI29" s="71">
        <f t="shared" ca="1" si="65"/>
        <v>0</v>
      </c>
      <c r="AJ29" s="71">
        <f t="shared" ca="1" si="65"/>
        <v>0</v>
      </c>
      <c r="AK29" s="71">
        <f t="shared" ca="1" si="65"/>
        <v>0</v>
      </c>
      <c r="AL29" s="71">
        <f t="shared" ca="1" si="65"/>
        <v>0</v>
      </c>
      <c r="AM29" s="71">
        <f t="shared" ca="1" si="65"/>
        <v>0</v>
      </c>
      <c r="AN29" s="71">
        <f t="shared" ca="1" si="65"/>
        <v>0</v>
      </c>
      <c r="AO29" s="71">
        <f t="shared" ca="1" si="66"/>
        <v>0</v>
      </c>
      <c r="AP29" s="71">
        <f t="shared" ca="1" si="66"/>
        <v>0</v>
      </c>
      <c r="AQ29" s="71">
        <f t="shared" ca="1" si="66"/>
        <v>0</v>
      </c>
      <c r="AR29" s="71">
        <f t="shared" ca="1" si="66"/>
        <v>0</v>
      </c>
      <c r="AS29" s="107">
        <f t="shared" ca="1" si="66"/>
        <v>0</v>
      </c>
      <c r="AT29" s="71">
        <f t="shared" ca="1" si="66"/>
        <v>0</v>
      </c>
      <c r="AU29" s="71">
        <f t="shared" ca="1" si="66"/>
        <v>0</v>
      </c>
      <c r="AV29" s="71">
        <f t="shared" ca="1" si="66"/>
        <v>0</v>
      </c>
      <c r="AW29" s="71">
        <f t="shared" ca="1" si="66"/>
        <v>0</v>
      </c>
      <c r="AX29" s="71">
        <f t="shared" ca="1" si="66"/>
        <v>0</v>
      </c>
      <c r="AY29" s="71">
        <f t="shared" ca="1" si="67"/>
        <v>0</v>
      </c>
      <c r="AZ29" s="71">
        <f t="shared" ca="1" si="67"/>
        <v>0</v>
      </c>
      <c r="BA29" s="71">
        <f t="shared" ca="1" si="67"/>
        <v>0</v>
      </c>
      <c r="BB29" s="71">
        <f t="shared" ca="1" si="67"/>
        <v>0</v>
      </c>
      <c r="BC29" s="71">
        <f t="shared" ca="1" si="67"/>
        <v>0</v>
      </c>
      <c r="BD29" s="71">
        <f t="shared" ca="1" si="67"/>
        <v>0</v>
      </c>
      <c r="BE29" s="71">
        <f t="shared" ca="1" si="67"/>
        <v>0</v>
      </c>
      <c r="BF29" s="71">
        <f t="shared" ca="1" si="67"/>
        <v>0</v>
      </c>
      <c r="BG29" s="71">
        <f t="shared" ca="1" si="67"/>
        <v>0</v>
      </c>
      <c r="BH29" s="71">
        <f t="shared" ca="1" si="67"/>
        <v>0</v>
      </c>
      <c r="BI29" s="71">
        <f t="shared" ca="1" si="67"/>
        <v>0</v>
      </c>
      <c r="BJ29" s="71">
        <f t="shared" ca="1" si="4"/>
        <v>-7</v>
      </c>
      <c r="BK29" s="71">
        <f t="shared" ca="1" si="68"/>
        <v>-45</v>
      </c>
      <c r="BL29" s="308" t="str">
        <f t="shared" ca="1" si="25"/>
        <v>oh</v>
      </c>
      <c r="BM29" s="268">
        <f t="shared" ca="1" si="69"/>
        <v>0</v>
      </c>
      <c r="BN29" s="268">
        <f t="shared" ca="1" si="70"/>
        <v>0</v>
      </c>
      <c r="BO29" s="269" t="str">
        <f t="shared" ca="1" si="28"/>
        <v/>
      </c>
      <c r="BP29" s="271"/>
      <c r="BQ29" s="261" t="e">
        <f t="shared" ca="1" si="5"/>
        <v>#DIV/0!</v>
      </c>
      <c r="BR29" s="261" t="e">
        <f t="shared" ca="1" si="6"/>
        <v>#DIV/0!</v>
      </c>
      <c r="BS29" s="261" t="e">
        <f t="shared" ca="1" si="7"/>
        <v>#DIV/0!</v>
      </c>
      <c r="BT29" s="262" t="e">
        <f t="shared" ca="1" si="8"/>
        <v>#DIV/0!</v>
      </c>
      <c r="BU29" s="263">
        <f t="shared" ca="1" si="29"/>
        <v>-1</v>
      </c>
      <c r="BV29" s="261" t="e">
        <f t="shared" ca="1" si="9"/>
        <v>#DIV/0!</v>
      </c>
      <c r="BW29" s="261" t="e">
        <f t="shared" ca="1" si="10"/>
        <v>#DIV/0!</v>
      </c>
      <c r="BX29" s="261" t="e">
        <f t="shared" ca="1" si="11"/>
        <v>#DIV/0!</v>
      </c>
      <c r="BY29" s="262" t="e">
        <f t="shared" ca="1" si="12"/>
        <v>#DIV/0!</v>
      </c>
      <c r="BZ29" s="263">
        <f t="shared" ref="BZ29:BZ37" ca="1" si="71">IF(ISERROR(BV29),-1,BV29)</f>
        <v>-1</v>
      </c>
      <c r="CA29" s="261" t="e">
        <f t="shared" ca="1" si="13"/>
        <v>#DIV/0!</v>
      </c>
      <c r="CB29" s="261" t="e">
        <f t="shared" ca="1" si="14"/>
        <v>#DIV/0!</v>
      </c>
      <c r="CC29" s="261" t="e">
        <f t="shared" ca="1" si="15"/>
        <v>#DIV/0!</v>
      </c>
      <c r="CD29" s="262" t="e">
        <f t="shared" ca="1" si="16"/>
        <v>#DIV/0!</v>
      </c>
      <c r="CE29" s="263">
        <f t="shared" ca="1" si="31"/>
        <v>-1</v>
      </c>
      <c r="CF29" s="261" t="e">
        <f t="shared" ca="1" si="17"/>
        <v>#DIV/0!</v>
      </c>
      <c r="CG29" s="261" t="e">
        <f t="shared" ca="1" si="18"/>
        <v>#DIV/0!</v>
      </c>
      <c r="CH29" s="261" t="e">
        <f t="shared" ca="1" si="19"/>
        <v>#DIV/0!</v>
      </c>
      <c r="CI29" s="262" t="e">
        <f t="shared" ca="1" si="20"/>
        <v>#DIV/0!</v>
      </c>
      <c r="CJ29" s="263">
        <f t="shared" ca="1" si="32"/>
        <v>-1</v>
      </c>
      <c r="CK29" s="310">
        <f t="shared" ca="1" si="33"/>
        <v>0</v>
      </c>
      <c r="CL29" s="310">
        <f t="shared" ca="1" si="34"/>
        <v>0</v>
      </c>
      <c r="CM29" s="310">
        <f t="shared" ca="1" si="35"/>
        <v>0</v>
      </c>
      <c r="CN29" s="296" t="e">
        <f t="shared" ca="1" si="36"/>
        <v>#DIV/0!</v>
      </c>
      <c r="CO29" s="261" t="e">
        <f t="shared" ca="1" si="37"/>
        <v>#DIV/0!</v>
      </c>
      <c r="CP29" s="261" t="e">
        <f t="shared" ca="1" si="38"/>
        <v>#DIV/0!</v>
      </c>
      <c r="CQ29" s="262" t="e">
        <f t="shared" ca="1" si="21"/>
        <v>#DIV/0!</v>
      </c>
      <c r="CR29" s="263">
        <f t="shared" ca="1" si="39"/>
        <v>-1</v>
      </c>
      <c r="CS29" s="261" t="e">
        <f t="shared" ca="1" si="40"/>
        <v>#DIV/0!</v>
      </c>
      <c r="CT29" s="261" t="e">
        <f t="shared" ca="1" si="41"/>
        <v>#DIV/0!</v>
      </c>
      <c r="CU29" s="261" t="e">
        <f t="shared" ca="1" si="42"/>
        <v>#DIV/0!</v>
      </c>
      <c r="CV29" s="262" t="e">
        <f t="shared" ca="1" si="22"/>
        <v>#DIV/0!</v>
      </c>
      <c r="CW29" s="263">
        <f t="shared" ca="1" si="43"/>
        <v>-1</v>
      </c>
      <c r="CX29" s="264"/>
      <c r="CY29" s="265">
        <f t="shared" ca="1" si="44"/>
        <v>-99</v>
      </c>
      <c r="CZ29" s="266">
        <f t="shared" ca="1" si="45"/>
        <v>-99</v>
      </c>
      <c r="DA29" s="265">
        <f t="shared" ca="1" si="46"/>
        <v>-99</v>
      </c>
      <c r="DB29" s="265">
        <f t="shared" ca="1" si="47"/>
        <v>-99</v>
      </c>
      <c r="DC29" s="267" t="e">
        <f t="shared" ca="1" si="48"/>
        <v>#NUM!</v>
      </c>
      <c r="DD29" s="330">
        <f t="shared" ca="1" si="49"/>
        <v>-999</v>
      </c>
      <c r="DE29" s="267">
        <f t="shared" ca="1" si="23"/>
        <v>-999</v>
      </c>
      <c r="DF29" s="330">
        <f t="shared" ca="1" si="50"/>
        <v>-999</v>
      </c>
      <c r="DG29" s="324" t="e">
        <f t="shared" ca="1" si="51"/>
        <v>#DIV/0!</v>
      </c>
      <c r="DH29" s="318" t="e">
        <f t="shared" ca="1" si="52"/>
        <v>#DIV/0!</v>
      </c>
      <c r="DI29" s="318" t="e">
        <f t="shared" ca="1" si="53"/>
        <v>#DIV/0!</v>
      </c>
      <c r="DJ29" s="319">
        <f t="shared" ca="1" si="54"/>
        <v>-1</v>
      </c>
      <c r="DK29" s="320">
        <f t="shared" ca="1" si="55"/>
        <v>-1</v>
      </c>
      <c r="DL29" s="324" t="e">
        <f t="shared" ca="1" si="56"/>
        <v>#DIV/0!</v>
      </c>
      <c r="DM29" s="318" t="e">
        <f t="shared" ca="1" si="57"/>
        <v>#DIV/0!</v>
      </c>
      <c r="DN29" s="318" t="e">
        <f t="shared" ca="1" si="58"/>
        <v>#DIV/0!</v>
      </c>
      <c r="DO29" s="319">
        <f ca="1">IF(ISERROR(DL29),-1,Tgrid!$A$46+0.5774*DN29+1.1547*DL29)</f>
        <v>-1</v>
      </c>
      <c r="DP29" s="320">
        <f t="shared" ca="1" si="59"/>
        <v>-1</v>
      </c>
      <c r="DQ29" s="325" t="e">
        <f t="shared" ca="1" si="60"/>
        <v>#DIV/0!</v>
      </c>
      <c r="DR29" s="326" t="e">
        <f t="shared" ca="1" si="61"/>
        <v>#DIV/0!</v>
      </c>
      <c r="DS29" s="319">
        <f ca="1">IF(ISERROR(DQ29),-1,0.5*Tgrid!$B$42+0.5774*(2+DQ29-DR29))</f>
        <v>-1</v>
      </c>
      <c r="DT29" s="320">
        <f ca="1">IF(ISERROR(DQ29),-1,2+Tgrid!$B$54-DQ29-DR29)</f>
        <v>-1</v>
      </c>
    </row>
    <row r="30" spans="1:124" s="52" customFormat="1">
      <c r="A30" s="359" t="s">
        <v>166</v>
      </c>
      <c r="B30" s="355"/>
      <c r="C30" s="362"/>
      <c r="D30" s="366" t="s">
        <v>167</v>
      </c>
      <c r="E30" s="366"/>
      <c r="F30" s="366"/>
      <c r="G30" s="366"/>
      <c r="H30" s="366">
        <v>260</v>
      </c>
      <c r="I30" s="373"/>
      <c r="J30" s="381"/>
      <c r="K30" s="381"/>
      <c r="L30" s="382"/>
      <c r="M30" s="382"/>
      <c r="N30" s="383"/>
      <c r="O30" s="384"/>
      <c r="P30" s="382"/>
      <c r="Q30" s="382"/>
      <c r="R30" s="382"/>
      <c r="S30" s="382"/>
      <c r="T30" s="382"/>
      <c r="U30" s="382"/>
      <c r="V30" s="383"/>
      <c r="W30" s="383"/>
      <c r="X30" s="381"/>
      <c r="Y30" s="384"/>
      <c r="Z30" s="384"/>
      <c r="AA30" s="381"/>
      <c r="AB30" s="381"/>
      <c r="AC30" s="381"/>
      <c r="AD30" s="381"/>
      <c r="AE30" s="381"/>
      <c r="AF30" s="389">
        <v>-5.7</v>
      </c>
      <c r="AG30" s="387">
        <v>-43</v>
      </c>
      <c r="AH30" s="308" t="str">
        <f t="shared" ca="1" si="0"/>
        <v/>
      </c>
      <c r="AI30" s="71">
        <f t="shared" ca="1" si="65"/>
        <v>0</v>
      </c>
      <c r="AJ30" s="71">
        <f t="shared" ca="1" si="65"/>
        <v>0</v>
      </c>
      <c r="AK30" s="71">
        <f t="shared" ca="1" si="65"/>
        <v>0</v>
      </c>
      <c r="AL30" s="71">
        <f t="shared" ca="1" si="65"/>
        <v>260</v>
      </c>
      <c r="AM30" s="71">
        <f t="shared" ca="1" si="65"/>
        <v>0</v>
      </c>
      <c r="AN30" s="71">
        <f t="shared" ca="1" si="65"/>
        <v>0</v>
      </c>
      <c r="AO30" s="71">
        <f t="shared" ca="1" si="66"/>
        <v>0</v>
      </c>
      <c r="AP30" s="71">
        <f t="shared" ca="1" si="66"/>
        <v>0</v>
      </c>
      <c r="AQ30" s="71">
        <f t="shared" ca="1" si="66"/>
        <v>0</v>
      </c>
      <c r="AR30" s="71">
        <f t="shared" ca="1" si="66"/>
        <v>0</v>
      </c>
      <c r="AS30" s="71">
        <f t="shared" ca="1" si="66"/>
        <v>0</v>
      </c>
      <c r="AT30" s="71">
        <f t="shared" ca="1" si="66"/>
        <v>0</v>
      </c>
      <c r="AU30" s="71">
        <f t="shared" ca="1" si="66"/>
        <v>0</v>
      </c>
      <c r="AV30" s="71">
        <f t="shared" ca="1" si="66"/>
        <v>0</v>
      </c>
      <c r="AW30" s="71">
        <f t="shared" ca="1" si="66"/>
        <v>0</v>
      </c>
      <c r="AX30" s="71">
        <f t="shared" ca="1" si="66"/>
        <v>0</v>
      </c>
      <c r="AY30" s="71">
        <f t="shared" ca="1" si="67"/>
        <v>0</v>
      </c>
      <c r="AZ30" s="71">
        <f t="shared" ca="1" si="67"/>
        <v>0</v>
      </c>
      <c r="BA30" s="71">
        <f t="shared" ca="1" si="67"/>
        <v>0</v>
      </c>
      <c r="BB30" s="71">
        <f t="shared" ca="1" si="67"/>
        <v>0</v>
      </c>
      <c r="BC30" s="71">
        <f t="shared" ca="1" si="67"/>
        <v>0</v>
      </c>
      <c r="BD30" s="71">
        <f t="shared" ca="1" si="67"/>
        <v>0</v>
      </c>
      <c r="BE30" s="71">
        <f t="shared" ca="1" si="67"/>
        <v>0</v>
      </c>
      <c r="BF30" s="71">
        <f t="shared" ca="1" si="67"/>
        <v>0</v>
      </c>
      <c r="BG30" s="71">
        <f t="shared" ca="1" si="67"/>
        <v>0</v>
      </c>
      <c r="BH30" s="71">
        <f t="shared" ca="1" si="67"/>
        <v>0</v>
      </c>
      <c r="BI30" s="71">
        <f t="shared" ca="1" si="67"/>
        <v>0</v>
      </c>
      <c r="BJ30" s="71">
        <f t="shared" ca="1" si="4"/>
        <v>-5.7</v>
      </c>
      <c r="BK30" s="71">
        <f t="shared" ca="1" si="68"/>
        <v>-43</v>
      </c>
      <c r="BL30" s="308" t="str">
        <f t="shared" ca="1" si="25"/>
        <v>WK</v>
      </c>
      <c r="BM30" s="268">
        <f t="shared" ca="1" si="69"/>
        <v>0</v>
      </c>
      <c r="BN30" s="268">
        <f t="shared" ca="1" si="70"/>
        <v>0</v>
      </c>
      <c r="BO30" s="269" t="str">
        <f t="shared" ca="1" si="28"/>
        <v/>
      </c>
      <c r="BP30" s="264"/>
      <c r="BQ30" s="261" t="e">
        <f t="shared" ca="1" si="5"/>
        <v>#DIV/0!</v>
      </c>
      <c r="BR30" s="261" t="e">
        <f t="shared" ca="1" si="6"/>
        <v>#DIV/0!</v>
      </c>
      <c r="BS30" s="261" t="e">
        <f t="shared" ca="1" si="7"/>
        <v>#DIV/0!</v>
      </c>
      <c r="BT30" s="262" t="e">
        <f t="shared" ca="1" si="8"/>
        <v>#DIV/0!</v>
      </c>
      <c r="BU30" s="263">
        <f t="shared" ca="1" si="29"/>
        <v>-1</v>
      </c>
      <c r="BV30" s="261" t="e">
        <f t="shared" ca="1" si="9"/>
        <v>#DIV/0!</v>
      </c>
      <c r="BW30" s="261" t="e">
        <f t="shared" ca="1" si="10"/>
        <v>#DIV/0!</v>
      </c>
      <c r="BX30" s="261" t="e">
        <f t="shared" ca="1" si="11"/>
        <v>#DIV/0!</v>
      </c>
      <c r="BY30" s="262" t="e">
        <f t="shared" ca="1" si="12"/>
        <v>#DIV/0!</v>
      </c>
      <c r="BZ30" s="263">
        <f t="shared" ca="1" si="71"/>
        <v>-1</v>
      </c>
      <c r="CA30" s="261" t="e">
        <f t="shared" ca="1" si="13"/>
        <v>#DIV/0!</v>
      </c>
      <c r="CB30" s="261" t="e">
        <f t="shared" ca="1" si="14"/>
        <v>#DIV/0!</v>
      </c>
      <c r="CC30" s="261" t="e">
        <f t="shared" ca="1" si="15"/>
        <v>#DIV/0!</v>
      </c>
      <c r="CD30" s="262" t="e">
        <f t="shared" ca="1" si="16"/>
        <v>#DIV/0!</v>
      </c>
      <c r="CE30" s="263">
        <f t="shared" ca="1" si="31"/>
        <v>-1</v>
      </c>
      <c r="CF30" s="261" t="e">
        <f t="shared" ca="1" si="17"/>
        <v>#DIV/0!</v>
      </c>
      <c r="CG30" s="261" t="e">
        <f t="shared" ca="1" si="18"/>
        <v>#DIV/0!</v>
      </c>
      <c r="CH30" s="261" t="e">
        <f t="shared" ca="1" si="19"/>
        <v>#DIV/0!</v>
      </c>
      <c r="CI30" s="262" t="e">
        <f t="shared" ca="1" si="20"/>
        <v>#DIV/0!</v>
      </c>
      <c r="CJ30" s="263">
        <f t="shared" ca="1" si="32"/>
        <v>-1</v>
      </c>
      <c r="CK30" s="310">
        <f t="shared" ca="1" si="33"/>
        <v>0</v>
      </c>
      <c r="CL30" s="310">
        <f t="shared" ca="1" si="34"/>
        <v>0</v>
      </c>
      <c r="CM30" s="310">
        <f t="shared" ca="1" si="35"/>
        <v>0</v>
      </c>
      <c r="CN30" s="296" t="e">
        <f t="shared" ca="1" si="36"/>
        <v>#DIV/0!</v>
      </c>
      <c r="CO30" s="261" t="e">
        <f t="shared" ca="1" si="37"/>
        <v>#DIV/0!</v>
      </c>
      <c r="CP30" s="261" t="e">
        <f t="shared" ca="1" si="38"/>
        <v>#DIV/0!</v>
      </c>
      <c r="CQ30" s="262" t="e">
        <f t="shared" ca="1" si="21"/>
        <v>#DIV/0!</v>
      </c>
      <c r="CR30" s="263">
        <f t="shared" ca="1" si="39"/>
        <v>-1</v>
      </c>
      <c r="CS30" s="261" t="e">
        <f t="shared" ca="1" si="40"/>
        <v>#DIV/0!</v>
      </c>
      <c r="CT30" s="261" t="e">
        <f t="shared" ca="1" si="41"/>
        <v>#DIV/0!</v>
      </c>
      <c r="CU30" s="261" t="e">
        <f t="shared" ca="1" si="42"/>
        <v>#DIV/0!</v>
      </c>
      <c r="CV30" s="262" t="e">
        <f t="shared" ca="1" si="22"/>
        <v>#DIV/0!</v>
      </c>
      <c r="CW30" s="263">
        <f t="shared" ca="1" si="43"/>
        <v>-1</v>
      </c>
      <c r="CX30" s="264"/>
      <c r="CY30" s="265">
        <f t="shared" ca="1" si="44"/>
        <v>-99</v>
      </c>
      <c r="CZ30" s="266">
        <f t="shared" ca="1" si="45"/>
        <v>-99</v>
      </c>
      <c r="DA30" s="265">
        <f t="shared" ca="1" si="46"/>
        <v>-99</v>
      </c>
      <c r="DB30" s="265">
        <f t="shared" ca="1" si="47"/>
        <v>-99</v>
      </c>
      <c r="DC30" s="267" t="e">
        <f t="shared" ca="1" si="48"/>
        <v>#NUM!</v>
      </c>
      <c r="DD30" s="330">
        <f t="shared" ca="1" si="49"/>
        <v>-999</v>
      </c>
      <c r="DE30" s="267">
        <f t="shared" ca="1" si="23"/>
        <v>-999</v>
      </c>
      <c r="DF30" s="330">
        <f t="shared" ca="1" si="50"/>
        <v>1135.0698788816308</v>
      </c>
      <c r="DG30" s="324" t="e">
        <f t="shared" ca="1" si="51"/>
        <v>#DIV/0!</v>
      </c>
      <c r="DH30" s="318" t="e">
        <f t="shared" ca="1" si="52"/>
        <v>#DIV/0!</v>
      </c>
      <c r="DI30" s="318" t="e">
        <f t="shared" ca="1" si="53"/>
        <v>#DIV/0!</v>
      </c>
      <c r="DJ30" s="319">
        <f t="shared" ca="1" si="54"/>
        <v>-1</v>
      </c>
      <c r="DK30" s="320">
        <f t="shared" ca="1" si="55"/>
        <v>-1</v>
      </c>
      <c r="DL30" s="324" t="e">
        <f t="shared" ca="1" si="56"/>
        <v>#DIV/0!</v>
      </c>
      <c r="DM30" s="318" t="e">
        <f t="shared" ca="1" si="57"/>
        <v>#DIV/0!</v>
      </c>
      <c r="DN30" s="318" t="e">
        <f t="shared" ca="1" si="58"/>
        <v>#DIV/0!</v>
      </c>
      <c r="DO30" s="319">
        <f ca="1">IF(ISERROR(DL30),-1,Tgrid!$A$46+0.5774*DN30+1.1547*DL30)</f>
        <v>-1</v>
      </c>
      <c r="DP30" s="320">
        <f t="shared" ca="1" si="59"/>
        <v>-1</v>
      </c>
      <c r="DQ30" s="325" t="e">
        <f t="shared" ca="1" si="60"/>
        <v>#DIV/0!</v>
      </c>
      <c r="DR30" s="326" t="e">
        <f t="shared" ca="1" si="61"/>
        <v>#DIV/0!</v>
      </c>
      <c r="DS30" s="319">
        <f ca="1">IF(ISERROR(DQ30),-1,0.5*Tgrid!$B$42+0.5774*(2+DQ30-DR30))</f>
        <v>-1</v>
      </c>
      <c r="DT30" s="320">
        <f ca="1">IF(ISERROR(DQ30),-1,2+Tgrid!$B$54-DQ30-DR30)</f>
        <v>-1</v>
      </c>
    </row>
    <row r="31" spans="1:124" s="53" customFormat="1" ht="12.75" customHeight="1">
      <c r="A31" s="359" t="s">
        <v>211</v>
      </c>
      <c r="B31" s="355"/>
      <c r="C31" s="362"/>
      <c r="D31" s="366" t="s">
        <v>172</v>
      </c>
      <c r="E31" s="366"/>
      <c r="F31" s="369"/>
      <c r="G31" s="366"/>
      <c r="H31" s="366"/>
      <c r="I31" s="373"/>
      <c r="J31" s="387"/>
      <c r="K31" s="381"/>
      <c r="L31" s="382"/>
      <c r="M31" s="382"/>
      <c r="N31" s="383"/>
      <c r="O31" s="384"/>
      <c r="P31" s="385"/>
      <c r="Q31" s="382"/>
      <c r="R31" s="382"/>
      <c r="S31" s="382"/>
      <c r="T31" s="382"/>
      <c r="U31" s="382"/>
      <c r="V31" s="387"/>
      <c r="W31" s="383"/>
      <c r="X31" s="387"/>
      <c r="Y31" s="384"/>
      <c r="Z31" s="384"/>
      <c r="AA31" s="387"/>
      <c r="AB31" s="387"/>
      <c r="AC31" s="387"/>
      <c r="AD31" s="387"/>
      <c r="AE31" s="388"/>
      <c r="AF31" s="389">
        <v>-6.7</v>
      </c>
      <c r="AG31" s="387">
        <v>-45</v>
      </c>
      <c r="AH31" s="308" t="str">
        <f t="shared" ca="1" si="0"/>
        <v/>
      </c>
      <c r="AI31" s="71">
        <f t="shared" ca="1" si="65"/>
        <v>0</v>
      </c>
      <c r="AJ31" s="71">
        <f t="shared" ca="1" si="65"/>
        <v>0</v>
      </c>
      <c r="AK31" s="71">
        <f t="shared" ca="1" si="65"/>
        <v>0</v>
      </c>
      <c r="AL31" s="71">
        <f t="shared" ca="1" si="65"/>
        <v>0</v>
      </c>
      <c r="AM31" s="71">
        <f t="shared" ca="1" si="65"/>
        <v>0</v>
      </c>
      <c r="AN31" s="71">
        <f t="shared" ca="1" si="65"/>
        <v>0</v>
      </c>
      <c r="AO31" s="71">
        <f t="shared" ca="1" si="66"/>
        <v>0</v>
      </c>
      <c r="AP31" s="71">
        <f t="shared" ca="1" si="66"/>
        <v>0</v>
      </c>
      <c r="AQ31" s="71">
        <f t="shared" ca="1" si="66"/>
        <v>0</v>
      </c>
      <c r="AR31" s="71">
        <f t="shared" ca="1" si="66"/>
        <v>0</v>
      </c>
      <c r="AS31" s="71">
        <f t="shared" ca="1" si="66"/>
        <v>0</v>
      </c>
      <c r="AT31" s="71">
        <f t="shared" ca="1" si="66"/>
        <v>0</v>
      </c>
      <c r="AU31" s="71">
        <f t="shared" ca="1" si="66"/>
        <v>0</v>
      </c>
      <c r="AV31" s="71">
        <f t="shared" ca="1" si="66"/>
        <v>0</v>
      </c>
      <c r="AW31" s="71">
        <f t="shared" ca="1" si="66"/>
        <v>0</v>
      </c>
      <c r="AX31" s="71">
        <f t="shared" ca="1" si="66"/>
        <v>0</v>
      </c>
      <c r="AY31" s="71">
        <f t="shared" ca="1" si="67"/>
        <v>0</v>
      </c>
      <c r="AZ31" s="71">
        <f t="shared" ca="1" si="67"/>
        <v>0</v>
      </c>
      <c r="BA31" s="71">
        <f t="shared" ca="1" si="67"/>
        <v>0</v>
      </c>
      <c r="BB31" s="71">
        <f t="shared" ca="1" si="67"/>
        <v>0</v>
      </c>
      <c r="BC31" s="71">
        <f t="shared" ca="1" si="67"/>
        <v>0</v>
      </c>
      <c r="BD31" s="71">
        <f t="shared" ca="1" si="67"/>
        <v>0</v>
      </c>
      <c r="BE31" s="71">
        <f t="shared" ca="1" si="67"/>
        <v>0</v>
      </c>
      <c r="BF31" s="71">
        <f t="shared" ca="1" si="67"/>
        <v>0</v>
      </c>
      <c r="BG31" s="71">
        <f t="shared" ca="1" si="67"/>
        <v>0</v>
      </c>
      <c r="BH31" s="71">
        <f t="shared" ca="1" si="67"/>
        <v>0</v>
      </c>
      <c r="BI31" s="71">
        <f t="shared" ca="1" si="67"/>
        <v>0</v>
      </c>
      <c r="BJ31" s="71">
        <f t="shared" ca="1" si="4"/>
        <v>-6.7</v>
      </c>
      <c r="BK31" s="71">
        <f t="shared" ca="1" si="68"/>
        <v>-45</v>
      </c>
      <c r="BL31" s="308" t="str">
        <f t="shared" ca="1" si="25"/>
        <v>wk</v>
      </c>
      <c r="BM31" s="268">
        <f t="shared" ca="1" si="69"/>
        <v>0</v>
      </c>
      <c r="BN31" s="268">
        <f t="shared" ca="1" si="70"/>
        <v>0</v>
      </c>
      <c r="BO31" s="269" t="str">
        <f t="shared" ca="1" si="28"/>
        <v/>
      </c>
      <c r="BP31" s="271"/>
      <c r="BQ31" s="261" t="e">
        <f t="shared" ca="1" si="5"/>
        <v>#DIV/0!</v>
      </c>
      <c r="BR31" s="261" t="e">
        <f t="shared" ca="1" si="6"/>
        <v>#DIV/0!</v>
      </c>
      <c r="BS31" s="261" t="e">
        <f t="shared" ca="1" si="7"/>
        <v>#DIV/0!</v>
      </c>
      <c r="BT31" s="262" t="e">
        <f t="shared" ca="1" si="8"/>
        <v>#DIV/0!</v>
      </c>
      <c r="BU31" s="263">
        <f t="shared" ca="1" si="29"/>
        <v>-1</v>
      </c>
      <c r="BV31" s="261" t="e">
        <f t="shared" ca="1" si="9"/>
        <v>#DIV/0!</v>
      </c>
      <c r="BW31" s="261" t="e">
        <f t="shared" ca="1" si="10"/>
        <v>#DIV/0!</v>
      </c>
      <c r="BX31" s="261" t="e">
        <f t="shared" ca="1" si="11"/>
        <v>#DIV/0!</v>
      </c>
      <c r="BY31" s="262" t="e">
        <f t="shared" ca="1" si="12"/>
        <v>#DIV/0!</v>
      </c>
      <c r="BZ31" s="263">
        <f t="shared" ca="1" si="71"/>
        <v>-1</v>
      </c>
      <c r="CA31" s="261" t="e">
        <f t="shared" ca="1" si="13"/>
        <v>#DIV/0!</v>
      </c>
      <c r="CB31" s="261" t="e">
        <f t="shared" ca="1" si="14"/>
        <v>#DIV/0!</v>
      </c>
      <c r="CC31" s="261" t="e">
        <f t="shared" ca="1" si="15"/>
        <v>#DIV/0!</v>
      </c>
      <c r="CD31" s="262" t="e">
        <f t="shared" ca="1" si="16"/>
        <v>#DIV/0!</v>
      </c>
      <c r="CE31" s="263">
        <f t="shared" ca="1" si="31"/>
        <v>-1</v>
      </c>
      <c r="CF31" s="261" t="e">
        <f t="shared" ca="1" si="17"/>
        <v>#DIV/0!</v>
      </c>
      <c r="CG31" s="261" t="e">
        <f t="shared" ca="1" si="18"/>
        <v>#DIV/0!</v>
      </c>
      <c r="CH31" s="261" t="e">
        <f t="shared" ca="1" si="19"/>
        <v>#DIV/0!</v>
      </c>
      <c r="CI31" s="262" t="e">
        <f t="shared" ca="1" si="20"/>
        <v>#DIV/0!</v>
      </c>
      <c r="CJ31" s="263">
        <f t="shared" ca="1" si="32"/>
        <v>-1</v>
      </c>
      <c r="CK31" s="310">
        <f t="shared" ca="1" si="33"/>
        <v>0</v>
      </c>
      <c r="CL31" s="310">
        <f t="shared" ca="1" si="34"/>
        <v>0</v>
      </c>
      <c r="CM31" s="310">
        <f t="shared" ca="1" si="35"/>
        <v>0</v>
      </c>
      <c r="CN31" s="296" t="e">
        <f t="shared" ca="1" si="36"/>
        <v>#DIV/0!</v>
      </c>
      <c r="CO31" s="261" t="e">
        <f t="shared" ca="1" si="37"/>
        <v>#DIV/0!</v>
      </c>
      <c r="CP31" s="261" t="e">
        <f t="shared" ca="1" si="38"/>
        <v>#DIV/0!</v>
      </c>
      <c r="CQ31" s="262" t="e">
        <f t="shared" ca="1" si="21"/>
        <v>#DIV/0!</v>
      </c>
      <c r="CR31" s="263">
        <f t="shared" ca="1" si="39"/>
        <v>-1</v>
      </c>
      <c r="CS31" s="261" t="e">
        <f t="shared" ca="1" si="40"/>
        <v>#DIV/0!</v>
      </c>
      <c r="CT31" s="261" t="e">
        <f t="shared" ca="1" si="41"/>
        <v>#DIV/0!</v>
      </c>
      <c r="CU31" s="261" t="e">
        <f t="shared" ca="1" si="42"/>
        <v>#DIV/0!</v>
      </c>
      <c r="CV31" s="262" t="e">
        <f t="shared" ca="1" si="22"/>
        <v>#DIV/0!</v>
      </c>
      <c r="CW31" s="263">
        <f t="shared" ca="1" si="43"/>
        <v>-1</v>
      </c>
      <c r="CX31" s="264"/>
      <c r="CY31" s="265">
        <f t="shared" ca="1" si="44"/>
        <v>-99</v>
      </c>
      <c r="CZ31" s="266">
        <f t="shared" ca="1" si="45"/>
        <v>-99</v>
      </c>
      <c r="DA31" s="265">
        <f t="shared" ca="1" si="46"/>
        <v>-99</v>
      </c>
      <c r="DB31" s="265">
        <f t="shared" ca="1" si="47"/>
        <v>-99</v>
      </c>
      <c r="DC31" s="267" t="e">
        <f t="shared" ca="1" si="48"/>
        <v>#NUM!</v>
      </c>
      <c r="DD31" s="330">
        <f t="shared" ca="1" si="49"/>
        <v>-999</v>
      </c>
      <c r="DE31" s="267">
        <f t="shared" ca="1" si="23"/>
        <v>-999</v>
      </c>
      <c r="DF31" s="330">
        <f t="shared" ca="1" si="50"/>
        <v>-999</v>
      </c>
      <c r="DG31" s="324" t="e">
        <f t="shared" ca="1" si="51"/>
        <v>#DIV/0!</v>
      </c>
      <c r="DH31" s="318" t="e">
        <f t="shared" ca="1" si="52"/>
        <v>#DIV/0!</v>
      </c>
      <c r="DI31" s="318" t="e">
        <f t="shared" ca="1" si="53"/>
        <v>#DIV/0!</v>
      </c>
      <c r="DJ31" s="319">
        <f t="shared" ca="1" si="54"/>
        <v>-1</v>
      </c>
      <c r="DK31" s="320">
        <f t="shared" ca="1" si="55"/>
        <v>-1</v>
      </c>
      <c r="DL31" s="324" t="e">
        <f t="shared" ca="1" si="56"/>
        <v>#DIV/0!</v>
      </c>
      <c r="DM31" s="318" t="e">
        <f t="shared" ca="1" si="57"/>
        <v>#DIV/0!</v>
      </c>
      <c r="DN31" s="318" t="e">
        <f t="shared" ca="1" si="58"/>
        <v>#DIV/0!</v>
      </c>
      <c r="DO31" s="319">
        <f ca="1">IF(ISERROR(DL31),-1,Tgrid!$A$46+0.5774*DN31+1.1547*DL31)</f>
        <v>-1</v>
      </c>
      <c r="DP31" s="320">
        <f t="shared" ca="1" si="59"/>
        <v>-1</v>
      </c>
      <c r="DQ31" s="325" t="e">
        <f t="shared" ca="1" si="60"/>
        <v>#DIV/0!</v>
      </c>
      <c r="DR31" s="326" t="e">
        <f t="shared" ca="1" si="61"/>
        <v>#DIV/0!</v>
      </c>
      <c r="DS31" s="319">
        <f ca="1">IF(ISERROR(DQ31),-1,0.5*Tgrid!$B$42+0.5774*(2+DQ31-DR31))</f>
        <v>-1</v>
      </c>
      <c r="DT31" s="320">
        <f ca="1">IF(ISERROR(DQ31),-1,2+Tgrid!$B$54-DQ31-DR31)</f>
        <v>-1</v>
      </c>
    </row>
    <row r="32" spans="1:124" s="53" customFormat="1" ht="13.5" customHeight="1">
      <c r="A32" s="359" t="s">
        <v>212</v>
      </c>
      <c r="B32" s="356"/>
      <c r="C32" s="363"/>
      <c r="D32" s="366" t="s">
        <v>213</v>
      </c>
      <c r="E32" s="366"/>
      <c r="F32" s="366"/>
      <c r="G32" s="366"/>
      <c r="H32" s="366">
        <v>273</v>
      </c>
      <c r="I32" s="373"/>
      <c r="J32" s="381"/>
      <c r="K32" s="381"/>
      <c r="L32" s="382"/>
      <c r="M32" s="382"/>
      <c r="N32" s="383"/>
      <c r="O32" s="384"/>
      <c r="P32" s="382"/>
      <c r="Q32" s="382"/>
      <c r="R32" s="382"/>
      <c r="S32" s="382"/>
      <c r="T32" s="382"/>
      <c r="U32" s="382"/>
      <c r="V32" s="383"/>
      <c r="W32" s="383"/>
      <c r="X32" s="381"/>
      <c r="Y32" s="384"/>
      <c r="Z32" s="384"/>
      <c r="AA32" s="381"/>
      <c r="AB32" s="381"/>
      <c r="AC32" s="381"/>
      <c r="AD32" s="381"/>
      <c r="AE32" s="381"/>
      <c r="AF32" s="389">
        <v>-0.6</v>
      </c>
      <c r="AG32" s="387">
        <v>-30</v>
      </c>
      <c r="AH32" s="308" t="str">
        <f t="shared" ca="1" si="0"/>
        <v/>
      </c>
      <c r="AI32" s="71">
        <f t="shared" ca="1" si="65"/>
        <v>0</v>
      </c>
      <c r="AJ32" s="71">
        <f t="shared" ca="1" si="65"/>
        <v>0</v>
      </c>
      <c r="AK32" s="71">
        <f t="shared" ca="1" si="65"/>
        <v>0</v>
      </c>
      <c r="AL32" s="71">
        <f t="shared" ca="1" si="65"/>
        <v>273</v>
      </c>
      <c r="AM32" s="71">
        <f t="shared" ca="1" si="65"/>
        <v>0</v>
      </c>
      <c r="AN32" s="71">
        <f t="shared" ca="1" si="65"/>
        <v>0</v>
      </c>
      <c r="AO32" s="71">
        <f t="shared" ca="1" si="66"/>
        <v>0</v>
      </c>
      <c r="AP32" s="71">
        <f t="shared" ca="1" si="66"/>
        <v>0</v>
      </c>
      <c r="AQ32" s="71">
        <f t="shared" ca="1" si="66"/>
        <v>0</v>
      </c>
      <c r="AR32" s="71">
        <f t="shared" ca="1" si="66"/>
        <v>0</v>
      </c>
      <c r="AS32" s="71">
        <f t="shared" ca="1" si="66"/>
        <v>0</v>
      </c>
      <c r="AT32" s="71">
        <f t="shared" ca="1" si="66"/>
        <v>0</v>
      </c>
      <c r="AU32" s="71">
        <f t="shared" ca="1" si="66"/>
        <v>0</v>
      </c>
      <c r="AV32" s="71">
        <f t="shared" ca="1" si="66"/>
        <v>0</v>
      </c>
      <c r="AW32" s="71">
        <f t="shared" ca="1" si="66"/>
        <v>0</v>
      </c>
      <c r="AX32" s="71">
        <f t="shared" ca="1" si="66"/>
        <v>0</v>
      </c>
      <c r="AY32" s="71">
        <f t="shared" ca="1" si="67"/>
        <v>0</v>
      </c>
      <c r="AZ32" s="71">
        <f t="shared" ca="1" si="67"/>
        <v>0</v>
      </c>
      <c r="BA32" s="71">
        <f t="shared" ca="1" si="67"/>
        <v>0</v>
      </c>
      <c r="BB32" s="71">
        <f t="shared" ca="1" si="67"/>
        <v>0</v>
      </c>
      <c r="BC32" s="71">
        <f t="shared" ca="1" si="67"/>
        <v>0</v>
      </c>
      <c r="BD32" s="71">
        <f t="shared" ca="1" si="67"/>
        <v>0</v>
      </c>
      <c r="BE32" s="71">
        <f t="shared" ca="1" si="67"/>
        <v>0</v>
      </c>
      <c r="BF32" s="71">
        <f t="shared" ca="1" si="67"/>
        <v>0</v>
      </c>
      <c r="BG32" s="71">
        <f t="shared" ca="1" si="67"/>
        <v>0</v>
      </c>
      <c r="BH32" s="71">
        <f t="shared" ca="1" si="67"/>
        <v>0</v>
      </c>
      <c r="BI32" s="71">
        <f t="shared" ca="1" si="67"/>
        <v>0</v>
      </c>
      <c r="BJ32" s="71">
        <f t="shared" ca="1" si="4"/>
        <v>-0.6</v>
      </c>
      <c r="BK32" s="71">
        <f t="shared" ca="1" si="68"/>
        <v>-30</v>
      </c>
      <c r="BL32" s="308" t="str">
        <f t="shared" ca="1" si="25"/>
        <v>TG</v>
      </c>
      <c r="BM32" s="268">
        <f t="shared" ca="1" si="69"/>
        <v>0</v>
      </c>
      <c r="BN32" s="268">
        <f t="shared" ca="1" si="70"/>
        <v>0</v>
      </c>
      <c r="BO32" s="269" t="str">
        <f t="shared" ca="1" si="28"/>
        <v/>
      </c>
      <c r="BP32" s="271"/>
      <c r="BQ32" s="261" t="e">
        <f t="shared" ca="1" si="5"/>
        <v>#DIV/0!</v>
      </c>
      <c r="BR32" s="261" t="e">
        <f t="shared" ca="1" si="6"/>
        <v>#DIV/0!</v>
      </c>
      <c r="BS32" s="261" t="e">
        <f t="shared" ca="1" si="7"/>
        <v>#DIV/0!</v>
      </c>
      <c r="BT32" s="262" t="e">
        <f t="shared" ca="1" si="8"/>
        <v>#DIV/0!</v>
      </c>
      <c r="BU32" s="263">
        <f t="shared" ca="1" si="29"/>
        <v>-1</v>
      </c>
      <c r="BV32" s="261" t="e">
        <f t="shared" ca="1" si="9"/>
        <v>#DIV/0!</v>
      </c>
      <c r="BW32" s="261" t="e">
        <f t="shared" ca="1" si="10"/>
        <v>#DIV/0!</v>
      </c>
      <c r="BX32" s="261" t="e">
        <f t="shared" ca="1" si="11"/>
        <v>#DIV/0!</v>
      </c>
      <c r="BY32" s="262" t="e">
        <f t="shared" ca="1" si="12"/>
        <v>#DIV/0!</v>
      </c>
      <c r="BZ32" s="263">
        <f t="shared" ca="1" si="71"/>
        <v>-1</v>
      </c>
      <c r="CA32" s="261" t="e">
        <f t="shared" ca="1" si="13"/>
        <v>#DIV/0!</v>
      </c>
      <c r="CB32" s="261" t="e">
        <f t="shared" ca="1" si="14"/>
        <v>#DIV/0!</v>
      </c>
      <c r="CC32" s="261" t="e">
        <f t="shared" ca="1" si="15"/>
        <v>#DIV/0!</v>
      </c>
      <c r="CD32" s="262" t="e">
        <f t="shared" ca="1" si="16"/>
        <v>#DIV/0!</v>
      </c>
      <c r="CE32" s="263">
        <f t="shared" ca="1" si="31"/>
        <v>-1</v>
      </c>
      <c r="CF32" s="261" t="e">
        <f t="shared" ca="1" si="17"/>
        <v>#DIV/0!</v>
      </c>
      <c r="CG32" s="261" t="e">
        <f t="shared" ca="1" si="18"/>
        <v>#DIV/0!</v>
      </c>
      <c r="CH32" s="261" t="e">
        <f t="shared" ca="1" si="19"/>
        <v>#DIV/0!</v>
      </c>
      <c r="CI32" s="262" t="e">
        <f t="shared" ca="1" si="20"/>
        <v>#DIV/0!</v>
      </c>
      <c r="CJ32" s="263">
        <f t="shared" ca="1" si="32"/>
        <v>-1</v>
      </c>
      <c r="CK32" s="310">
        <f t="shared" ca="1" si="33"/>
        <v>0</v>
      </c>
      <c r="CL32" s="310">
        <f t="shared" ca="1" si="34"/>
        <v>0</v>
      </c>
      <c r="CM32" s="310">
        <f t="shared" ca="1" si="35"/>
        <v>0</v>
      </c>
      <c r="CN32" s="296" t="e">
        <f t="shared" ca="1" si="36"/>
        <v>#DIV/0!</v>
      </c>
      <c r="CO32" s="261" t="e">
        <f t="shared" ca="1" si="37"/>
        <v>#DIV/0!</v>
      </c>
      <c r="CP32" s="261" t="e">
        <f t="shared" ca="1" si="38"/>
        <v>#DIV/0!</v>
      </c>
      <c r="CQ32" s="262" t="e">
        <f t="shared" ca="1" si="21"/>
        <v>#DIV/0!</v>
      </c>
      <c r="CR32" s="263">
        <f t="shared" ca="1" si="39"/>
        <v>-1</v>
      </c>
      <c r="CS32" s="261" t="e">
        <f t="shared" ca="1" si="40"/>
        <v>#DIV/0!</v>
      </c>
      <c r="CT32" s="261" t="e">
        <f t="shared" ca="1" si="41"/>
        <v>#DIV/0!</v>
      </c>
      <c r="CU32" s="261" t="e">
        <f t="shared" ca="1" si="42"/>
        <v>#DIV/0!</v>
      </c>
      <c r="CV32" s="262" t="e">
        <f t="shared" ca="1" si="22"/>
        <v>#DIV/0!</v>
      </c>
      <c r="CW32" s="263">
        <f t="shared" ca="1" si="43"/>
        <v>-1</v>
      </c>
      <c r="CX32" s="264"/>
      <c r="CY32" s="265">
        <f t="shared" ca="1" si="44"/>
        <v>-99</v>
      </c>
      <c r="CZ32" s="266">
        <f t="shared" ca="1" si="45"/>
        <v>-99</v>
      </c>
      <c r="DA32" s="265">
        <f t="shared" ca="1" si="46"/>
        <v>-99</v>
      </c>
      <c r="DB32" s="265">
        <f t="shared" ca="1" si="47"/>
        <v>-99</v>
      </c>
      <c r="DC32" s="267" t="e">
        <f t="shared" ca="1" si="48"/>
        <v>#NUM!</v>
      </c>
      <c r="DD32" s="330">
        <f t="shared" ca="1" si="49"/>
        <v>-999</v>
      </c>
      <c r="DE32" s="267">
        <f t="shared" ca="1" si="23"/>
        <v>-999</v>
      </c>
      <c r="DF32" s="330">
        <f t="shared" ca="1" si="50"/>
        <v>1199.8244232262007</v>
      </c>
      <c r="DG32" s="324" t="e">
        <f t="shared" ca="1" si="51"/>
        <v>#DIV/0!</v>
      </c>
      <c r="DH32" s="318" t="e">
        <f t="shared" ca="1" si="52"/>
        <v>#DIV/0!</v>
      </c>
      <c r="DI32" s="318" t="e">
        <f t="shared" ca="1" si="53"/>
        <v>#DIV/0!</v>
      </c>
      <c r="DJ32" s="319">
        <f t="shared" ca="1" si="54"/>
        <v>-1</v>
      </c>
      <c r="DK32" s="320">
        <f t="shared" ca="1" si="55"/>
        <v>-1</v>
      </c>
      <c r="DL32" s="324" t="e">
        <f t="shared" ca="1" si="56"/>
        <v>#DIV/0!</v>
      </c>
      <c r="DM32" s="318" t="e">
        <f t="shared" ca="1" si="57"/>
        <v>#DIV/0!</v>
      </c>
      <c r="DN32" s="318" t="e">
        <f t="shared" ca="1" si="58"/>
        <v>#DIV/0!</v>
      </c>
      <c r="DO32" s="319">
        <f ca="1">IF(ISERROR(DL32),-1,Tgrid!$A$46+0.5774*DN32+1.1547*DL32)</f>
        <v>-1</v>
      </c>
      <c r="DP32" s="320">
        <f t="shared" ca="1" si="59"/>
        <v>-1</v>
      </c>
      <c r="DQ32" s="325" t="e">
        <f t="shared" ca="1" si="60"/>
        <v>#DIV/0!</v>
      </c>
      <c r="DR32" s="326" t="e">
        <f t="shared" ca="1" si="61"/>
        <v>#DIV/0!</v>
      </c>
      <c r="DS32" s="319">
        <f ca="1">IF(ISERROR(DQ32),-1,0.5*Tgrid!$B$42+0.5774*(2+DQ32-DR32))</f>
        <v>-1</v>
      </c>
      <c r="DT32" s="320">
        <f ca="1">IF(ISERROR(DQ32),-1,2+Tgrid!$B$54-DQ32-DR32)</f>
        <v>-1</v>
      </c>
    </row>
    <row r="33" spans="1:124" s="53" customFormat="1" ht="12.75" customHeight="1">
      <c r="A33" s="359" t="s">
        <v>214</v>
      </c>
      <c r="B33" s="356"/>
      <c r="C33" s="363"/>
      <c r="D33" s="366" t="s">
        <v>215</v>
      </c>
      <c r="E33" s="366"/>
      <c r="F33" s="366"/>
      <c r="G33" s="366"/>
      <c r="H33" s="370"/>
      <c r="I33" s="373"/>
      <c r="J33" s="387"/>
      <c r="K33" s="381"/>
      <c r="L33" s="382"/>
      <c r="M33" s="382"/>
      <c r="N33" s="383"/>
      <c r="O33" s="384"/>
      <c r="P33" s="385"/>
      <c r="Q33" s="382"/>
      <c r="R33" s="382"/>
      <c r="S33" s="382"/>
      <c r="T33" s="382"/>
      <c r="U33" s="382"/>
      <c r="V33" s="387"/>
      <c r="W33" s="383"/>
      <c r="X33" s="387"/>
      <c r="Y33" s="384"/>
      <c r="Z33" s="384"/>
      <c r="AA33" s="387"/>
      <c r="AB33" s="387"/>
      <c r="AC33" s="387"/>
      <c r="AD33" s="387"/>
      <c r="AE33" s="388"/>
      <c r="AF33" s="389">
        <v>-6.5</v>
      </c>
      <c r="AG33" s="387">
        <v>-40</v>
      </c>
      <c r="AH33" s="308" t="str">
        <f t="shared" ca="1" si="0"/>
        <v/>
      </c>
      <c r="AI33" s="71">
        <f t="shared" ca="1" si="65"/>
        <v>0</v>
      </c>
      <c r="AJ33" s="71">
        <f t="shared" ca="1" si="65"/>
        <v>0</v>
      </c>
      <c r="AK33" s="71">
        <f t="shared" ca="1" si="65"/>
        <v>0</v>
      </c>
      <c r="AL33" s="71">
        <f t="shared" ca="1" si="65"/>
        <v>0</v>
      </c>
      <c r="AM33" s="71">
        <f t="shared" ca="1" si="65"/>
        <v>0</v>
      </c>
      <c r="AN33" s="71">
        <f t="shared" ca="1" si="65"/>
        <v>0</v>
      </c>
      <c r="AO33" s="71">
        <f t="shared" ca="1" si="66"/>
        <v>0</v>
      </c>
      <c r="AP33" s="71">
        <f t="shared" ca="1" si="66"/>
        <v>0</v>
      </c>
      <c r="AQ33" s="71">
        <f t="shared" ca="1" si="66"/>
        <v>0</v>
      </c>
      <c r="AR33" s="71">
        <f t="shared" ca="1" si="66"/>
        <v>0</v>
      </c>
      <c r="AS33" s="71">
        <f t="shared" ca="1" si="66"/>
        <v>0</v>
      </c>
      <c r="AT33" s="71">
        <f t="shared" ca="1" si="66"/>
        <v>0</v>
      </c>
      <c r="AU33" s="71">
        <f t="shared" ca="1" si="66"/>
        <v>0</v>
      </c>
      <c r="AV33" s="71">
        <f t="shared" ca="1" si="66"/>
        <v>0</v>
      </c>
      <c r="AW33" s="71">
        <f t="shared" ca="1" si="66"/>
        <v>0</v>
      </c>
      <c r="AX33" s="71">
        <f t="shared" ca="1" si="66"/>
        <v>0</v>
      </c>
      <c r="AY33" s="71">
        <f t="shared" ca="1" si="67"/>
        <v>0</v>
      </c>
      <c r="AZ33" s="71">
        <f t="shared" ca="1" si="67"/>
        <v>0</v>
      </c>
      <c r="BA33" s="71">
        <f t="shared" ca="1" si="67"/>
        <v>0</v>
      </c>
      <c r="BB33" s="71">
        <f t="shared" ca="1" si="67"/>
        <v>0</v>
      </c>
      <c r="BC33" s="71">
        <f t="shared" ca="1" si="67"/>
        <v>0</v>
      </c>
      <c r="BD33" s="71">
        <f t="shared" ca="1" si="67"/>
        <v>0</v>
      </c>
      <c r="BE33" s="71">
        <f t="shared" ca="1" si="67"/>
        <v>0</v>
      </c>
      <c r="BF33" s="71">
        <f t="shared" ca="1" si="67"/>
        <v>0</v>
      </c>
      <c r="BG33" s="71">
        <f t="shared" ca="1" si="67"/>
        <v>0</v>
      </c>
      <c r="BH33" s="71">
        <f t="shared" ca="1" si="67"/>
        <v>0</v>
      </c>
      <c r="BI33" s="71">
        <f t="shared" ca="1" si="67"/>
        <v>0</v>
      </c>
      <c r="BJ33" s="71">
        <f t="shared" ca="1" si="4"/>
        <v>-6.5</v>
      </c>
      <c r="BK33" s="71">
        <f t="shared" ca="1" si="68"/>
        <v>-40</v>
      </c>
      <c r="BL33" s="308" t="str">
        <f t="shared" ca="1" si="25"/>
        <v>tg</v>
      </c>
      <c r="BM33" s="268">
        <f t="shared" ca="1" si="69"/>
        <v>0</v>
      </c>
      <c r="BN33" s="268">
        <f t="shared" ca="1" si="70"/>
        <v>0</v>
      </c>
      <c r="BO33" s="269" t="str">
        <f t="shared" ca="1" si="28"/>
        <v/>
      </c>
      <c r="BP33" s="271"/>
      <c r="BQ33" s="261" t="e">
        <f t="shared" ca="1" si="5"/>
        <v>#DIV/0!</v>
      </c>
      <c r="BR33" s="261" t="e">
        <f t="shared" ca="1" si="6"/>
        <v>#DIV/0!</v>
      </c>
      <c r="BS33" s="261" t="e">
        <f t="shared" ca="1" si="7"/>
        <v>#DIV/0!</v>
      </c>
      <c r="BT33" s="262" t="e">
        <f t="shared" ca="1" si="8"/>
        <v>#DIV/0!</v>
      </c>
      <c r="BU33" s="263">
        <f t="shared" ca="1" si="29"/>
        <v>-1</v>
      </c>
      <c r="BV33" s="261" t="e">
        <f t="shared" ca="1" si="9"/>
        <v>#DIV/0!</v>
      </c>
      <c r="BW33" s="261" t="e">
        <f t="shared" ca="1" si="10"/>
        <v>#DIV/0!</v>
      </c>
      <c r="BX33" s="261" t="e">
        <f t="shared" ca="1" si="11"/>
        <v>#DIV/0!</v>
      </c>
      <c r="BY33" s="262" t="e">
        <f t="shared" ca="1" si="12"/>
        <v>#DIV/0!</v>
      </c>
      <c r="BZ33" s="263">
        <f t="shared" ca="1" si="71"/>
        <v>-1</v>
      </c>
      <c r="CA33" s="261" t="e">
        <f t="shared" ca="1" si="13"/>
        <v>#DIV/0!</v>
      </c>
      <c r="CB33" s="261" t="e">
        <f t="shared" ca="1" si="14"/>
        <v>#DIV/0!</v>
      </c>
      <c r="CC33" s="261" t="e">
        <f t="shared" ca="1" si="15"/>
        <v>#DIV/0!</v>
      </c>
      <c r="CD33" s="262" t="e">
        <f t="shared" ca="1" si="16"/>
        <v>#DIV/0!</v>
      </c>
      <c r="CE33" s="263">
        <f t="shared" ca="1" si="31"/>
        <v>-1</v>
      </c>
      <c r="CF33" s="261" t="e">
        <f t="shared" ca="1" si="17"/>
        <v>#DIV/0!</v>
      </c>
      <c r="CG33" s="261" t="e">
        <f t="shared" ca="1" si="18"/>
        <v>#DIV/0!</v>
      </c>
      <c r="CH33" s="261" t="e">
        <f t="shared" ca="1" si="19"/>
        <v>#DIV/0!</v>
      </c>
      <c r="CI33" s="262" t="e">
        <f t="shared" ca="1" si="20"/>
        <v>#DIV/0!</v>
      </c>
      <c r="CJ33" s="263">
        <f t="shared" ca="1" si="32"/>
        <v>-1</v>
      </c>
      <c r="CK33" s="310">
        <f t="shared" ca="1" si="33"/>
        <v>0</v>
      </c>
      <c r="CL33" s="310">
        <f t="shared" ca="1" si="34"/>
        <v>0</v>
      </c>
      <c r="CM33" s="310">
        <f t="shared" ca="1" si="35"/>
        <v>0</v>
      </c>
      <c r="CN33" s="296" t="e">
        <f t="shared" ca="1" si="36"/>
        <v>#DIV/0!</v>
      </c>
      <c r="CO33" s="261" t="e">
        <f t="shared" ca="1" si="37"/>
        <v>#DIV/0!</v>
      </c>
      <c r="CP33" s="261" t="e">
        <f t="shared" ca="1" si="38"/>
        <v>#DIV/0!</v>
      </c>
      <c r="CQ33" s="262" t="e">
        <f t="shared" ca="1" si="21"/>
        <v>#DIV/0!</v>
      </c>
      <c r="CR33" s="263">
        <f t="shared" ca="1" si="39"/>
        <v>-1</v>
      </c>
      <c r="CS33" s="261" t="e">
        <f t="shared" ca="1" si="40"/>
        <v>#DIV/0!</v>
      </c>
      <c r="CT33" s="261" t="e">
        <f t="shared" ca="1" si="41"/>
        <v>#DIV/0!</v>
      </c>
      <c r="CU33" s="261" t="e">
        <f t="shared" ca="1" si="42"/>
        <v>#DIV/0!</v>
      </c>
      <c r="CV33" s="262" t="e">
        <f t="shared" ca="1" si="22"/>
        <v>#DIV/0!</v>
      </c>
      <c r="CW33" s="263">
        <f t="shared" ca="1" si="43"/>
        <v>-1</v>
      </c>
      <c r="CX33" s="264"/>
      <c r="CY33" s="265">
        <f t="shared" ca="1" si="44"/>
        <v>-99</v>
      </c>
      <c r="CZ33" s="266">
        <f t="shared" ca="1" si="45"/>
        <v>-99</v>
      </c>
      <c r="DA33" s="265">
        <f t="shared" ca="1" si="46"/>
        <v>-99</v>
      </c>
      <c r="DB33" s="265">
        <f t="shared" ca="1" si="47"/>
        <v>-99</v>
      </c>
      <c r="DC33" s="267" t="e">
        <f t="shared" ca="1" si="48"/>
        <v>#NUM!</v>
      </c>
      <c r="DD33" s="330">
        <f t="shared" ca="1" si="49"/>
        <v>-999</v>
      </c>
      <c r="DE33" s="267">
        <f t="shared" ca="1" si="23"/>
        <v>-999</v>
      </c>
      <c r="DF33" s="330">
        <f t="shared" ca="1" si="50"/>
        <v>-999</v>
      </c>
      <c r="DG33" s="324" t="e">
        <f t="shared" ca="1" si="51"/>
        <v>#DIV/0!</v>
      </c>
      <c r="DH33" s="318" t="e">
        <f t="shared" ca="1" si="52"/>
        <v>#DIV/0!</v>
      </c>
      <c r="DI33" s="318" t="e">
        <f t="shared" ca="1" si="53"/>
        <v>#DIV/0!</v>
      </c>
      <c r="DJ33" s="319">
        <f t="shared" ca="1" si="54"/>
        <v>-1</v>
      </c>
      <c r="DK33" s="320">
        <f t="shared" ca="1" si="55"/>
        <v>-1</v>
      </c>
      <c r="DL33" s="324" t="e">
        <f t="shared" ca="1" si="56"/>
        <v>#DIV/0!</v>
      </c>
      <c r="DM33" s="318" t="e">
        <f t="shared" ca="1" si="57"/>
        <v>#DIV/0!</v>
      </c>
      <c r="DN33" s="318" t="e">
        <f t="shared" ca="1" si="58"/>
        <v>#DIV/0!</v>
      </c>
      <c r="DO33" s="319">
        <f ca="1">IF(ISERROR(DL33),-1,Tgrid!$A$46+0.5774*DN33+1.1547*DL33)</f>
        <v>-1</v>
      </c>
      <c r="DP33" s="320">
        <f t="shared" ca="1" si="59"/>
        <v>-1</v>
      </c>
      <c r="DQ33" s="325" t="e">
        <f t="shared" ca="1" si="60"/>
        <v>#DIV/0!</v>
      </c>
      <c r="DR33" s="326" t="e">
        <f t="shared" ca="1" si="61"/>
        <v>#DIV/0!</v>
      </c>
      <c r="DS33" s="319">
        <f ca="1">IF(ISERROR(DQ33),-1,0.5*Tgrid!$B$42+0.5774*(2+DQ33-DR33))</f>
        <v>-1</v>
      </c>
      <c r="DT33" s="320">
        <f ca="1">IF(ISERROR(DQ33),-1,2+Tgrid!$B$54-DQ33-DR33)</f>
        <v>-1</v>
      </c>
    </row>
    <row r="34" spans="1:124" s="53" customFormat="1">
      <c r="A34" s="359" t="s">
        <v>178</v>
      </c>
      <c r="B34" s="355"/>
      <c r="C34" s="362"/>
      <c r="D34" s="366" t="s">
        <v>179</v>
      </c>
      <c r="E34" s="366"/>
      <c r="F34" s="366"/>
      <c r="G34" s="366"/>
      <c r="H34" s="366">
        <v>245</v>
      </c>
      <c r="I34" s="373"/>
      <c r="J34" s="381"/>
      <c r="K34" s="381"/>
      <c r="L34" s="382"/>
      <c r="M34" s="382"/>
      <c r="N34" s="383"/>
      <c r="O34" s="384"/>
      <c r="P34" s="382"/>
      <c r="Q34" s="382"/>
      <c r="R34" s="382"/>
      <c r="S34" s="382"/>
      <c r="T34" s="382"/>
      <c r="U34" s="382"/>
      <c r="V34" s="383"/>
      <c r="W34" s="383"/>
      <c r="X34" s="381"/>
      <c r="Y34" s="384"/>
      <c r="Z34" s="384"/>
      <c r="AA34" s="381"/>
      <c r="AB34" s="381"/>
      <c r="AC34" s="381"/>
      <c r="AD34" s="381"/>
      <c r="AE34" s="381"/>
      <c r="AF34" s="389">
        <v>-2</v>
      </c>
      <c r="AG34" s="387">
        <v>-25</v>
      </c>
      <c r="AH34" s="308" t="str">
        <f t="shared" ca="1" si="0"/>
        <v/>
      </c>
      <c r="AI34" s="71">
        <f t="shared" ca="1" si="65"/>
        <v>0</v>
      </c>
      <c r="AJ34" s="71">
        <f t="shared" ca="1" si="65"/>
        <v>0</v>
      </c>
      <c r="AK34" s="71">
        <f t="shared" ca="1" si="65"/>
        <v>0</v>
      </c>
      <c r="AL34" s="71">
        <f t="shared" ca="1" si="65"/>
        <v>245</v>
      </c>
      <c r="AM34" s="71">
        <f t="shared" ca="1" si="65"/>
        <v>0</v>
      </c>
      <c r="AN34" s="71">
        <f t="shared" ca="1" si="65"/>
        <v>0</v>
      </c>
      <c r="AO34" s="71">
        <f t="shared" ca="1" si="66"/>
        <v>0</v>
      </c>
      <c r="AP34" s="71">
        <f t="shared" ca="1" si="66"/>
        <v>0</v>
      </c>
      <c r="AQ34" s="71">
        <f t="shared" ca="1" si="66"/>
        <v>0</v>
      </c>
      <c r="AR34" s="71">
        <f t="shared" ca="1" si="66"/>
        <v>0</v>
      </c>
      <c r="AS34" s="71">
        <f t="shared" ca="1" si="66"/>
        <v>0</v>
      </c>
      <c r="AT34" s="71">
        <f t="shared" ca="1" si="66"/>
        <v>0</v>
      </c>
      <c r="AU34" s="71">
        <f t="shared" ca="1" si="66"/>
        <v>0</v>
      </c>
      <c r="AV34" s="71">
        <f t="shared" ca="1" si="66"/>
        <v>0</v>
      </c>
      <c r="AW34" s="71">
        <f t="shared" ca="1" si="66"/>
        <v>0</v>
      </c>
      <c r="AX34" s="71">
        <f t="shared" ca="1" si="66"/>
        <v>0</v>
      </c>
      <c r="AY34" s="71">
        <f t="shared" ca="1" si="67"/>
        <v>0</v>
      </c>
      <c r="AZ34" s="71">
        <f t="shared" ca="1" si="67"/>
        <v>0</v>
      </c>
      <c r="BA34" s="71">
        <f t="shared" ca="1" si="67"/>
        <v>0</v>
      </c>
      <c r="BB34" s="71">
        <f t="shared" ca="1" si="67"/>
        <v>0</v>
      </c>
      <c r="BC34" s="71">
        <f t="shared" ca="1" si="67"/>
        <v>0</v>
      </c>
      <c r="BD34" s="71">
        <f t="shared" ca="1" si="67"/>
        <v>0</v>
      </c>
      <c r="BE34" s="71">
        <f t="shared" ca="1" si="67"/>
        <v>0</v>
      </c>
      <c r="BF34" s="71">
        <f t="shared" ca="1" si="67"/>
        <v>0</v>
      </c>
      <c r="BG34" s="71">
        <f t="shared" ca="1" si="67"/>
        <v>0</v>
      </c>
      <c r="BH34" s="71">
        <f t="shared" ca="1" si="67"/>
        <v>0</v>
      </c>
      <c r="BI34" s="71">
        <f t="shared" ca="1" si="67"/>
        <v>0</v>
      </c>
      <c r="BJ34" s="71">
        <f t="shared" ca="1" si="4"/>
        <v>-2</v>
      </c>
      <c r="BK34" s="71">
        <f t="shared" ca="1" si="68"/>
        <v>-25</v>
      </c>
      <c r="BL34" s="308" t="str">
        <f t="shared" ca="1" si="25"/>
        <v>MV</v>
      </c>
      <c r="BM34" s="268">
        <f t="shared" ca="1" si="69"/>
        <v>0</v>
      </c>
      <c r="BN34" s="268">
        <f t="shared" ca="1" si="70"/>
        <v>0</v>
      </c>
      <c r="BO34" s="269" t="str">
        <f t="shared" ca="1" si="28"/>
        <v/>
      </c>
      <c r="BP34" s="271"/>
      <c r="BQ34" s="261" t="e">
        <f t="shared" ca="1" si="5"/>
        <v>#DIV/0!</v>
      </c>
      <c r="BR34" s="261" t="e">
        <f t="shared" ca="1" si="6"/>
        <v>#DIV/0!</v>
      </c>
      <c r="BS34" s="261" t="e">
        <f t="shared" ca="1" si="7"/>
        <v>#DIV/0!</v>
      </c>
      <c r="BT34" s="262" t="e">
        <f t="shared" ca="1" si="8"/>
        <v>#DIV/0!</v>
      </c>
      <c r="BU34" s="263">
        <f t="shared" ca="1" si="29"/>
        <v>-1</v>
      </c>
      <c r="BV34" s="261" t="e">
        <f t="shared" ca="1" si="9"/>
        <v>#DIV/0!</v>
      </c>
      <c r="BW34" s="261" t="e">
        <f t="shared" ca="1" si="10"/>
        <v>#DIV/0!</v>
      </c>
      <c r="BX34" s="261" t="e">
        <f t="shared" ca="1" si="11"/>
        <v>#DIV/0!</v>
      </c>
      <c r="BY34" s="262" t="e">
        <f t="shared" ca="1" si="12"/>
        <v>#DIV/0!</v>
      </c>
      <c r="BZ34" s="263">
        <f t="shared" ca="1" si="71"/>
        <v>-1</v>
      </c>
      <c r="CA34" s="261" t="e">
        <f t="shared" ca="1" si="13"/>
        <v>#DIV/0!</v>
      </c>
      <c r="CB34" s="261" t="e">
        <f t="shared" ca="1" si="14"/>
        <v>#DIV/0!</v>
      </c>
      <c r="CC34" s="261" t="e">
        <f t="shared" ca="1" si="15"/>
        <v>#DIV/0!</v>
      </c>
      <c r="CD34" s="262" t="e">
        <f t="shared" ca="1" si="16"/>
        <v>#DIV/0!</v>
      </c>
      <c r="CE34" s="263">
        <f t="shared" ca="1" si="31"/>
        <v>-1</v>
      </c>
      <c r="CF34" s="261" t="e">
        <f t="shared" ca="1" si="17"/>
        <v>#DIV/0!</v>
      </c>
      <c r="CG34" s="261" t="e">
        <f t="shared" ca="1" si="18"/>
        <v>#DIV/0!</v>
      </c>
      <c r="CH34" s="261" t="e">
        <f t="shared" ca="1" si="19"/>
        <v>#DIV/0!</v>
      </c>
      <c r="CI34" s="262" t="e">
        <f t="shared" ca="1" si="20"/>
        <v>#DIV/0!</v>
      </c>
      <c r="CJ34" s="263">
        <f t="shared" ca="1" si="32"/>
        <v>-1</v>
      </c>
      <c r="CK34" s="310">
        <f t="shared" ca="1" si="33"/>
        <v>0</v>
      </c>
      <c r="CL34" s="310">
        <f t="shared" ca="1" si="34"/>
        <v>0</v>
      </c>
      <c r="CM34" s="310">
        <f t="shared" ca="1" si="35"/>
        <v>0</v>
      </c>
      <c r="CN34" s="296" t="e">
        <f t="shared" ca="1" si="36"/>
        <v>#DIV/0!</v>
      </c>
      <c r="CO34" s="261" t="e">
        <f t="shared" ca="1" si="37"/>
        <v>#DIV/0!</v>
      </c>
      <c r="CP34" s="261" t="e">
        <f t="shared" ca="1" si="38"/>
        <v>#DIV/0!</v>
      </c>
      <c r="CQ34" s="262" t="e">
        <f t="shared" ca="1" si="21"/>
        <v>#DIV/0!</v>
      </c>
      <c r="CR34" s="263">
        <f t="shared" ca="1" si="39"/>
        <v>-1</v>
      </c>
      <c r="CS34" s="261" t="e">
        <f t="shared" ca="1" si="40"/>
        <v>#DIV/0!</v>
      </c>
      <c r="CT34" s="261" t="e">
        <f t="shared" ca="1" si="41"/>
        <v>#DIV/0!</v>
      </c>
      <c r="CU34" s="261" t="e">
        <f t="shared" ca="1" si="42"/>
        <v>#DIV/0!</v>
      </c>
      <c r="CV34" s="262" t="e">
        <f t="shared" ca="1" si="22"/>
        <v>#DIV/0!</v>
      </c>
      <c r="CW34" s="263">
        <f t="shared" ca="1" si="43"/>
        <v>-1</v>
      </c>
      <c r="CX34" s="264"/>
      <c r="CY34" s="265">
        <f t="shared" ca="1" si="44"/>
        <v>-99</v>
      </c>
      <c r="CZ34" s="266">
        <f t="shared" ca="1" si="45"/>
        <v>-99</v>
      </c>
      <c r="DA34" s="265">
        <f t="shared" ca="1" si="46"/>
        <v>-99</v>
      </c>
      <c r="DB34" s="265">
        <f t="shared" ca="1" si="47"/>
        <v>-99</v>
      </c>
      <c r="DC34" s="267" t="e">
        <f t="shared" ca="1" si="48"/>
        <v>#NUM!</v>
      </c>
      <c r="DD34" s="330">
        <f t="shared" ca="1" si="49"/>
        <v>-999</v>
      </c>
      <c r="DE34" s="267">
        <f t="shared" ca="1" si="23"/>
        <v>-999</v>
      </c>
      <c r="DF34" s="330">
        <f t="shared" ca="1" si="50"/>
        <v>1062.5750439470712</v>
      </c>
      <c r="DG34" s="324" t="e">
        <f t="shared" ca="1" si="51"/>
        <v>#DIV/0!</v>
      </c>
      <c r="DH34" s="318" t="e">
        <f t="shared" ca="1" si="52"/>
        <v>#DIV/0!</v>
      </c>
      <c r="DI34" s="318" t="e">
        <f t="shared" ca="1" si="53"/>
        <v>#DIV/0!</v>
      </c>
      <c r="DJ34" s="319">
        <f t="shared" ca="1" si="54"/>
        <v>-1</v>
      </c>
      <c r="DK34" s="320">
        <f t="shared" ca="1" si="55"/>
        <v>-1</v>
      </c>
      <c r="DL34" s="324" t="e">
        <f t="shared" ca="1" si="56"/>
        <v>#DIV/0!</v>
      </c>
      <c r="DM34" s="318" t="e">
        <f t="shared" ca="1" si="57"/>
        <v>#DIV/0!</v>
      </c>
      <c r="DN34" s="318" t="e">
        <f t="shared" ca="1" si="58"/>
        <v>#DIV/0!</v>
      </c>
      <c r="DO34" s="319">
        <f ca="1">IF(ISERROR(DL34),-1,Tgrid!$A$46+0.5774*DN34+1.1547*DL34)</f>
        <v>-1</v>
      </c>
      <c r="DP34" s="320">
        <f t="shared" ca="1" si="59"/>
        <v>-1</v>
      </c>
      <c r="DQ34" s="325" t="e">
        <f t="shared" ca="1" si="60"/>
        <v>#DIV/0!</v>
      </c>
      <c r="DR34" s="326" t="e">
        <f t="shared" ca="1" si="61"/>
        <v>#DIV/0!</v>
      </c>
      <c r="DS34" s="319">
        <f ca="1">IF(ISERROR(DQ34),-1,0.5*Tgrid!$B$42+0.5774*(2+DQ34-DR34))</f>
        <v>-1</v>
      </c>
      <c r="DT34" s="320">
        <f ca="1">IF(ISERROR(DQ34),-1,2+Tgrid!$B$54-DQ34-DR34)</f>
        <v>-1</v>
      </c>
    </row>
    <row r="35" spans="1:124" s="7" customFormat="1">
      <c r="A35" s="359" t="s">
        <v>216</v>
      </c>
      <c r="B35" s="355"/>
      <c r="C35" s="362"/>
      <c r="D35" s="366" t="s">
        <v>181</v>
      </c>
      <c r="E35" s="366"/>
      <c r="F35" s="369"/>
      <c r="G35" s="366"/>
      <c r="H35" s="366"/>
      <c r="I35" s="373"/>
      <c r="J35" s="387"/>
      <c r="K35" s="381"/>
      <c r="L35" s="382"/>
      <c r="M35" s="382"/>
      <c r="N35" s="383"/>
      <c r="O35" s="384"/>
      <c r="P35" s="385"/>
      <c r="Q35" s="382"/>
      <c r="R35" s="382"/>
      <c r="S35" s="382"/>
      <c r="T35" s="382"/>
      <c r="U35" s="382"/>
      <c r="V35" s="387"/>
      <c r="W35" s="383"/>
      <c r="X35" s="387"/>
      <c r="Y35" s="384"/>
      <c r="Z35" s="384"/>
      <c r="AA35" s="387"/>
      <c r="AB35" s="387"/>
      <c r="AC35" s="387"/>
      <c r="AD35" s="387"/>
      <c r="AE35" s="388"/>
      <c r="AF35" s="389">
        <v>-4.8</v>
      </c>
      <c r="AG35" s="387">
        <v>-28</v>
      </c>
      <c r="AH35" s="308" t="str">
        <f t="shared" ca="1" si="0"/>
        <v/>
      </c>
      <c r="AI35" s="71">
        <f t="shared" ca="1" si="65"/>
        <v>0</v>
      </c>
      <c r="AJ35" s="71">
        <f t="shared" ca="1" si="65"/>
        <v>0</v>
      </c>
      <c r="AK35" s="71">
        <f t="shared" ca="1" si="65"/>
        <v>0</v>
      </c>
      <c r="AL35" s="71">
        <f t="shared" ca="1" si="65"/>
        <v>0</v>
      </c>
      <c r="AM35" s="71">
        <f t="shared" ca="1" si="65"/>
        <v>0</v>
      </c>
      <c r="AN35" s="71">
        <f t="shared" ca="1" si="65"/>
        <v>0</v>
      </c>
      <c r="AO35" s="71">
        <f t="shared" ca="1" si="66"/>
        <v>0</v>
      </c>
      <c r="AP35" s="71">
        <f t="shared" ca="1" si="66"/>
        <v>0</v>
      </c>
      <c r="AQ35" s="71">
        <f t="shared" ca="1" si="66"/>
        <v>0</v>
      </c>
      <c r="AR35" s="71">
        <f t="shared" ca="1" si="66"/>
        <v>0</v>
      </c>
      <c r="AS35" s="71">
        <f t="shared" ca="1" si="66"/>
        <v>0</v>
      </c>
      <c r="AT35" s="71">
        <f t="shared" ca="1" si="66"/>
        <v>0</v>
      </c>
      <c r="AU35" s="71">
        <f t="shared" ca="1" si="66"/>
        <v>0</v>
      </c>
      <c r="AV35" s="71">
        <f t="shared" ca="1" si="66"/>
        <v>0</v>
      </c>
      <c r="AW35" s="71">
        <f t="shared" ca="1" si="66"/>
        <v>0</v>
      </c>
      <c r="AX35" s="71">
        <f t="shared" ca="1" si="66"/>
        <v>0</v>
      </c>
      <c r="AY35" s="71">
        <f t="shared" ca="1" si="67"/>
        <v>0</v>
      </c>
      <c r="AZ35" s="71">
        <f t="shared" ca="1" si="67"/>
        <v>0</v>
      </c>
      <c r="BA35" s="71">
        <f t="shared" ca="1" si="67"/>
        <v>0</v>
      </c>
      <c r="BB35" s="71">
        <f t="shared" ca="1" si="67"/>
        <v>0</v>
      </c>
      <c r="BC35" s="71">
        <f t="shared" ca="1" si="67"/>
        <v>0</v>
      </c>
      <c r="BD35" s="71">
        <f t="shared" ca="1" si="67"/>
        <v>0</v>
      </c>
      <c r="BE35" s="71">
        <f t="shared" ca="1" si="67"/>
        <v>0</v>
      </c>
      <c r="BF35" s="71">
        <f t="shared" ca="1" si="67"/>
        <v>0</v>
      </c>
      <c r="BG35" s="71">
        <f t="shared" ca="1" si="67"/>
        <v>0</v>
      </c>
      <c r="BH35" s="71">
        <f t="shared" ca="1" si="67"/>
        <v>0</v>
      </c>
      <c r="BI35" s="71">
        <f t="shared" ca="1" si="67"/>
        <v>0</v>
      </c>
      <c r="BJ35" s="71">
        <f t="shared" ca="1" si="4"/>
        <v>-4.8</v>
      </c>
      <c r="BK35" s="71">
        <f t="shared" ca="1" si="68"/>
        <v>-28</v>
      </c>
      <c r="BL35" s="308" t="str">
        <f t="shared" ca="1" si="25"/>
        <v>mv</v>
      </c>
      <c r="BM35" s="268">
        <f t="shared" ca="1" si="69"/>
        <v>0</v>
      </c>
      <c r="BN35" s="268">
        <f t="shared" ca="1" si="70"/>
        <v>0</v>
      </c>
      <c r="BO35" s="269" t="str">
        <f t="shared" ca="1" si="28"/>
        <v/>
      </c>
      <c r="BP35" s="271"/>
      <c r="BQ35" s="261" t="e">
        <f t="shared" ca="1" si="5"/>
        <v>#DIV/0!</v>
      </c>
      <c r="BR35" s="261" t="e">
        <f t="shared" ca="1" si="6"/>
        <v>#DIV/0!</v>
      </c>
      <c r="BS35" s="261" t="e">
        <f t="shared" ca="1" si="7"/>
        <v>#DIV/0!</v>
      </c>
      <c r="BT35" s="262" t="e">
        <f ca="1">0.5774*BQ35+1.1547*BS35</f>
        <v>#DIV/0!</v>
      </c>
      <c r="BU35" s="263">
        <f t="shared" ca="1" si="29"/>
        <v>-1</v>
      </c>
      <c r="BV35" s="261" t="e">
        <f t="shared" ca="1" si="9"/>
        <v>#DIV/0!</v>
      </c>
      <c r="BW35" s="261" t="e">
        <f t="shared" ca="1" si="10"/>
        <v>#DIV/0!</v>
      </c>
      <c r="BX35" s="261" t="e">
        <f t="shared" ca="1" si="11"/>
        <v>#DIV/0!</v>
      </c>
      <c r="BY35" s="262" t="e">
        <f ca="1">0.5774*BV35+1.1547*BX35</f>
        <v>#DIV/0!</v>
      </c>
      <c r="BZ35" s="263">
        <f t="shared" ca="1" si="71"/>
        <v>-1</v>
      </c>
      <c r="CA35" s="261" t="e">
        <f t="shared" ca="1" si="13"/>
        <v>#DIV/0!</v>
      </c>
      <c r="CB35" s="261" t="e">
        <f t="shared" ca="1" si="14"/>
        <v>#DIV/0!</v>
      </c>
      <c r="CC35" s="261" t="e">
        <f t="shared" ca="1" si="15"/>
        <v>#DIV/0!</v>
      </c>
      <c r="CD35" s="262" t="e">
        <f ca="1">0.5774*CA35+1.1547*CC35</f>
        <v>#DIV/0!</v>
      </c>
      <c r="CE35" s="263">
        <f t="shared" ca="1" si="31"/>
        <v>-1</v>
      </c>
      <c r="CF35" s="261" t="e">
        <f t="shared" ca="1" si="17"/>
        <v>#DIV/0!</v>
      </c>
      <c r="CG35" s="261" t="e">
        <f t="shared" ca="1" si="18"/>
        <v>#DIV/0!</v>
      </c>
      <c r="CH35" s="261" t="e">
        <f t="shared" ca="1" si="19"/>
        <v>#DIV/0!</v>
      </c>
      <c r="CI35" s="262" t="e">
        <f ca="1">0.5774*CF35+1.1547*CH35</f>
        <v>#DIV/0!</v>
      </c>
      <c r="CJ35" s="263">
        <f t="shared" ca="1" si="32"/>
        <v>-1</v>
      </c>
      <c r="CK35" s="310">
        <f t="shared" ca="1" si="33"/>
        <v>0</v>
      </c>
      <c r="CL35" s="310">
        <f t="shared" ca="1" si="34"/>
        <v>0</v>
      </c>
      <c r="CM35" s="310">
        <f t="shared" ca="1" si="35"/>
        <v>0</v>
      </c>
      <c r="CN35" s="296" t="e">
        <f t="shared" ca="1" si="36"/>
        <v>#DIV/0!</v>
      </c>
      <c r="CO35" s="261" t="e">
        <f t="shared" ca="1" si="37"/>
        <v>#DIV/0!</v>
      </c>
      <c r="CP35" s="261" t="e">
        <f t="shared" ca="1" si="38"/>
        <v>#DIV/0!</v>
      </c>
      <c r="CQ35" s="262" t="e">
        <f ca="1">0.5774*CN35+1.1547*CP35</f>
        <v>#DIV/0!</v>
      </c>
      <c r="CR35" s="263">
        <f t="shared" ca="1" si="39"/>
        <v>-1</v>
      </c>
      <c r="CS35" s="261" t="e">
        <f t="shared" ca="1" si="40"/>
        <v>#DIV/0!</v>
      </c>
      <c r="CT35" s="261" t="e">
        <f t="shared" ca="1" si="41"/>
        <v>#DIV/0!</v>
      </c>
      <c r="CU35" s="261" t="e">
        <f t="shared" ca="1" si="42"/>
        <v>#DIV/0!</v>
      </c>
      <c r="CV35" s="262" t="e">
        <f ca="1">0.5774*CS35+1.1547*CU35</f>
        <v>#DIV/0!</v>
      </c>
      <c r="CW35" s="263">
        <f t="shared" ca="1" si="43"/>
        <v>-1</v>
      </c>
      <c r="CX35" s="264"/>
      <c r="CY35" s="265">
        <f t="shared" ca="1" si="44"/>
        <v>-99</v>
      </c>
      <c r="CZ35" s="266">
        <f t="shared" ca="1" si="45"/>
        <v>-99</v>
      </c>
      <c r="DA35" s="265">
        <f t="shared" ca="1" si="46"/>
        <v>-99</v>
      </c>
      <c r="DB35" s="265">
        <f t="shared" ca="1" si="47"/>
        <v>-99</v>
      </c>
      <c r="DC35" s="267" t="e">
        <f t="shared" ca="1" si="48"/>
        <v>#NUM!</v>
      </c>
      <c r="DD35" s="330">
        <f t="shared" ca="1" si="49"/>
        <v>-999</v>
      </c>
      <c r="DE35" s="267">
        <f t="shared" ca="1" si="23"/>
        <v>-999</v>
      </c>
      <c r="DF35" s="330">
        <f t="shared" ca="1" si="50"/>
        <v>-999</v>
      </c>
      <c r="DG35" s="324" t="e">
        <f t="shared" ca="1" si="51"/>
        <v>#DIV/0!</v>
      </c>
      <c r="DH35" s="318" t="e">
        <f t="shared" ca="1" si="52"/>
        <v>#DIV/0!</v>
      </c>
      <c r="DI35" s="318" t="e">
        <f t="shared" ca="1" si="53"/>
        <v>#DIV/0!</v>
      </c>
      <c r="DJ35" s="319">
        <f t="shared" ca="1" si="54"/>
        <v>-1</v>
      </c>
      <c r="DK35" s="320">
        <f t="shared" ca="1" si="55"/>
        <v>-1</v>
      </c>
      <c r="DL35" s="324" t="e">
        <f t="shared" ca="1" si="56"/>
        <v>#DIV/0!</v>
      </c>
      <c r="DM35" s="318" t="e">
        <f t="shared" ca="1" si="57"/>
        <v>#DIV/0!</v>
      </c>
      <c r="DN35" s="318" t="e">
        <f t="shared" ca="1" si="58"/>
        <v>#DIV/0!</v>
      </c>
      <c r="DO35" s="319">
        <f ca="1">IF(ISERROR(DL35),-1,Tgrid!$A$46+0.5774*DN35+1.1547*DL35)</f>
        <v>-1</v>
      </c>
      <c r="DP35" s="320">
        <f t="shared" ca="1" si="59"/>
        <v>-1</v>
      </c>
      <c r="DQ35" s="325" t="e">
        <f t="shared" ca="1" si="60"/>
        <v>#DIV/0!</v>
      </c>
      <c r="DR35" s="326" t="e">
        <f t="shared" ca="1" si="61"/>
        <v>#DIV/0!</v>
      </c>
      <c r="DS35" s="319">
        <f ca="1">IF(ISERROR(DQ35),-1,0.5*Tgrid!$B$42+0.5774*(2+DQ35-DR35))</f>
        <v>-1</v>
      </c>
      <c r="DT35" s="320">
        <f ca="1">IF(ISERROR(DQ35),-1,2+Tgrid!$B$54-DQ35-DR35)</f>
        <v>-1</v>
      </c>
    </row>
    <row r="36" spans="1:124" s="7" customFormat="1">
      <c r="A36" s="359" t="s">
        <v>174</v>
      </c>
      <c r="B36" s="355"/>
      <c r="C36" s="362"/>
      <c r="D36" s="366" t="s">
        <v>175</v>
      </c>
      <c r="E36" s="366"/>
      <c r="F36" s="366"/>
      <c r="G36" s="366"/>
      <c r="H36" s="366">
        <v>280</v>
      </c>
      <c r="I36" s="373"/>
      <c r="J36" s="381"/>
      <c r="K36" s="381"/>
      <c r="L36" s="382"/>
      <c r="M36" s="382"/>
      <c r="N36" s="383"/>
      <c r="O36" s="384"/>
      <c r="P36" s="382"/>
      <c r="Q36" s="382"/>
      <c r="R36" s="382"/>
      <c r="S36" s="382"/>
      <c r="T36" s="382"/>
      <c r="U36" s="382"/>
      <c r="V36" s="383"/>
      <c r="W36" s="383"/>
      <c r="X36" s="381"/>
      <c r="Y36" s="384"/>
      <c r="Z36" s="384"/>
      <c r="AA36" s="381"/>
      <c r="AB36" s="381"/>
      <c r="AC36" s="381"/>
      <c r="AD36" s="381"/>
      <c r="AE36" s="381"/>
      <c r="AF36" s="389">
        <v>-8.5</v>
      </c>
      <c r="AG36" s="387">
        <v>-78</v>
      </c>
      <c r="AH36" s="308" t="str">
        <f t="shared" ca="1" si="0"/>
        <v/>
      </c>
      <c r="AI36" s="71">
        <f t="shared" ca="1" si="65"/>
        <v>0</v>
      </c>
      <c r="AJ36" s="71">
        <f t="shared" ca="1" si="65"/>
        <v>0</v>
      </c>
      <c r="AK36" s="71">
        <f t="shared" ca="1" si="65"/>
        <v>0</v>
      </c>
      <c r="AL36" s="71">
        <f t="shared" ca="1" si="65"/>
        <v>280</v>
      </c>
      <c r="AM36" s="71">
        <f t="shared" ca="1" si="65"/>
        <v>0</v>
      </c>
      <c r="AN36" s="71">
        <f t="shared" ca="1" si="65"/>
        <v>0</v>
      </c>
      <c r="AO36" s="71">
        <f t="shared" ca="1" si="66"/>
        <v>0</v>
      </c>
      <c r="AP36" s="71">
        <f t="shared" ca="1" si="66"/>
        <v>0</v>
      </c>
      <c r="AQ36" s="71">
        <f t="shared" ca="1" si="66"/>
        <v>0</v>
      </c>
      <c r="AR36" s="71">
        <f t="shared" ca="1" si="66"/>
        <v>0</v>
      </c>
      <c r="AS36" s="71">
        <f t="shared" ca="1" si="66"/>
        <v>0</v>
      </c>
      <c r="AT36" s="71">
        <f t="shared" ca="1" si="66"/>
        <v>0</v>
      </c>
      <c r="AU36" s="71">
        <f t="shared" ca="1" si="66"/>
        <v>0</v>
      </c>
      <c r="AV36" s="71">
        <f t="shared" ca="1" si="66"/>
        <v>0</v>
      </c>
      <c r="AW36" s="71">
        <f t="shared" ca="1" si="66"/>
        <v>0</v>
      </c>
      <c r="AX36" s="71">
        <f t="shared" ca="1" si="66"/>
        <v>0</v>
      </c>
      <c r="AY36" s="71">
        <f t="shared" ca="1" si="67"/>
        <v>0</v>
      </c>
      <c r="AZ36" s="71">
        <f t="shared" ca="1" si="67"/>
        <v>0</v>
      </c>
      <c r="BA36" s="71">
        <f t="shared" ca="1" si="67"/>
        <v>0</v>
      </c>
      <c r="BB36" s="71">
        <f t="shared" ca="1" si="67"/>
        <v>0</v>
      </c>
      <c r="BC36" s="71">
        <f t="shared" ca="1" si="67"/>
        <v>0</v>
      </c>
      <c r="BD36" s="71">
        <f t="shared" ca="1" si="67"/>
        <v>0</v>
      </c>
      <c r="BE36" s="71">
        <f t="shared" ca="1" si="67"/>
        <v>0</v>
      </c>
      <c r="BF36" s="71">
        <f t="shared" ca="1" si="67"/>
        <v>0</v>
      </c>
      <c r="BG36" s="71">
        <f t="shared" ca="1" si="67"/>
        <v>0</v>
      </c>
      <c r="BH36" s="71">
        <f t="shared" ca="1" si="67"/>
        <v>0</v>
      </c>
      <c r="BI36" s="71">
        <f t="shared" ca="1" si="67"/>
        <v>0</v>
      </c>
      <c r="BJ36" s="71">
        <f t="shared" ca="1" si="4"/>
        <v>-8.5</v>
      </c>
      <c r="BK36" s="71">
        <f t="shared" ca="1" si="68"/>
        <v>-78</v>
      </c>
      <c r="BL36" s="308" t="str">
        <f t="shared" ca="1" si="25"/>
        <v>ZU</v>
      </c>
      <c r="BM36" s="268">
        <f t="shared" ca="1" si="69"/>
        <v>0</v>
      </c>
      <c r="BN36" s="268">
        <f t="shared" ca="1" si="70"/>
        <v>0</v>
      </c>
      <c r="BO36" s="269" t="str">
        <f t="shared" ca="1" si="28"/>
        <v/>
      </c>
      <c r="BP36" s="271"/>
      <c r="BQ36" s="261" t="e">
        <f t="shared" ca="1" si="5"/>
        <v>#DIV/0!</v>
      </c>
      <c r="BR36" s="261" t="e">
        <f t="shared" ca="1" si="6"/>
        <v>#DIV/0!</v>
      </c>
      <c r="BS36" s="261" t="e">
        <f t="shared" ca="1" si="7"/>
        <v>#DIV/0!</v>
      </c>
      <c r="BT36" s="262" t="e">
        <f ca="1">0.5774*BQ36+1.1547*BS36</f>
        <v>#DIV/0!</v>
      </c>
      <c r="BU36" s="263">
        <f t="shared" ca="1" si="29"/>
        <v>-1</v>
      </c>
      <c r="BV36" s="261" t="e">
        <f t="shared" ca="1" si="9"/>
        <v>#DIV/0!</v>
      </c>
      <c r="BW36" s="261" t="e">
        <f t="shared" ca="1" si="10"/>
        <v>#DIV/0!</v>
      </c>
      <c r="BX36" s="261" t="e">
        <f t="shared" ca="1" si="11"/>
        <v>#DIV/0!</v>
      </c>
      <c r="BY36" s="262" t="e">
        <f ca="1">0.5774*BV36+1.1547*BX36</f>
        <v>#DIV/0!</v>
      </c>
      <c r="BZ36" s="263">
        <f t="shared" ca="1" si="71"/>
        <v>-1</v>
      </c>
      <c r="CA36" s="261" t="e">
        <f t="shared" ca="1" si="13"/>
        <v>#DIV/0!</v>
      </c>
      <c r="CB36" s="261" t="e">
        <f t="shared" ca="1" si="14"/>
        <v>#DIV/0!</v>
      </c>
      <c r="CC36" s="261" t="e">
        <f t="shared" ca="1" si="15"/>
        <v>#DIV/0!</v>
      </c>
      <c r="CD36" s="262" t="e">
        <f ca="1">0.5774*CA36+1.1547*CC36</f>
        <v>#DIV/0!</v>
      </c>
      <c r="CE36" s="263">
        <f t="shared" ca="1" si="31"/>
        <v>-1</v>
      </c>
      <c r="CF36" s="261" t="e">
        <f t="shared" ca="1" si="17"/>
        <v>#DIV/0!</v>
      </c>
      <c r="CG36" s="261" t="e">
        <f t="shared" ca="1" si="18"/>
        <v>#DIV/0!</v>
      </c>
      <c r="CH36" s="261" t="e">
        <f t="shared" ca="1" si="19"/>
        <v>#DIV/0!</v>
      </c>
      <c r="CI36" s="262" t="e">
        <f ca="1">0.5774*CF36+1.1547*CH36</f>
        <v>#DIV/0!</v>
      </c>
      <c r="CJ36" s="263">
        <f t="shared" ca="1" si="32"/>
        <v>-1</v>
      </c>
      <c r="CK36" s="310">
        <f t="shared" ca="1" si="33"/>
        <v>0</v>
      </c>
      <c r="CL36" s="310">
        <f t="shared" ca="1" si="34"/>
        <v>0</v>
      </c>
      <c r="CM36" s="310">
        <f t="shared" ca="1" si="35"/>
        <v>0</v>
      </c>
      <c r="CN36" s="296" t="e">
        <f t="shared" ca="1" si="36"/>
        <v>#DIV/0!</v>
      </c>
      <c r="CO36" s="261" t="e">
        <f t="shared" ca="1" si="37"/>
        <v>#DIV/0!</v>
      </c>
      <c r="CP36" s="261" t="e">
        <f t="shared" ca="1" si="38"/>
        <v>#DIV/0!</v>
      </c>
      <c r="CQ36" s="262" t="e">
        <f ca="1">0.5774*CN36+1.1547*CP36</f>
        <v>#DIV/0!</v>
      </c>
      <c r="CR36" s="263">
        <f t="shared" ca="1" si="39"/>
        <v>-1</v>
      </c>
      <c r="CS36" s="261" t="e">
        <f t="shared" ca="1" si="40"/>
        <v>#DIV/0!</v>
      </c>
      <c r="CT36" s="261" t="e">
        <f t="shared" ca="1" si="41"/>
        <v>#DIV/0!</v>
      </c>
      <c r="CU36" s="261" t="e">
        <f t="shared" ca="1" si="42"/>
        <v>#DIV/0!</v>
      </c>
      <c r="CV36" s="262" t="e">
        <f ca="1">0.5774*CS36+1.1547*CU36</f>
        <v>#DIV/0!</v>
      </c>
      <c r="CW36" s="263">
        <f t="shared" ca="1" si="43"/>
        <v>-1</v>
      </c>
      <c r="CX36" s="264"/>
      <c r="CY36" s="265">
        <f t="shared" ca="1" si="44"/>
        <v>-99</v>
      </c>
      <c r="CZ36" s="266">
        <f t="shared" ca="1" si="45"/>
        <v>-99</v>
      </c>
      <c r="DA36" s="265">
        <f t="shared" ca="1" si="46"/>
        <v>-99</v>
      </c>
      <c r="DB36" s="265">
        <f t="shared" ca="1" si="47"/>
        <v>-99</v>
      </c>
      <c r="DC36" s="267" t="e">
        <f t="shared" ca="1" si="48"/>
        <v>#NUM!</v>
      </c>
      <c r="DD36" s="330">
        <f t="shared" ca="1" si="49"/>
        <v>-999</v>
      </c>
      <c r="DE36" s="267">
        <f t="shared" ca="1" si="23"/>
        <v>-999</v>
      </c>
      <c r="DF36" s="330">
        <f t="shared" ca="1" si="50"/>
        <v>1235.6743169683357</v>
      </c>
      <c r="DG36" s="324" t="e">
        <f t="shared" ca="1" si="51"/>
        <v>#DIV/0!</v>
      </c>
      <c r="DH36" s="318" t="e">
        <f t="shared" ca="1" si="52"/>
        <v>#DIV/0!</v>
      </c>
      <c r="DI36" s="318" t="e">
        <f t="shared" ca="1" si="53"/>
        <v>#DIV/0!</v>
      </c>
      <c r="DJ36" s="319">
        <f t="shared" ca="1" si="54"/>
        <v>-1</v>
      </c>
      <c r="DK36" s="320">
        <f t="shared" ca="1" si="55"/>
        <v>-1</v>
      </c>
      <c r="DL36" s="324" t="e">
        <f t="shared" ca="1" si="56"/>
        <v>#DIV/0!</v>
      </c>
      <c r="DM36" s="318" t="e">
        <f t="shared" ca="1" si="57"/>
        <v>#DIV/0!</v>
      </c>
      <c r="DN36" s="318" t="e">
        <f t="shared" ca="1" si="58"/>
        <v>#DIV/0!</v>
      </c>
      <c r="DO36" s="319">
        <f ca="1">IF(ISERROR(DL36),-1,Tgrid!$A$46+0.5774*DN36+1.1547*DL36)</f>
        <v>-1</v>
      </c>
      <c r="DP36" s="320">
        <f t="shared" ca="1" si="59"/>
        <v>-1</v>
      </c>
      <c r="DQ36" s="325" t="e">
        <f t="shared" ca="1" si="60"/>
        <v>#DIV/0!</v>
      </c>
      <c r="DR36" s="326" t="e">
        <f t="shared" ca="1" si="61"/>
        <v>#DIV/0!</v>
      </c>
      <c r="DS36" s="319">
        <f ca="1">IF(ISERROR(DQ36),-1,0.5*Tgrid!$B$42+0.5774*(2+DQ36-DR36))</f>
        <v>-1</v>
      </c>
      <c r="DT36" s="320">
        <f ca="1">IF(ISERROR(DQ36),-1,2+Tgrid!$B$54-DQ36-DR36)</f>
        <v>-1</v>
      </c>
    </row>
    <row r="37" spans="1:124" s="7" customFormat="1" ht="13.5" thickBot="1">
      <c r="A37" s="360" t="s">
        <v>217</v>
      </c>
      <c r="B37" s="357"/>
      <c r="C37" s="364"/>
      <c r="D37" s="367" t="s">
        <v>177</v>
      </c>
      <c r="E37" s="367"/>
      <c r="F37" s="371"/>
      <c r="G37" s="367"/>
      <c r="H37" s="367"/>
      <c r="I37" s="374"/>
      <c r="J37" s="390"/>
      <c r="K37" s="391"/>
      <c r="L37" s="392"/>
      <c r="M37" s="392"/>
      <c r="N37" s="393"/>
      <c r="O37" s="394"/>
      <c r="P37" s="395"/>
      <c r="Q37" s="392"/>
      <c r="R37" s="392"/>
      <c r="S37" s="392"/>
      <c r="T37" s="392"/>
      <c r="U37" s="392"/>
      <c r="V37" s="390"/>
      <c r="W37" s="393"/>
      <c r="X37" s="390"/>
      <c r="Y37" s="394"/>
      <c r="Z37" s="394"/>
      <c r="AA37" s="390"/>
      <c r="AB37" s="390"/>
      <c r="AC37" s="390"/>
      <c r="AD37" s="390"/>
      <c r="AE37" s="396"/>
      <c r="AF37" s="397">
        <v>-11.5</v>
      </c>
      <c r="AG37" s="390">
        <v>-85</v>
      </c>
      <c r="AH37" s="309" t="str">
        <f t="shared" ca="1" si="0"/>
        <v/>
      </c>
      <c r="AI37" s="220">
        <f t="shared" ca="1" si="65"/>
        <v>0</v>
      </c>
      <c r="AJ37" s="220">
        <f t="shared" ca="1" si="65"/>
        <v>0</v>
      </c>
      <c r="AK37" s="220">
        <f t="shared" ca="1" si="65"/>
        <v>0</v>
      </c>
      <c r="AL37" s="220">
        <f t="shared" ca="1" si="65"/>
        <v>0</v>
      </c>
      <c r="AM37" s="220">
        <f t="shared" ca="1" si="65"/>
        <v>0</v>
      </c>
      <c r="AN37" s="220">
        <f t="shared" ca="1" si="65"/>
        <v>0</v>
      </c>
      <c r="AO37" s="220">
        <f t="shared" ca="1" si="66"/>
        <v>0</v>
      </c>
      <c r="AP37" s="220">
        <f t="shared" ca="1" si="66"/>
        <v>0</v>
      </c>
      <c r="AQ37" s="220">
        <f t="shared" ca="1" si="66"/>
        <v>0</v>
      </c>
      <c r="AR37" s="220">
        <f t="shared" ca="1" si="66"/>
        <v>0</v>
      </c>
      <c r="AS37" s="220">
        <f t="shared" ca="1" si="66"/>
        <v>0</v>
      </c>
      <c r="AT37" s="220">
        <f t="shared" ca="1" si="66"/>
        <v>0</v>
      </c>
      <c r="AU37" s="220">
        <f t="shared" ca="1" si="66"/>
        <v>0</v>
      </c>
      <c r="AV37" s="220">
        <f t="shared" ca="1" si="66"/>
        <v>0</v>
      </c>
      <c r="AW37" s="220">
        <f t="shared" ca="1" si="66"/>
        <v>0</v>
      </c>
      <c r="AX37" s="220">
        <f t="shared" ca="1" si="66"/>
        <v>0</v>
      </c>
      <c r="AY37" s="220">
        <f t="shared" ca="1" si="67"/>
        <v>0</v>
      </c>
      <c r="AZ37" s="220">
        <f t="shared" ca="1" si="67"/>
        <v>0</v>
      </c>
      <c r="BA37" s="220">
        <f t="shared" ca="1" si="67"/>
        <v>0</v>
      </c>
      <c r="BB37" s="220">
        <f t="shared" ca="1" si="67"/>
        <v>0</v>
      </c>
      <c r="BC37" s="220">
        <f t="shared" ca="1" si="67"/>
        <v>0</v>
      </c>
      <c r="BD37" s="220">
        <f t="shared" ca="1" si="67"/>
        <v>0</v>
      </c>
      <c r="BE37" s="220">
        <f t="shared" ca="1" si="67"/>
        <v>0</v>
      </c>
      <c r="BF37" s="220">
        <f t="shared" ca="1" si="67"/>
        <v>0</v>
      </c>
      <c r="BG37" s="220">
        <f t="shared" ca="1" si="67"/>
        <v>0</v>
      </c>
      <c r="BH37" s="220">
        <f t="shared" ca="1" si="67"/>
        <v>0</v>
      </c>
      <c r="BI37" s="220">
        <f t="shared" ca="1" si="67"/>
        <v>0</v>
      </c>
      <c r="BJ37" s="220">
        <f t="shared" ca="1" si="4"/>
        <v>-11.5</v>
      </c>
      <c r="BK37" s="220">
        <f t="shared" ca="1" si="68"/>
        <v>-85</v>
      </c>
      <c r="BL37" s="309" t="str">
        <f t="shared" ca="1" si="25"/>
        <v>zu</v>
      </c>
      <c r="BM37" s="272">
        <f t="shared" ca="1" si="69"/>
        <v>0</v>
      </c>
      <c r="BN37" s="272">
        <f t="shared" ca="1" si="70"/>
        <v>0</v>
      </c>
      <c r="BO37" s="273" t="str">
        <f t="shared" ca="1" si="28"/>
        <v/>
      </c>
      <c r="BP37" s="225"/>
      <c r="BQ37" s="261" t="e">
        <f t="shared" ca="1" si="5"/>
        <v>#DIV/0!</v>
      </c>
      <c r="BR37" s="261" t="e">
        <f t="shared" ca="1" si="6"/>
        <v>#DIV/0!</v>
      </c>
      <c r="BS37" s="261" t="e">
        <f t="shared" ca="1" si="7"/>
        <v>#DIV/0!</v>
      </c>
      <c r="BT37" s="262" t="e">
        <f ca="1">0.5774*BQ37+1.1547*BS37</f>
        <v>#DIV/0!</v>
      </c>
      <c r="BU37" s="263">
        <f ca="1">IF(ISERROR(BQ37),-1,BQ37)</f>
        <v>-1</v>
      </c>
      <c r="BV37" s="261" t="e">
        <f t="shared" ca="1" si="9"/>
        <v>#DIV/0!</v>
      </c>
      <c r="BW37" s="261" t="e">
        <f t="shared" ca="1" si="10"/>
        <v>#DIV/0!</v>
      </c>
      <c r="BX37" s="261" t="e">
        <f t="shared" ca="1" si="11"/>
        <v>#DIV/0!</v>
      </c>
      <c r="BY37" s="262" t="e">
        <f ca="1">0.5774*BV37+1.1547*BX37</f>
        <v>#DIV/0!</v>
      </c>
      <c r="BZ37" s="263">
        <f t="shared" ca="1" si="71"/>
        <v>-1</v>
      </c>
      <c r="CA37" s="261" t="e">
        <f t="shared" ca="1" si="13"/>
        <v>#DIV/0!</v>
      </c>
      <c r="CB37" s="261" t="e">
        <f t="shared" ca="1" si="14"/>
        <v>#DIV/0!</v>
      </c>
      <c r="CC37" s="261" t="e">
        <f t="shared" ca="1" si="15"/>
        <v>#DIV/0!</v>
      </c>
      <c r="CD37" s="262" t="e">
        <f ca="1">0.5774*CA37+1.1547*CC37</f>
        <v>#DIV/0!</v>
      </c>
      <c r="CE37" s="263">
        <f ca="1">IF(ISERROR(CA37),-1,CA37)</f>
        <v>-1</v>
      </c>
      <c r="CF37" s="261" t="e">
        <f t="shared" ca="1" si="17"/>
        <v>#DIV/0!</v>
      </c>
      <c r="CG37" s="261" t="e">
        <f t="shared" ca="1" si="18"/>
        <v>#DIV/0!</v>
      </c>
      <c r="CH37" s="261" t="e">
        <f t="shared" ca="1" si="19"/>
        <v>#DIV/0!</v>
      </c>
      <c r="CI37" s="262" t="e">
        <f ca="1">0.5774*CF37+1.1547*CH37</f>
        <v>#DIV/0!</v>
      </c>
      <c r="CJ37" s="263">
        <f ca="1">IF(ISERROR(CF37),-1,CF37)</f>
        <v>-1</v>
      </c>
      <c r="CK37" s="310">
        <f t="shared" ca="1" si="33"/>
        <v>0</v>
      </c>
      <c r="CL37" s="310">
        <f t="shared" ca="1" si="34"/>
        <v>0</v>
      </c>
      <c r="CM37" s="310">
        <f t="shared" ca="1" si="35"/>
        <v>0</v>
      </c>
      <c r="CN37" s="296" t="e">
        <f t="shared" ca="1" si="36"/>
        <v>#DIV/0!</v>
      </c>
      <c r="CO37" s="261" t="e">
        <f t="shared" ca="1" si="37"/>
        <v>#DIV/0!</v>
      </c>
      <c r="CP37" s="261" t="e">
        <f t="shared" ca="1" si="38"/>
        <v>#DIV/0!</v>
      </c>
      <c r="CQ37" s="262" t="e">
        <f ca="1">0.5774*CN37+1.1547*CP37</f>
        <v>#DIV/0!</v>
      </c>
      <c r="CR37" s="263">
        <f ca="1">IF(ISERROR(CN37),-1,CN37)</f>
        <v>-1</v>
      </c>
      <c r="CS37" s="261" t="e">
        <f t="shared" ca="1" si="40"/>
        <v>#DIV/0!</v>
      </c>
      <c r="CT37" s="261" t="e">
        <f t="shared" ca="1" si="41"/>
        <v>#DIV/0!</v>
      </c>
      <c r="CU37" s="261" t="e">
        <f t="shared" ca="1" si="42"/>
        <v>#DIV/0!</v>
      </c>
      <c r="CV37" s="262" t="e">
        <f ca="1">0.5774*CS37+1.1547*CU37</f>
        <v>#DIV/0!</v>
      </c>
      <c r="CW37" s="263">
        <f ca="1">IF(ISERROR(CS37),-1,CS37)</f>
        <v>-1</v>
      </c>
      <c r="CX37" s="264"/>
      <c r="CY37" s="265">
        <f t="shared" ca="1" si="44"/>
        <v>-99</v>
      </c>
      <c r="CZ37" s="266">
        <f t="shared" ca="1" si="45"/>
        <v>-99</v>
      </c>
      <c r="DA37" s="265">
        <f t="shared" ca="1" si="46"/>
        <v>-99</v>
      </c>
      <c r="DB37" s="265">
        <f t="shared" ca="1" si="47"/>
        <v>-99</v>
      </c>
      <c r="DC37" s="267" t="e">
        <f t="shared" ca="1" si="48"/>
        <v>#NUM!</v>
      </c>
      <c r="DD37" s="330">
        <f t="shared" ca="1" si="49"/>
        <v>-999</v>
      </c>
      <c r="DE37" s="267">
        <f t="shared" ca="1" si="23"/>
        <v>-999</v>
      </c>
      <c r="DF37" s="330">
        <f t="shared" ca="1" si="50"/>
        <v>-999</v>
      </c>
      <c r="DG37" s="324" t="e">
        <f t="shared" ca="1" si="51"/>
        <v>#DIV/0!</v>
      </c>
      <c r="DH37" s="318" t="e">
        <f t="shared" ca="1" si="52"/>
        <v>#DIV/0!</v>
      </c>
      <c r="DI37" s="318" t="e">
        <f t="shared" ca="1" si="53"/>
        <v>#DIV/0!</v>
      </c>
      <c r="DJ37" s="319">
        <f t="shared" ca="1" si="54"/>
        <v>-1</v>
      </c>
      <c r="DK37" s="320">
        <f t="shared" ca="1" si="55"/>
        <v>-1</v>
      </c>
      <c r="DL37" s="324" t="e">
        <f t="shared" ca="1" si="56"/>
        <v>#DIV/0!</v>
      </c>
      <c r="DM37" s="318" t="e">
        <f t="shared" ca="1" si="57"/>
        <v>#DIV/0!</v>
      </c>
      <c r="DN37" s="318" t="e">
        <f t="shared" ca="1" si="58"/>
        <v>#DIV/0!</v>
      </c>
      <c r="DO37" s="319">
        <f ca="1">IF(ISERROR(DL37),-1,Tgrid!$A$46+0.5774*DN37+1.1547*DL37)</f>
        <v>-1</v>
      </c>
      <c r="DP37" s="320">
        <f t="shared" ca="1" si="59"/>
        <v>-1</v>
      </c>
      <c r="DQ37" s="325" t="e">
        <f t="shared" ca="1" si="60"/>
        <v>#DIV/0!</v>
      </c>
      <c r="DR37" s="326" t="e">
        <f t="shared" ca="1" si="61"/>
        <v>#DIV/0!</v>
      </c>
      <c r="DS37" s="319">
        <f ca="1">IF(ISERROR(DQ37),-1,0.5*Tgrid!$B$42+0.5774*(2+DQ37-DR37))</f>
        <v>-1</v>
      </c>
      <c r="DT37" s="320">
        <f ca="1">IF(ISERROR(DQ37),-1,2+Tgrid!$B$54-DQ37-DR37)</f>
        <v>-1</v>
      </c>
    </row>
    <row r="38" spans="1:124" s="7" customFormat="1">
      <c r="A38" s="21"/>
      <c r="B38" s="21"/>
      <c r="C38" s="21"/>
      <c r="D38" s="21"/>
      <c r="E38" s="21"/>
      <c r="F38" s="21"/>
      <c r="G38" s="21"/>
      <c r="H38" s="21"/>
      <c r="I38" s="21"/>
      <c r="J38" s="21"/>
      <c r="K38" s="21"/>
      <c r="L38" s="21"/>
      <c r="M38" s="21"/>
      <c r="N38" s="21"/>
      <c r="O38" s="21"/>
      <c r="P38" s="21"/>
      <c r="Q38" s="221"/>
      <c r="R38" s="21"/>
      <c r="S38" s="21"/>
      <c r="T38" s="21"/>
      <c r="U38" s="21"/>
      <c r="V38" s="21"/>
      <c r="W38" s="21"/>
      <c r="X38" s="21"/>
      <c r="Y38" s="21"/>
      <c r="Z38" s="21"/>
      <c r="AA38" s="21"/>
      <c r="AB38" s="21"/>
      <c r="AC38" s="21"/>
      <c r="AD38" s="21"/>
      <c r="AE38" s="21"/>
      <c r="AF38" s="21"/>
      <c r="AG38" s="21"/>
      <c r="AH38" s="71" t="str">
        <f ca="1">IF(ISBLANK(INDIRECT(AH$5&amp;(CELL("row", AH38)))),"",INDIRECT(AH$5&amp;(CELL("row", AH38))))</f>
        <v/>
      </c>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row>
    <row r="39" spans="1:124" s="7" customFormat="1">
      <c r="A39" s="21"/>
      <c r="B39" s="21"/>
      <c r="C39" s="21"/>
      <c r="D39" s="21"/>
      <c r="E39" s="21"/>
      <c r="F39" s="21"/>
      <c r="G39" s="21"/>
      <c r="H39" s="21"/>
      <c r="I39" s="21"/>
      <c r="J39" s="21"/>
      <c r="K39" s="21"/>
      <c r="L39" s="21">
        <v>0</v>
      </c>
      <c r="M39" s="21"/>
      <c r="N39" s="21"/>
      <c r="O39" s="21"/>
      <c r="P39" s="21"/>
      <c r="Q39" s="221"/>
      <c r="R39" s="21"/>
      <c r="S39" s="21"/>
      <c r="T39" s="21"/>
      <c r="U39" s="21"/>
      <c r="V39" s="21"/>
      <c r="W39" s="21"/>
      <c r="X39" s="21"/>
      <c r="Y39" s="21"/>
      <c r="Z39" s="21"/>
      <c r="AA39" s="21"/>
      <c r="AB39" s="21"/>
      <c r="AC39" s="21"/>
      <c r="AD39" s="21"/>
      <c r="AE39" s="21"/>
      <c r="AF39" s="21"/>
      <c r="AG39" s="21"/>
      <c r="AH39" s="71" t="str">
        <f ca="1">IF(ISBLANK(INDIRECT(AH$5&amp;(CELL("row", AH39)))),"",INDIRECT(AH$5&amp;(CELL("row", AH39))))</f>
        <v/>
      </c>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5"/>
      <c r="BR39" s="225"/>
      <c r="BS39" s="225"/>
      <c r="BT39" s="225"/>
      <c r="BU39" s="225"/>
      <c r="BV39" s="225"/>
      <c r="BW39" s="225"/>
      <c r="BX39" s="225"/>
      <c r="BY39" s="225"/>
      <c r="BZ39" s="225"/>
      <c r="CA39" s="225"/>
      <c r="CB39" s="225"/>
      <c r="CC39" s="225"/>
      <c r="CD39" s="225"/>
      <c r="CE39" s="225"/>
      <c r="CF39" s="225"/>
      <c r="CG39" s="225"/>
      <c r="CH39" s="225"/>
      <c r="CI39" s="225"/>
      <c r="CJ39" s="225"/>
      <c r="CK39" s="225"/>
      <c r="CL39" s="225"/>
      <c r="CM39" s="225"/>
      <c r="CN39" s="225"/>
      <c r="CO39" s="225"/>
      <c r="CP39" s="225"/>
      <c r="CQ39" s="225"/>
      <c r="CR39" s="225"/>
      <c r="CS39" s="225"/>
      <c r="CT39" s="225"/>
      <c r="CU39" s="225"/>
      <c r="CV39" s="225"/>
      <c r="CW39" s="225"/>
      <c r="CX39" s="225"/>
      <c r="CY39" s="225"/>
      <c r="CZ39" s="225"/>
      <c r="DA39" s="225"/>
      <c r="DB39" s="225"/>
      <c r="DC39" s="225"/>
      <c r="DD39" s="225"/>
      <c r="DE39" s="225"/>
    </row>
    <row r="40" spans="1:124" s="7" customFormat="1">
      <c r="A40" s="21"/>
      <c r="B40" s="21"/>
      <c r="C40" s="21"/>
      <c r="D40" s="21"/>
      <c r="E40" s="21"/>
      <c r="F40" s="21"/>
      <c r="G40" s="21"/>
      <c r="H40" s="21"/>
      <c r="I40" s="21"/>
      <c r="J40" s="21"/>
      <c r="K40" s="21"/>
      <c r="L40" s="21"/>
      <c r="M40" s="21"/>
      <c r="N40" s="21"/>
      <c r="O40" s="21"/>
      <c r="P40" s="21"/>
      <c r="Q40" s="221"/>
      <c r="R40" s="21"/>
      <c r="S40" s="21"/>
      <c r="T40" s="21"/>
      <c r="U40" s="21"/>
      <c r="V40" s="21"/>
      <c r="W40" s="21"/>
      <c r="X40" s="21"/>
      <c r="Y40" s="21"/>
      <c r="Z40" s="21"/>
      <c r="AA40" s="21"/>
      <c r="AB40" s="21"/>
      <c r="AC40" s="21"/>
      <c r="AD40" s="21"/>
      <c r="AE40" s="21"/>
      <c r="AF40" s="21"/>
      <c r="AG40" s="21"/>
      <c r="AH40" s="71" t="str">
        <f ca="1">IF(ISBLANK(INDIRECT(AH$5&amp;(CELL("row", AH40)))),"",INDIRECT(AH$5&amp;(CELL("row", AH40))))</f>
        <v/>
      </c>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5"/>
      <c r="BR40" s="225"/>
      <c r="BS40" s="225"/>
      <c r="BT40" s="225"/>
      <c r="BU40" s="225"/>
      <c r="BV40" s="225"/>
      <c r="BW40" s="225"/>
      <c r="BX40" s="225"/>
      <c r="BY40" s="225"/>
      <c r="BZ40" s="225"/>
      <c r="CA40" s="225"/>
      <c r="CB40" s="225"/>
      <c r="CC40" s="225"/>
      <c r="CD40" s="225"/>
      <c r="CE40" s="225"/>
      <c r="CF40" s="225"/>
      <c r="CG40" s="225"/>
      <c r="CH40" s="225"/>
      <c r="CI40" s="225"/>
      <c r="CJ40" s="225"/>
      <c r="CK40" s="225"/>
      <c r="CL40" s="225"/>
      <c r="CM40" s="225"/>
      <c r="CN40" s="225"/>
      <c r="CO40" s="225"/>
      <c r="CP40" s="225"/>
      <c r="CQ40" s="225"/>
      <c r="CR40" s="225"/>
      <c r="CS40" s="225"/>
      <c r="CT40" s="225"/>
      <c r="CU40" s="225"/>
      <c r="CV40" s="225"/>
      <c r="CW40" s="225"/>
      <c r="CX40" s="225"/>
      <c r="CY40" s="225"/>
      <c r="CZ40" s="225"/>
      <c r="DA40" s="225"/>
      <c r="DB40" s="225"/>
      <c r="DC40" s="225"/>
      <c r="DD40" s="225"/>
      <c r="DE40" s="225"/>
    </row>
    <row r="41" spans="1:124" s="7" customFormat="1">
      <c r="A41" s="21"/>
      <c r="B41" s="21"/>
      <c r="C41" s="21"/>
      <c r="D41" s="21"/>
      <c r="E41" s="21"/>
      <c r="F41" s="21"/>
      <c r="G41" s="21"/>
      <c r="H41" s="21"/>
      <c r="I41" s="21"/>
      <c r="J41" s="21"/>
      <c r="K41" s="21"/>
      <c r="L41" s="21"/>
      <c r="M41" s="21"/>
      <c r="N41" s="21"/>
      <c r="O41" s="21"/>
      <c r="P41" s="21"/>
      <c r="Q41" s="221"/>
      <c r="R41" s="21"/>
      <c r="S41" s="21"/>
      <c r="T41" s="21"/>
      <c r="U41" s="21"/>
      <c r="V41" s="21"/>
      <c r="W41" s="21"/>
      <c r="X41" s="21"/>
      <c r="Y41" s="21"/>
      <c r="Z41" s="21"/>
      <c r="AA41" s="21"/>
      <c r="AB41" s="21"/>
      <c r="AC41" s="21"/>
      <c r="AD41" s="21"/>
      <c r="AE41" s="21"/>
      <c r="AF41" s="21"/>
      <c r="AG41" s="21"/>
      <c r="AH41" s="71" t="str">
        <f ca="1">IF(ISBLANK(INDIRECT(AH$5&amp;(CELL("row", AH41)))),"",INDIRECT(AH$5&amp;(CELL("row", AH41))))</f>
        <v/>
      </c>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5"/>
      <c r="BR41" s="225"/>
      <c r="BS41" s="225"/>
      <c r="BT41" s="225"/>
      <c r="BU41" s="225"/>
      <c r="BV41" s="225"/>
      <c r="BW41" s="225"/>
      <c r="BX41" s="225"/>
      <c r="BY41" s="225"/>
      <c r="BZ41" s="225"/>
      <c r="CA41" s="225"/>
      <c r="CB41" s="225"/>
      <c r="CC41" s="225"/>
      <c r="CD41" s="225"/>
      <c r="CE41" s="225"/>
      <c r="CF41" s="225"/>
      <c r="CG41" s="225"/>
      <c r="CH41" s="225"/>
      <c r="CI41" s="225"/>
      <c r="CJ41" s="225"/>
      <c r="CK41" s="225"/>
      <c r="CL41" s="225"/>
      <c r="CM41" s="225"/>
      <c r="CN41" s="225"/>
      <c r="CO41" s="225"/>
      <c r="CP41" s="225"/>
      <c r="CQ41" s="225"/>
      <c r="CR41" s="225"/>
      <c r="CS41" s="225"/>
      <c r="CT41" s="225"/>
      <c r="CU41" s="225"/>
      <c r="CV41" s="225"/>
      <c r="CW41" s="225"/>
      <c r="CX41" s="225"/>
      <c r="CY41" s="225"/>
      <c r="CZ41" s="225"/>
      <c r="DA41" s="225"/>
      <c r="DB41" s="225"/>
      <c r="DC41" s="225"/>
      <c r="DD41" s="225"/>
      <c r="DE41" s="225"/>
    </row>
    <row r="42" spans="1:124" s="7" customFormat="1">
      <c r="A42" s="21"/>
      <c r="B42" s="21"/>
      <c r="C42" s="21"/>
      <c r="D42" s="21"/>
      <c r="E42" s="21"/>
      <c r="F42" s="21"/>
      <c r="G42" s="21"/>
      <c r="H42" s="21"/>
      <c r="I42" s="21"/>
      <c r="J42" s="21"/>
      <c r="K42" s="21"/>
      <c r="L42" s="21"/>
      <c r="M42" s="21"/>
      <c r="N42" s="21"/>
      <c r="O42" s="21"/>
      <c r="P42" s="21"/>
      <c r="Q42" s="221"/>
      <c r="R42" s="21"/>
      <c r="S42" s="21"/>
      <c r="T42" s="21"/>
      <c r="U42" s="21"/>
      <c r="V42" s="21"/>
      <c r="W42" s="21"/>
      <c r="X42" s="21"/>
      <c r="Y42" s="21"/>
      <c r="Z42" s="21"/>
      <c r="AA42" s="21"/>
      <c r="AB42" s="21"/>
      <c r="AC42" s="21"/>
      <c r="AD42" s="21"/>
      <c r="AE42" s="21"/>
      <c r="AF42" s="21"/>
      <c r="AG42" s="21"/>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c r="BZ42" s="225"/>
      <c r="CA42" s="225"/>
      <c r="CB42" s="225"/>
      <c r="CC42" s="225"/>
      <c r="CD42" s="225"/>
      <c r="CE42" s="225"/>
      <c r="CF42" s="225"/>
      <c r="CG42" s="225"/>
      <c r="CH42" s="225"/>
      <c r="CI42" s="225"/>
      <c r="CJ42" s="225"/>
      <c r="CK42" s="225"/>
      <c r="CL42" s="225"/>
      <c r="CM42" s="225"/>
      <c r="CN42" s="225"/>
      <c r="CO42" s="225"/>
      <c r="CP42" s="225"/>
      <c r="CQ42" s="225"/>
      <c r="CR42" s="225"/>
      <c r="CS42" s="225"/>
      <c r="CT42" s="225"/>
      <c r="CU42" s="225"/>
      <c r="CV42" s="225"/>
      <c r="CW42" s="225"/>
      <c r="CX42" s="225"/>
      <c r="CY42" s="225"/>
      <c r="CZ42" s="225"/>
      <c r="DA42" s="225"/>
      <c r="DB42" s="225"/>
      <c r="DC42" s="225"/>
      <c r="DD42" s="225"/>
      <c r="DE42" s="225"/>
    </row>
    <row r="43" spans="1:124" s="7" customFormat="1">
      <c r="A43" s="21"/>
      <c r="B43" s="21"/>
      <c r="C43" s="21"/>
      <c r="D43" s="21"/>
      <c r="E43" s="21"/>
      <c r="F43" s="21"/>
      <c r="G43" s="21"/>
      <c r="H43" s="21"/>
      <c r="I43" s="21"/>
      <c r="J43" s="21"/>
      <c r="K43" s="21"/>
      <c r="L43" s="21"/>
      <c r="M43" s="21"/>
      <c r="N43" s="21"/>
      <c r="O43" s="21"/>
      <c r="P43" s="21"/>
      <c r="Q43" s="221"/>
      <c r="R43" s="21"/>
      <c r="S43" s="21"/>
      <c r="T43" s="21"/>
      <c r="U43" s="21"/>
      <c r="V43" s="21"/>
      <c r="W43" s="21"/>
      <c r="X43" s="21"/>
      <c r="Y43" s="21"/>
      <c r="Z43" s="21"/>
      <c r="AA43" s="21"/>
      <c r="AB43" s="21"/>
      <c r="AC43" s="21"/>
      <c r="AD43" s="21"/>
      <c r="AE43" s="21"/>
      <c r="AF43" s="21"/>
      <c r="AG43" s="21"/>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5"/>
      <c r="BR43" s="225"/>
      <c r="BS43" s="225"/>
      <c r="BT43" s="225"/>
      <c r="BU43" s="225"/>
      <c r="BV43" s="225"/>
      <c r="BW43" s="225"/>
      <c r="BX43" s="225"/>
      <c r="BY43" s="225"/>
      <c r="BZ43" s="225"/>
      <c r="CA43" s="225"/>
      <c r="CB43" s="225"/>
      <c r="CC43" s="225"/>
      <c r="CD43" s="225"/>
      <c r="CE43" s="225"/>
      <c r="CF43" s="225"/>
      <c r="CG43" s="225"/>
      <c r="CH43" s="225"/>
      <c r="CI43" s="225"/>
      <c r="CJ43" s="225"/>
      <c r="CK43" s="225"/>
      <c r="CL43" s="225"/>
      <c r="CM43" s="225"/>
      <c r="CN43" s="225"/>
      <c r="CO43" s="225"/>
      <c r="CP43" s="225"/>
      <c r="CQ43" s="225"/>
      <c r="CR43" s="225"/>
      <c r="CS43" s="225"/>
      <c r="CT43" s="225"/>
      <c r="CU43" s="225"/>
      <c r="CV43" s="225"/>
      <c r="CW43" s="225"/>
      <c r="CX43" s="225"/>
      <c r="CY43" s="225"/>
      <c r="CZ43" s="225"/>
      <c r="DA43" s="225"/>
      <c r="DB43" s="225"/>
      <c r="DC43" s="225"/>
      <c r="DD43" s="225"/>
      <c r="DE43" s="225"/>
    </row>
    <row r="44" spans="1:124" s="7" customFormat="1">
      <c r="A44" s="21"/>
      <c r="B44" s="21"/>
      <c r="C44" s="21"/>
      <c r="D44" s="21"/>
      <c r="E44" s="21"/>
      <c r="F44" s="21"/>
      <c r="G44" s="21"/>
      <c r="H44" s="21"/>
      <c r="I44" s="21"/>
      <c r="J44" s="21"/>
      <c r="K44" s="21"/>
      <c r="L44" s="21"/>
      <c r="M44" s="21"/>
      <c r="N44" s="21"/>
      <c r="O44" s="21"/>
      <c r="P44" s="21"/>
      <c r="Q44" s="221"/>
      <c r="R44" s="21"/>
      <c r="S44" s="21"/>
      <c r="T44" s="21"/>
      <c r="U44" s="21"/>
      <c r="V44" s="21"/>
      <c r="W44" s="21"/>
      <c r="X44" s="21"/>
      <c r="Y44" s="21"/>
      <c r="Z44" s="21"/>
      <c r="AA44" s="21"/>
      <c r="AB44" s="21"/>
      <c r="AC44" s="21"/>
      <c r="AD44" s="21"/>
      <c r="AE44" s="21"/>
      <c r="AF44" s="21"/>
      <c r="AG44" s="21"/>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5"/>
      <c r="BR44" s="225"/>
      <c r="BS44" s="225"/>
      <c r="BT44" s="225"/>
      <c r="BU44" s="225"/>
      <c r="BV44" s="225"/>
      <c r="BW44" s="225"/>
      <c r="BX44" s="225"/>
      <c r="BY44" s="225"/>
      <c r="BZ44" s="225"/>
      <c r="CA44" s="225"/>
      <c r="CB44" s="225"/>
      <c r="CC44" s="225"/>
      <c r="CD44" s="225"/>
      <c r="CE44" s="225"/>
      <c r="CF44" s="225"/>
      <c r="CG44" s="225"/>
      <c r="CH44" s="225"/>
      <c r="CI44" s="225"/>
      <c r="CJ44" s="225"/>
      <c r="CK44" s="225"/>
      <c r="CL44" s="225"/>
      <c r="CM44" s="225"/>
      <c r="CN44" s="225"/>
      <c r="CO44" s="225"/>
      <c r="CP44" s="225"/>
      <c r="CQ44" s="225"/>
      <c r="CR44" s="225"/>
      <c r="CS44" s="225"/>
      <c r="CT44" s="225"/>
      <c r="CU44" s="225"/>
      <c r="CV44" s="225"/>
      <c r="CW44" s="225"/>
      <c r="CX44" s="225"/>
      <c r="CY44" s="225"/>
      <c r="CZ44" s="225"/>
      <c r="DA44" s="225"/>
      <c r="DB44" s="225"/>
      <c r="DC44" s="225"/>
      <c r="DD44" s="225"/>
      <c r="DE44" s="225"/>
    </row>
    <row r="45" spans="1:124" s="7" customFormat="1">
      <c r="A45" s="21"/>
      <c r="B45" s="21"/>
      <c r="C45" s="21"/>
      <c r="D45" s="21"/>
      <c r="E45" s="21"/>
      <c r="F45" s="21"/>
      <c r="G45" s="21"/>
      <c r="H45" s="21"/>
      <c r="I45" s="21"/>
      <c r="J45" s="21"/>
      <c r="K45" s="21"/>
      <c r="L45" s="21"/>
      <c r="M45" s="21"/>
      <c r="N45" s="21"/>
      <c r="O45" s="21"/>
      <c r="P45" s="21"/>
      <c r="Q45" s="221"/>
      <c r="R45" s="21"/>
      <c r="S45" s="21"/>
      <c r="T45" s="21"/>
      <c r="U45" s="21"/>
      <c r="V45" s="21"/>
      <c r="W45" s="21"/>
      <c r="X45" s="21"/>
      <c r="Y45" s="21"/>
      <c r="Z45" s="21"/>
      <c r="AA45" s="21"/>
      <c r="AB45" s="21"/>
      <c r="AC45" s="21"/>
      <c r="AD45" s="21"/>
      <c r="AE45" s="21"/>
      <c r="AF45" s="21"/>
      <c r="AG45" s="21"/>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5"/>
      <c r="BR45" s="225"/>
      <c r="BS45" s="225"/>
      <c r="BT45" s="225"/>
      <c r="BU45" s="225"/>
      <c r="BV45" s="225"/>
      <c r="BW45" s="225"/>
      <c r="BX45" s="225"/>
      <c r="BY45" s="225"/>
      <c r="BZ45" s="225"/>
      <c r="CA45" s="225"/>
      <c r="CB45" s="225"/>
      <c r="CC45" s="225"/>
      <c r="CD45" s="225"/>
      <c r="CE45" s="225"/>
      <c r="CF45" s="225"/>
      <c r="CG45" s="225"/>
      <c r="CH45" s="225"/>
      <c r="CI45" s="225"/>
      <c r="CJ45" s="225"/>
      <c r="CK45" s="225"/>
      <c r="CL45" s="225"/>
      <c r="CM45" s="225"/>
      <c r="CN45" s="225"/>
      <c r="CO45" s="225"/>
      <c r="CP45" s="225"/>
      <c r="CQ45" s="225"/>
      <c r="CR45" s="225"/>
      <c r="CS45" s="225"/>
      <c r="CT45" s="225"/>
      <c r="CU45" s="225"/>
      <c r="CV45" s="225"/>
      <c r="CW45" s="225"/>
      <c r="CX45" s="225"/>
      <c r="CY45" s="225"/>
      <c r="CZ45" s="225"/>
      <c r="DA45" s="225"/>
      <c r="DB45" s="225"/>
      <c r="DC45" s="225"/>
      <c r="DD45" s="225"/>
      <c r="DE45" s="225"/>
    </row>
    <row r="46" spans="1:124" s="7" customFormat="1">
      <c r="A46" s="21"/>
      <c r="B46" s="21"/>
      <c r="C46" s="21"/>
      <c r="D46" s="21"/>
      <c r="E46" s="21"/>
      <c r="F46" s="21"/>
      <c r="G46" s="21"/>
      <c r="H46" s="21"/>
      <c r="I46" s="21"/>
      <c r="J46" s="21"/>
      <c r="K46" s="21"/>
      <c r="L46" s="21"/>
      <c r="M46" s="21"/>
      <c r="N46" s="21"/>
      <c r="O46" s="21"/>
      <c r="P46" s="21"/>
      <c r="Q46" s="221"/>
      <c r="R46" s="21"/>
      <c r="S46" s="21"/>
      <c r="T46" s="21"/>
      <c r="U46" s="21"/>
      <c r="V46" s="21"/>
      <c r="W46" s="21"/>
      <c r="X46" s="21"/>
      <c r="Y46" s="21"/>
      <c r="Z46" s="21"/>
      <c r="AA46" s="21"/>
      <c r="AB46" s="21"/>
      <c r="AC46" s="21"/>
      <c r="AD46" s="21"/>
      <c r="AE46" s="21"/>
      <c r="AF46" s="21"/>
      <c r="AG46" s="21"/>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5"/>
      <c r="BR46" s="225"/>
      <c r="BS46" s="225"/>
      <c r="BT46" s="225"/>
      <c r="BU46" s="225"/>
      <c r="BV46" s="225"/>
      <c r="BW46" s="225"/>
      <c r="BX46" s="225"/>
      <c r="BY46" s="225"/>
      <c r="BZ46" s="225"/>
      <c r="CA46" s="225"/>
      <c r="CB46" s="225"/>
      <c r="CC46" s="225"/>
      <c r="CD46" s="225"/>
      <c r="CE46" s="225"/>
      <c r="CF46" s="225"/>
      <c r="CG46" s="225"/>
      <c r="CH46" s="225"/>
      <c r="CI46" s="225"/>
      <c r="CJ46" s="225"/>
      <c r="CK46" s="225"/>
      <c r="CL46" s="225"/>
      <c r="CM46" s="225"/>
      <c r="CN46" s="225"/>
      <c r="CO46" s="225"/>
      <c r="CP46" s="225"/>
      <c r="CQ46" s="225"/>
      <c r="CR46" s="225"/>
      <c r="CS46" s="225"/>
      <c r="CT46" s="225"/>
      <c r="CU46" s="225"/>
      <c r="CV46" s="225"/>
      <c r="CW46" s="225"/>
      <c r="CX46" s="225"/>
      <c r="CY46" s="225"/>
      <c r="CZ46" s="225"/>
      <c r="DA46" s="225"/>
      <c r="DB46" s="225"/>
      <c r="DC46" s="225"/>
      <c r="DD46" s="225"/>
      <c r="DE46" s="225"/>
    </row>
    <row r="47" spans="1:124" s="7" customFormat="1">
      <c r="A47" s="21"/>
      <c r="B47" s="21"/>
      <c r="C47" s="21"/>
      <c r="D47" s="21"/>
      <c r="E47" s="21"/>
      <c r="F47" s="21"/>
      <c r="G47" s="21"/>
      <c r="H47" s="21"/>
      <c r="I47" s="21"/>
      <c r="J47" s="21"/>
      <c r="K47" s="21"/>
      <c r="L47" s="21"/>
      <c r="M47" s="21"/>
      <c r="N47" s="21"/>
      <c r="O47" s="21"/>
      <c r="P47" s="21"/>
      <c r="Q47" s="221"/>
      <c r="R47" s="21"/>
      <c r="S47" s="21"/>
      <c r="T47" s="21"/>
      <c r="U47" s="21"/>
      <c r="V47" s="21"/>
      <c r="W47" s="21"/>
      <c r="X47" s="21"/>
      <c r="Y47" s="21"/>
      <c r="Z47" s="21"/>
      <c r="AA47" s="21"/>
      <c r="AB47" s="21"/>
      <c r="AC47" s="21"/>
      <c r="AD47" s="21"/>
      <c r="AE47" s="21"/>
      <c r="AF47" s="21"/>
      <c r="AG47" s="21"/>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5"/>
      <c r="BR47" s="225"/>
      <c r="BS47" s="225"/>
      <c r="BT47" s="225"/>
      <c r="BU47" s="225"/>
      <c r="BV47" s="225"/>
      <c r="BW47" s="225"/>
      <c r="BX47" s="225"/>
      <c r="BY47" s="225"/>
      <c r="BZ47" s="225"/>
      <c r="CA47" s="225"/>
      <c r="CB47" s="225"/>
      <c r="CC47" s="225"/>
      <c r="CD47" s="225"/>
      <c r="CE47" s="225"/>
      <c r="CF47" s="225"/>
      <c r="CG47" s="225"/>
      <c r="CH47" s="225"/>
      <c r="CI47" s="225"/>
      <c r="CJ47" s="225"/>
      <c r="CK47" s="225"/>
      <c r="CL47" s="225"/>
      <c r="CM47" s="225"/>
      <c r="CN47" s="225"/>
      <c r="CO47" s="225"/>
      <c r="CP47" s="225"/>
      <c r="CQ47" s="225"/>
      <c r="CR47" s="225"/>
      <c r="CS47" s="225"/>
      <c r="CT47" s="225"/>
      <c r="CU47" s="225"/>
      <c r="CV47" s="225"/>
      <c r="CW47" s="225"/>
      <c r="CX47" s="225"/>
      <c r="CY47" s="225"/>
      <c r="CZ47" s="225"/>
      <c r="DA47" s="225"/>
      <c r="DB47" s="225"/>
      <c r="DC47" s="225"/>
      <c r="DD47" s="225"/>
      <c r="DE47" s="225"/>
    </row>
    <row r="48" spans="1:124" s="7" customFormat="1">
      <c r="A48" s="21"/>
      <c r="B48" s="21"/>
      <c r="C48" s="21"/>
      <c r="D48" s="21"/>
      <c r="E48" s="21"/>
      <c r="F48" s="21"/>
      <c r="G48" s="21"/>
      <c r="H48" s="21"/>
      <c r="I48" s="21"/>
      <c r="J48" s="21"/>
      <c r="K48" s="21"/>
      <c r="L48" s="21"/>
      <c r="M48" s="21"/>
      <c r="N48" s="21"/>
      <c r="O48" s="21"/>
      <c r="P48" s="21"/>
      <c r="Q48" s="221"/>
      <c r="R48" s="21"/>
      <c r="S48" s="21"/>
      <c r="T48" s="21"/>
      <c r="U48" s="21"/>
      <c r="V48" s="21"/>
      <c r="W48" s="21"/>
      <c r="X48" s="21"/>
      <c r="Y48" s="21"/>
      <c r="Z48" s="21"/>
      <c r="AA48" s="21"/>
      <c r="AB48" s="21"/>
      <c r="AC48" s="21"/>
      <c r="AD48" s="21"/>
      <c r="AE48" s="21"/>
      <c r="AF48" s="21"/>
      <c r="AG48" s="21"/>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225"/>
      <c r="BS48" s="225"/>
      <c r="BT48" s="225"/>
      <c r="BU48" s="225"/>
      <c r="BV48" s="225"/>
      <c r="BW48" s="225"/>
      <c r="BX48" s="225"/>
      <c r="BY48" s="225"/>
      <c r="BZ48" s="225"/>
      <c r="CA48" s="225"/>
      <c r="CB48" s="225"/>
      <c r="CC48" s="225"/>
      <c r="CD48" s="225"/>
      <c r="CE48" s="225"/>
      <c r="CF48" s="225"/>
      <c r="CG48" s="225"/>
      <c r="CH48" s="225"/>
      <c r="CI48" s="225"/>
      <c r="CJ48" s="225"/>
      <c r="CK48" s="225"/>
      <c r="CL48" s="225"/>
      <c r="CM48" s="225"/>
      <c r="CN48" s="225"/>
      <c r="CO48" s="225"/>
      <c r="CP48" s="225"/>
      <c r="CQ48" s="225"/>
      <c r="CR48" s="225"/>
      <c r="CS48" s="225"/>
      <c r="CT48" s="225"/>
      <c r="CU48" s="225"/>
      <c r="CV48" s="225"/>
      <c r="CW48" s="225"/>
      <c r="CX48" s="225"/>
      <c r="CY48" s="225"/>
      <c r="CZ48" s="225"/>
      <c r="DA48" s="225"/>
      <c r="DB48" s="225"/>
      <c r="DC48" s="225"/>
      <c r="DD48" s="225"/>
      <c r="DE48" s="225"/>
    </row>
    <row r="49" spans="1:33">
      <c r="A49" s="222"/>
      <c r="B49" s="222"/>
      <c r="C49" s="222"/>
      <c r="D49" s="222"/>
      <c r="E49" s="222"/>
      <c r="F49" s="222"/>
      <c r="G49" s="222"/>
      <c r="H49" s="222"/>
      <c r="I49" s="222"/>
      <c r="J49" s="222"/>
      <c r="K49" s="222"/>
      <c r="L49" s="222"/>
      <c r="M49" s="222"/>
      <c r="N49" s="222"/>
      <c r="O49" s="222"/>
      <c r="P49" s="222"/>
      <c r="Q49" s="223"/>
      <c r="R49" s="222"/>
      <c r="S49" s="222"/>
      <c r="T49" s="222"/>
      <c r="U49" s="222"/>
      <c r="V49" s="222"/>
      <c r="W49" s="222"/>
      <c r="X49" s="222"/>
      <c r="Y49" s="222"/>
      <c r="Z49" s="222"/>
      <c r="AA49" s="222"/>
      <c r="AB49" s="222"/>
      <c r="AC49" s="222"/>
      <c r="AD49" s="222"/>
      <c r="AE49" s="222"/>
      <c r="AF49" s="222"/>
      <c r="AG49" s="222"/>
    </row>
    <row r="50" spans="1:33">
      <c r="A50" s="222"/>
      <c r="B50" s="222"/>
      <c r="C50" s="222"/>
      <c r="D50" s="222"/>
      <c r="E50" s="222"/>
      <c r="F50" s="222"/>
      <c r="G50" s="222"/>
      <c r="H50" s="222"/>
      <c r="I50" s="222"/>
      <c r="J50" s="222"/>
      <c r="K50" s="222"/>
      <c r="L50" s="222"/>
      <c r="M50" s="222"/>
      <c r="N50" s="222"/>
      <c r="O50" s="222"/>
      <c r="P50" s="222"/>
      <c r="Q50" s="223"/>
      <c r="R50" s="222"/>
      <c r="S50" s="222"/>
      <c r="T50" s="222"/>
      <c r="U50" s="222"/>
      <c r="V50" s="222"/>
      <c r="W50" s="222"/>
      <c r="X50" s="222"/>
      <c r="Y50" s="222"/>
      <c r="Z50" s="222"/>
      <c r="AA50" s="222"/>
      <c r="AB50" s="222"/>
      <c r="AC50" s="222"/>
      <c r="AD50" s="222"/>
      <c r="AE50" s="222"/>
      <c r="AF50" s="222"/>
      <c r="AG50" s="222"/>
    </row>
    <row r="51" spans="1:33">
      <c r="A51" s="222"/>
      <c r="B51" s="222"/>
      <c r="C51" s="222"/>
      <c r="D51" s="222"/>
      <c r="E51" s="222"/>
      <c r="F51" s="222"/>
      <c r="G51" s="222"/>
      <c r="H51" s="222"/>
      <c r="I51" s="222"/>
      <c r="J51" s="222"/>
      <c r="K51" s="222"/>
      <c r="L51" s="222"/>
      <c r="M51" s="222"/>
      <c r="N51" s="222"/>
      <c r="O51" s="222"/>
      <c r="P51" s="222"/>
      <c r="Q51" s="223"/>
      <c r="R51" s="222"/>
      <c r="S51" s="222"/>
      <c r="T51" s="222"/>
      <c r="U51" s="222"/>
      <c r="V51" s="222"/>
      <c r="W51" s="222"/>
      <c r="X51" s="222"/>
      <c r="Y51" s="222"/>
      <c r="Z51" s="222"/>
      <c r="AA51" s="222"/>
      <c r="AB51" s="222"/>
      <c r="AC51" s="222"/>
      <c r="AD51" s="222"/>
      <c r="AE51" s="222"/>
      <c r="AF51" s="222"/>
      <c r="AG51" s="222"/>
    </row>
    <row r="52" spans="1:33">
      <c r="A52" s="222"/>
      <c r="B52" s="222"/>
      <c r="C52" s="222"/>
      <c r="D52" s="222"/>
      <c r="E52" s="222"/>
      <c r="F52" s="222"/>
      <c r="G52" s="222"/>
      <c r="H52" s="222"/>
      <c r="I52" s="222"/>
      <c r="J52" s="222"/>
      <c r="K52" s="222"/>
      <c r="L52" s="222"/>
      <c r="M52" s="222"/>
      <c r="N52" s="222"/>
      <c r="O52" s="222"/>
      <c r="P52" s="222"/>
      <c r="Q52" s="223"/>
      <c r="R52" s="222"/>
      <c r="S52" s="222"/>
      <c r="T52" s="222"/>
      <c r="U52" s="222"/>
      <c r="V52" s="222"/>
      <c r="W52" s="222"/>
      <c r="X52" s="222"/>
      <c r="Y52" s="222"/>
      <c r="Z52" s="222"/>
      <c r="AA52" s="222"/>
      <c r="AB52" s="222"/>
      <c r="AC52" s="222"/>
      <c r="AD52" s="222"/>
      <c r="AE52" s="222"/>
      <c r="AF52" s="222"/>
      <c r="AG52" s="222"/>
    </row>
    <row r="53" spans="1:33">
      <c r="A53" s="222"/>
      <c r="B53" s="222"/>
      <c r="C53" s="222"/>
      <c r="D53" s="222"/>
      <c r="E53" s="222"/>
      <c r="F53" s="222"/>
      <c r="G53" s="222"/>
      <c r="H53" s="222"/>
      <c r="I53" s="222"/>
      <c r="J53" s="222"/>
      <c r="K53" s="222"/>
      <c r="L53" s="222"/>
      <c r="M53" s="222"/>
      <c r="N53" s="222"/>
      <c r="O53" s="222"/>
      <c r="P53" s="222"/>
      <c r="Q53" s="223"/>
      <c r="R53" s="222"/>
      <c r="S53" s="222"/>
      <c r="T53" s="222"/>
      <c r="U53" s="222"/>
      <c r="V53" s="222"/>
      <c r="W53" s="222"/>
      <c r="X53" s="222"/>
      <c r="Y53" s="222"/>
      <c r="Z53" s="222"/>
      <c r="AA53" s="222"/>
      <c r="AB53" s="222"/>
      <c r="AC53" s="222"/>
      <c r="AD53" s="222"/>
      <c r="AE53" s="222"/>
      <c r="AF53" s="222"/>
      <c r="AG53" s="222"/>
    </row>
    <row r="54" spans="1:33">
      <c r="A54" s="222"/>
      <c r="B54" s="222"/>
      <c r="C54" s="222"/>
      <c r="D54" s="222"/>
      <c r="E54" s="222"/>
      <c r="F54" s="222"/>
      <c r="G54" s="222"/>
      <c r="H54" s="222"/>
      <c r="I54" s="222"/>
      <c r="J54" s="222"/>
      <c r="K54" s="222"/>
      <c r="L54" s="222"/>
      <c r="M54" s="222"/>
      <c r="N54" s="222"/>
      <c r="O54" s="222"/>
      <c r="P54" s="222"/>
      <c r="Q54" s="223"/>
      <c r="R54" s="222"/>
      <c r="S54" s="222"/>
      <c r="T54" s="222"/>
      <c r="U54" s="222"/>
      <c r="V54" s="222"/>
      <c r="W54" s="222"/>
      <c r="X54" s="222"/>
      <c r="Y54" s="222"/>
      <c r="Z54" s="222"/>
      <c r="AA54" s="222"/>
      <c r="AB54" s="222"/>
      <c r="AC54" s="222"/>
      <c r="AD54" s="222"/>
      <c r="AE54" s="222"/>
      <c r="AF54" s="222"/>
      <c r="AG54" s="222"/>
    </row>
    <row r="55" spans="1:33">
      <c r="A55" s="222"/>
      <c r="B55" s="222"/>
      <c r="C55" s="222"/>
      <c r="D55" s="222"/>
      <c r="E55" s="222"/>
      <c r="F55" s="222"/>
      <c r="G55" s="222"/>
      <c r="H55" s="222"/>
      <c r="I55" s="222"/>
      <c r="J55" s="222"/>
      <c r="K55" s="222"/>
      <c r="L55" s="222"/>
      <c r="M55" s="222"/>
      <c r="N55" s="222"/>
      <c r="O55" s="222"/>
      <c r="P55" s="222"/>
      <c r="Q55" s="223"/>
      <c r="R55" s="222"/>
      <c r="S55" s="222"/>
      <c r="T55" s="222"/>
      <c r="U55" s="222"/>
      <c r="V55" s="222"/>
      <c r="W55" s="222"/>
      <c r="X55" s="222"/>
      <c r="Y55" s="222"/>
      <c r="Z55" s="222"/>
      <c r="AA55" s="222"/>
      <c r="AB55" s="222"/>
      <c r="AC55" s="222"/>
      <c r="AD55" s="222"/>
      <c r="AE55" s="222"/>
      <c r="AF55" s="222"/>
      <c r="AG55" s="222"/>
    </row>
    <row r="56" spans="1:33">
      <c r="A56" s="222"/>
      <c r="B56" s="222"/>
      <c r="C56" s="222"/>
      <c r="D56" s="222"/>
      <c r="E56" s="222"/>
      <c r="F56" s="222"/>
      <c r="G56" s="222"/>
      <c r="H56" s="222"/>
      <c r="I56" s="222"/>
      <c r="J56" s="222"/>
      <c r="K56" s="222"/>
      <c r="L56" s="222"/>
      <c r="M56" s="222"/>
      <c r="N56" s="222"/>
      <c r="O56" s="222"/>
      <c r="P56" s="222"/>
      <c r="Q56" s="223"/>
      <c r="R56" s="222"/>
      <c r="S56" s="222"/>
      <c r="T56" s="222"/>
      <c r="U56" s="222"/>
      <c r="V56" s="222"/>
      <c r="W56" s="222"/>
      <c r="X56" s="222"/>
      <c r="Y56" s="222"/>
      <c r="Z56" s="222"/>
      <c r="AA56" s="222"/>
      <c r="AB56" s="222"/>
      <c r="AC56" s="222"/>
      <c r="AD56" s="222"/>
      <c r="AE56" s="222"/>
      <c r="AF56" s="222"/>
      <c r="AG56" s="222"/>
    </row>
    <row r="57" spans="1:33">
      <c r="A57" s="222"/>
      <c r="B57" s="222"/>
      <c r="C57" s="222"/>
      <c r="D57" s="222"/>
      <c r="E57" s="222"/>
      <c r="F57" s="222"/>
      <c r="G57" s="222"/>
      <c r="H57" s="222"/>
      <c r="I57" s="222"/>
      <c r="J57" s="222"/>
      <c r="K57" s="222"/>
      <c r="L57" s="222"/>
      <c r="M57" s="222"/>
      <c r="N57" s="222"/>
      <c r="O57" s="222"/>
      <c r="P57" s="222"/>
      <c r="Q57" s="223"/>
      <c r="R57" s="222"/>
      <c r="S57" s="222"/>
      <c r="T57" s="222"/>
      <c r="U57" s="222"/>
      <c r="V57" s="222"/>
      <c r="W57" s="222"/>
      <c r="X57" s="222"/>
      <c r="Y57" s="222"/>
      <c r="Z57" s="222"/>
      <c r="AA57" s="222"/>
      <c r="AB57" s="222"/>
      <c r="AC57" s="222"/>
      <c r="AD57" s="222"/>
      <c r="AE57" s="222"/>
      <c r="AF57" s="222"/>
      <c r="AG57" s="222"/>
    </row>
    <row r="58" spans="1:33">
      <c r="A58" s="222"/>
      <c r="B58" s="222"/>
      <c r="C58" s="222"/>
      <c r="D58" s="222"/>
      <c r="E58" s="222"/>
      <c r="F58" s="222"/>
      <c r="G58" s="222"/>
      <c r="H58" s="222"/>
      <c r="I58" s="222"/>
      <c r="J58" s="222"/>
      <c r="K58" s="222"/>
      <c r="L58" s="222"/>
      <c r="M58" s="222"/>
      <c r="N58" s="222"/>
      <c r="O58" s="222"/>
      <c r="P58" s="222"/>
      <c r="Q58" s="223"/>
      <c r="R58" s="222"/>
      <c r="S58" s="222"/>
      <c r="T58" s="222"/>
      <c r="U58" s="222"/>
      <c r="V58" s="222"/>
      <c r="W58" s="222"/>
      <c r="X58" s="222"/>
      <c r="Y58" s="222"/>
      <c r="Z58" s="222"/>
      <c r="AA58" s="222"/>
      <c r="AB58" s="222"/>
      <c r="AC58" s="222"/>
      <c r="AD58" s="222"/>
      <c r="AE58" s="222"/>
      <c r="AF58" s="222"/>
      <c r="AG58" s="222"/>
    </row>
    <row r="59" spans="1:33">
      <c r="A59" s="222"/>
      <c r="B59" s="222"/>
      <c r="C59" s="222"/>
      <c r="D59" s="222"/>
      <c r="E59" s="222"/>
      <c r="F59" s="222"/>
      <c r="G59" s="222"/>
      <c r="H59" s="222"/>
      <c r="I59" s="222"/>
      <c r="J59" s="222"/>
      <c r="K59" s="222"/>
      <c r="L59" s="222"/>
      <c r="M59" s="222"/>
      <c r="N59" s="222"/>
      <c r="O59" s="222"/>
      <c r="P59" s="222"/>
      <c r="Q59" s="223"/>
      <c r="R59" s="222"/>
      <c r="S59" s="222"/>
      <c r="T59" s="222"/>
      <c r="U59" s="222"/>
      <c r="V59" s="222"/>
      <c r="W59" s="222"/>
      <c r="X59" s="222"/>
      <c r="Y59" s="222"/>
      <c r="Z59" s="222"/>
      <c r="AA59" s="222"/>
      <c r="AB59" s="222"/>
      <c r="AC59" s="222"/>
      <c r="AD59" s="222"/>
      <c r="AE59" s="222"/>
      <c r="AF59" s="222"/>
      <c r="AG59" s="222"/>
    </row>
    <row r="60" spans="1:33">
      <c r="A60" s="222"/>
      <c r="B60" s="222"/>
      <c r="C60" s="222"/>
      <c r="D60" s="222"/>
      <c r="E60" s="222"/>
      <c r="F60" s="222"/>
      <c r="G60" s="222"/>
      <c r="H60" s="222"/>
      <c r="I60" s="222"/>
      <c r="J60" s="222"/>
      <c r="K60" s="222"/>
      <c r="L60" s="222"/>
      <c r="M60" s="222"/>
      <c r="N60" s="222"/>
      <c r="O60" s="222"/>
      <c r="P60" s="222"/>
      <c r="Q60" s="223"/>
      <c r="R60" s="222"/>
      <c r="S60" s="222"/>
      <c r="T60" s="222"/>
      <c r="U60" s="222"/>
      <c r="V60" s="222"/>
      <c r="W60" s="222"/>
      <c r="X60" s="222"/>
      <c r="Y60" s="222"/>
      <c r="Z60" s="222"/>
      <c r="AA60" s="222"/>
      <c r="AB60" s="222"/>
      <c r="AC60" s="222"/>
      <c r="AD60" s="222"/>
      <c r="AE60" s="222"/>
      <c r="AF60" s="222"/>
      <c r="AG60" s="222"/>
    </row>
    <row r="61" spans="1:33">
      <c r="A61" s="222"/>
      <c r="B61" s="222"/>
      <c r="C61" s="222"/>
      <c r="D61" s="222"/>
      <c r="E61" s="222"/>
      <c r="F61" s="222"/>
      <c r="G61" s="222"/>
      <c r="H61" s="222"/>
      <c r="I61" s="222"/>
      <c r="J61" s="222"/>
      <c r="K61" s="222"/>
      <c r="L61" s="222"/>
      <c r="M61" s="222"/>
      <c r="N61" s="222"/>
      <c r="O61" s="222"/>
      <c r="P61" s="222"/>
      <c r="Q61" s="223"/>
      <c r="R61" s="222"/>
      <c r="S61" s="222"/>
      <c r="T61" s="222"/>
      <c r="U61" s="222"/>
      <c r="V61" s="222"/>
      <c r="W61" s="222"/>
      <c r="X61" s="222"/>
      <c r="Y61" s="222"/>
      <c r="Z61" s="222"/>
      <c r="AA61" s="222"/>
      <c r="AB61" s="222"/>
      <c r="AC61" s="222"/>
      <c r="AD61" s="222"/>
      <c r="AE61" s="222"/>
      <c r="AF61" s="222"/>
      <c r="AG61" s="222"/>
    </row>
    <row r="62" spans="1:33">
      <c r="A62" s="222"/>
      <c r="B62" s="222"/>
      <c r="C62" s="222"/>
      <c r="D62" s="222"/>
      <c r="E62" s="222"/>
      <c r="F62" s="222"/>
      <c r="G62" s="222"/>
      <c r="H62" s="222"/>
      <c r="I62" s="222"/>
      <c r="J62" s="222"/>
      <c r="K62" s="222"/>
      <c r="L62" s="222"/>
      <c r="M62" s="222"/>
      <c r="N62" s="222"/>
      <c r="O62" s="222"/>
      <c r="P62" s="222"/>
      <c r="Q62" s="223"/>
      <c r="R62" s="222"/>
      <c r="S62" s="222"/>
      <c r="T62" s="222"/>
      <c r="U62" s="222"/>
      <c r="V62" s="222"/>
      <c r="W62" s="222"/>
      <c r="X62" s="222"/>
      <c r="Y62" s="222"/>
      <c r="Z62" s="222"/>
      <c r="AA62" s="222"/>
      <c r="AB62" s="222"/>
      <c r="AC62" s="222"/>
      <c r="AD62" s="222"/>
      <c r="AE62" s="222"/>
      <c r="AF62" s="222"/>
      <c r="AG62" s="222"/>
    </row>
  </sheetData>
  <sheetProtection sheet="1" objects="1" scenarios="1" formatCells="0" formatColumns="0" formatRows="0"/>
  <mergeCells count="18">
    <mergeCell ref="DC6:DF6"/>
    <mergeCell ref="DG6:DT6"/>
    <mergeCell ref="CS1:CW1"/>
    <mergeCell ref="BQ1:BU1"/>
    <mergeCell ref="BV1:BZ1"/>
    <mergeCell ref="CA1:CE1"/>
    <mergeCell ref="CK5:CM5"/>
    <mergeCell ref="CK1:CR1"/>
    <mergeCell ref="J6:AE6"/>
    <mergeCell ref="M3:N5"/>
    <mergeCell ref="CF1:CJ1"/>
    <mergeCell ref="O1:P1"/>
    <mergeCell ref="Q1:R1"/>
    <mergeCell ref="S1:T1"/>
    <mergeCell ref="U1:V1"/>
    <mergeCell ref="W1:X1"/>
    <mergeCell ref="Y1:AA1"/>
    <mergeCell ref="D3:L5"/>
  </mergeCells>
  <phoneticPr fontId="0" type="noConversion"/>
  <conditionalFormatting sqref="BO8:BO37">
    <cfRule type="cellIs" dxfId="1" priority="1" stopIfTrue="1" operator="between">
      <formula>-0.05</formula>
      <formula>0.05</formula>
    </cfRule>
    <cfRule type="cellIs" dxfId="0" priority="2" stopIfTrue="1" operator="notBetween">
      <formula>-0.05</formula>
      <formula>0.05</formula>
    </cfRule>
  </conditionalFormatting>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dimension ref="A1:N37"/>
  <sheetViews>
    <sheetView topLeftCell="A25" zoomScale="75" workbookViewId="0">
      <selection activeCell="B38" sqref="B38"/>
    </sheetView>
  </sheetViews>
  <sheetFormatPr defaultRowHeight="12.75"/>
  <cols>
    <col min="1" max="1" width="4.5703125" customWidth="1"/>
  </cols>
  <sheetData>
    <row r="1" spans="1:14" s="83" customFormat="1" ht="18">
      <c r="A1" s="83" t="s">
        <v>292</v>
      </c>
    </row>
    <row r="3" spans="1:14" s="84" customFormat="1" ht="47.25" customHeight="1">
      <c r="A3" s="453" t="s">
        <v>231</v>
      </c>
      <c r="B3" s="453"/>
      <c r="C3" s="453"/>
      <c r="D3" s="453"/>
      <c r="E3" s="453"/>
      <c r="F3" s="453"/>
      <c r="G3" s="453"/>
      <c r="H3" s="453"/>
      <c r="I3" s="453"/>
      <c r="J3" s="453"/>
      <c r="K3" s="453"/>
      <c r="L3" s="453"/>
      <c r="M3" s="453"/>
      <c r="N3" s="453"/>
    </row>
    <row r="4" spans="1:14" s="84" customFormat="1" ht="62.25" customHeight="1">
      <c r="A4" s="453" t="s">
        <v>219</v>
      </c>
      <c r="B4" s="453"/>
      <c r="C4" s="453"/>
      <c r="D4" s="453"/>
      <c r="E4" s="453"/>
      <c r="F4" s="453"/>
      <c r="G4" s="453"/>
      <c r="H4" s="453"/>
      <c r="I4" s="453"/>
      <c r="J4" s="453"/>
      <c r="K4" s="453"/>
      <c r="L4" s="453"/>
      <c r="M4" s="453"/>
      <c r="N4" s="453"/>
    </row>
    <row r="5" spans="1:14" s="84" customFormat="1" ht="52.5" customHeight="1">
      <c r="A5" s="453" t="s">
        <v>136</v>
      </c>
      <c r="B5" s="453"/>
      <c r="C5" s="453"/>
      <c r="D5" s="453"/>
      <c r="E5" s="453"/>
      <c r="F5" s="453"/>
      <c r="G5" s="453"/>
      <c r="H5" s="453"/>
      <c r="I5" s="453"/>
      <c r="J5" s="453"/>
      <c r="K5" s="453"/>
      <c r="L5" s="453"/>
      <c r="M5" s="453"/>
      <c r="N5" s="453"/>
    </row>
    <row r="6" spans="1:14" s="84" customFormat="1" ht="21.75" customHeight="1">
      <c r="A6" s="453" t="s">
        <v>126</v>
      </c>
      <c r="B6" s="453"/>
      <c r="C6" s="453"/>
      <c r="D6" s="453"/>
      <c r="E6" s="453"/>
      <c r="F6" s="453"/>
      <c r="G6" s="453"/>
      <c r="H6" s="453"/>
      <c r="I6" s="453"/>
      <c r="J6" s="453"/>
      <c r="K6" s="453"/>
      <c r="L6" s="453"/>
      <c r="M6" s="453"/>
      <c r="N6" s="453"/>
    </row>
    <row r="7" spans="1:14" s="84" customFormat="1" ht="36" customHeight="1">
      <c r="A7" s="85" t="s">
        <v>127</v>
      </c>
      <c r="B7" s="453" t="s">
        <v>222</v>
      </c>
      <c r="C7" s="453"/>
      <c r="D7" s="453"/>
      <c r="E7" s="453"/>
      <c r="F7" s="453"/>
      <c r="G7" s="453"/>
      <c r="H7" s="453"/>
      <c r="I7" s="453"/>
      <c r="J7" s="453"/>
      <c r="K7" s="453"/>
      <c r="L7" s="453"/>
      <c r="M7" s="453"/>
      <c r="N7" s="453"/>
    </row>
    <row r="8" spans="1:14" s="84" customFormat="1" ht="39.75" customHeight="1">
      <c r="A8" s="85" t="s">
        <v>128</v>
      </c>
      <c r="B8" s="454" t="s">
        <v>223</v>
      </c>
      <c r="C8" s="453"/>
      <c r="D8" s="453"/>
      <c r="E8" s="453"/>
      <c r="F8" s="453"/>
      <c r="G8" s="453"/>
      <c r="H8" s="453"/>
      <c r="I8" s="453"/>
      <c r="J8" s="453"/>
      <c r="K8" s="453"/>
      <c r="L8" s="453"/>
      <c r="M8" s="453"/>
      <c r="N8" s="453"/>
    </row>
    <row r="9" spans="1:14" s="84" customFormat="1" ht="60" customHeight="1">
      <c r="A9" s="85" t="s">
        <v>129</v>
      </c>
      <c r="B9" s="453" t="s">
        <v>224</v>
      </c>
      <c r="C9" s="453"/>
      <c r="D9" s="453"/>
      <c r="E9" s="453"/>
      <c r="F9" s="453"/>
      <c r="G9" s="453"/>
      <c r="H9" s="453"/>
      <c r="I9" s="453"/>
      <c r="J9" s="453"/>
      <c r="K9" s="453"/>
      <c r="L9" s="453"/>
      <c r="M9" s="453"/>
      <c r="N9" s="453"/>
    </row>
    <row r="10" spans="1:14" s="84" customFormat="1" ht="126" customHeight="1">
      <c r="A10" s="85" t="s">
        <v>130</v>
      </c>
      <c r="B10" s="453" t="s">
        <v>250</v>
      </c>
      <c r="C10" s="453"/>
      <c r="D10" s="453"/>
      <c r="E10" s="453"/>
      <c r="F10" s="453"/>
      <c r="G10" s="453"/>
      <c r="H10" s="453"/>
      <c r="I10" s="453"/>
      <c r="J10" s="453"/>
      <c r="K10" s="453"/>
      <c r="L10" s="453"/>
      <c r="M10" s="453"/>
      <c r="N10" s="453"/>
    </row>
    <row r="11" spans="1:14" s="84" customFormat="1" ht="73.5" customHeight="1">
      <c r="A11" s="85" t="s">
        <v>131</v>
      </c>
      <c r="B11" s="453" t="s">
        <v>233</v>
      </c>
      <c r="C11" s="453"/>
      <c r="D11" s="453"/>
      <c r="E11" s="453"/>
      <c r="F11" s="453"/>
      <c r="G11" s="453"/>
      <c r="H11" s="453"/>
      <c r="I11" s="453"/>
      <c r="J11" s="453"/>
      <c r="K11" s="453"/>
      <c r="L11" s="453"/>
      <c r="M11" s="453"/>
      <c r="N11" s="453"/>
    </row>
    <row r="12" spans="1:14" s="84" customFormat="1" ht="94.5" customHeight="1">
      <c r="A12" s="85" t="s">
        <v>132</v>
      </c>
      <c r="B12" s="453" t="s">
        <v>236</v>
      </c>
      <c r="C12" s="453"/>
      <c r="D12" s="453"/>
      <c r="E12" s="453"/>
      <c r="F12" s="453"/>
      <c r="G12" s="453"/>
      <c r="H12" s="453"/>
      <c r="I12" s="453"/>
      <c r="J12" s="453"/>
      <c r="K12" s="453"/>
      <c r="L12" s="453"/>
      <c r="M12" s="453"/>
      <c r="N12" s="453"/>
    </row>
    <row r="13" spans="1:14" s="84" customFormat="1" ht="89.25" customHeight="1">
      <c r="A13" s="85" t="s">
        <v>133</v>
      </c>
      <c r="B13" s="453" t="s">
        <v>228</v>
      </c>
      <c r="C13" s="453"/>
      <c r="D13" s="453"/>
      <c r="E13" s="453"/>
      <c r="F13" s="453"/>
      <c r="G13" s="453"/>
      <c r="H13" s="453"/>
      <c r="I13" s="453"/>
      <c r="J13" s="453"/>
      <c r="K13" s="453"/>
      <c r="L13" s="453"/>
      <c r="M13" s="453"/>
      <c r="N13" s="453"/>
    </row>
    <row r="14" spans="1:14" s="84" customFormat="1" ht="65.25" customHeight="1">
      <c r="A14" s="85" t="s">
        <v>134</v>
      </c>
      <c r="B14" s="453" t="s">
        <v>226</v>
      </c>
      <c r="C14" s="453"/>
      <c r="D14" s="453"/>
      <c r="E14" s="453"/>
      <c r="F14" s="453"/>
      <c r="G14" s="453"/>
      <c r="H14" s="453"/>
      <c r="I14" s="453"/>
      <c r="J14" s="453"/>
      <c r="K14" s="453"/>
      <c r="L14" s="453"/>
      <c r="M14" s="453"/>
      <c r="N14" s="453"/>
    </row>
    <row r="15" spans="1:14" s="84" customFormat="1" ht="33" customHeight="1">
      <c r="A15" s="85" t="s">
        <v>232</v>
      </c>
      <c r="B15" s="453" t="s">
        <v>227</v>
      </c>
      <c r="C15" s="453"/>
      <c r="D15" s="453"/>
      <c r="E15" s="453"/>
      <c r="F15" s="453"/>
      <c r="G15" s="453"/>
      <c r="H15" s="453"/>
      <c r="I15" s="453"/>
      <c r="J15" s="453"/>
      <c r="K15" s="453"/>
      <c r="L15" s="453"/>
      <c r="M15" s="453"/>
      <c r="N15" s="453"/>
    </row>
    <row r="16" spans="1:14" s="84" customFormat="1" ht="15">
      <c r="A16" s="84" t="s">
        <v>135</v>
      </c>
      <c r="B16" s="86"/>
      <c r="C16" s="87"/>
      <c r="D16" s="87"/>
      <c r="E16" s="87"/>
      <c r="F16" s="87"/>
      <c r="G16" s="87"/>
      <c r="H16" s="87"/>
      <c r="I16" s="87"/>
      <c r="J16" s="87"/>
      <c r="K16" s="87"/>
      <c r="L16" s="87"/>
      <c r="M16" s="87"/>
      <c r="N16" s="87"/>
    </row>
    <row r="17" spans="1:14" s="84" customFormat="1" ht="36" customHeight="1">
      <c r="A17" s="85" t="s">
        <v>127</v>
      </c>
      <c r="B17" s="453" t="s">
        <v>137</v>
      </c>
      <c r="C17" s="453"/>
      <c r="D17" s="453"/>
      <c r="E17" s="453"/>
      <c r="F17" s="453"/>
      <c r="G17" s="453"/>
      <c r="H17" s="453"/>
      <c r="I17" s="453"/>
      <c r="J17" s="453"/>
      <c r="K17" s="453"/>
      <c r="L17" s="453"/>
      <c r="M17" s="453"/>
      <c r="N17" s="453"/>
    </row>
    <row r="18" spans="1:14" s="84" customFormat="1" ht="21.75" customHeight="1">
      <c r="A18" s="85" t="s">
        <v>128</v>
      </c>
      <c r="B18" s="453" t="s">
        <v>138</v>
      </c>
      <c r="C18" s="453"/>
      <c r="D18" s="453"/>
      <c r="E18" s="453"/>
      <c r="F18" s="453"/>
      <c r="G18" s="453"/>
      <c r="H18" s="453"/>
      <c r="I18" s="453"/>
      <c r="J18" s="453"/>
      <c r="K18" s="453"/>
      <c r="L18" s="453"/>
      <c r="M18" s="453"/>
      <c r="N18" s="453"/>
    </row>
    <row r="19" spans="1:14" s="84" customFormat="1" ht="36.75" customHeight="1">
      <c r="A19" s="85" t="s">
        <v>129</v>
      </c>
      <c r="B19" s="453" t="s">
        <v>139</v>
      </c>
      <c r="C19" s="453"/>
      <c r="D19" s="453"/>
      <c r="E19" s="453"/>
      <c r="F19" s="453"/>
      <c r="G19" s="453"/>
      <c r="H19" s="453"/>
      <c r="I19" s="453"/>
      <c r="J19" s="453"/>
      <c r="K19" s="453"/>
      <c r="L19" s="453"/>
      <c r="M19" s="453"/>
      <c r="N19" s="453"/>
    </row>
    <row r="20" spans="1:14" s="84" customFormat="1" ht="45.75" customHeight="1">
      <c r="A20" s="85" t="s">
        <v>130</v>
      </c>
      <c r="B20" s="453" t="s">
        <v>229</v>
      </c>
      <c r="C20" s="453"/>
      <c r="D20" s="453"/>
      <c r="E20" s="453"/>
      <c r="F20" s="453"/>
      <c r="G20" s="453"/>
      <c r="H20" s="453"/>
      <c r="I20" s="453"/>
      <c r="J20" s="453"/>
      <c r="K20" s="453"/>
      <c r="L20" s="453"/>
      <c r="M20" s="453"/>
      <c r="N20" s="453"/>
    </row>
    <row r="21" spans="1:14" s="84" customFormat="1" ht="78.75" customHeight="1">
      <c r="A21" s="85" t="s">
        <v>131</v>
      </c>
      <c r="B21" s="453" t="s">
        <v>230</v>
      </c>
      <c r="C21" s="453"/>
      <c r="D21" s="453"/>
      <c r="E21" s="453"/>
      <c r="F21" s="453"/>
      <c r="G21" s="453"/>
      <c r="H21" s="453"/>
      <c r="I21" s="453"/>
      <c r="J21" s="453"/>
      <c r="K21" s="453"/>
      <c r="L21" s="453"/>
      <c r="M21" s="453"/>
      <c r="N21" s="453"/>
    </row>
    <row r="22" spans="1:14" s="84" customFormat="1" ht="15"/>
    <row r="23" spans="1:14" s="84" customFormat="1" ht="29.25" customHeight="1">
      <c r="A23" s="83" t="s">
        <v>237</v>
      </c>
      <c r="B23" s="83"/>
    </row>
    <row r="24" spans="1:14" s="84" customFormat="1" ht="33.75" customHeight="1">
      <c r="A24" s="459">
        <v>2</v>
      </c>
      <c r="B24" s="460" t="s">
        <v>245</v>
      </c>
      <c r="C24" s="461"/>
      <c r="D24" s="461"/>
      <c r="E24" s="461"/>
      <c r="F24" s="461"/>
      <c r="G24" s="461"/>
      <c r="H24" s="461"/>
      <c r="I24" s="461"/>
      <c r="J24" s="461"/>
      <c r="K24" s="461"/>
      <c r="L24" s="461"/>
      <c r="M24" s="461"/>
      <c r="N24" s="461"/>
    </row>
    <row r="25" spans="1:14" s="84" customFormat="1" ht="34.5" customHeight="1">
      <c r="A25" s="459"/>
      <c r="B25" s="452" t="s">
        <v>244</v>
      </c>
      <c r="C25" s="453"/>
      <c r="D25" s="453"/>
      <c r="E25" s="453"/>
      <c r="F25" s="453"/>
      <c r="G25" s="453"/>
      <c r="H25" s="453"/>
      <c r="I25" s="453"/>
      <c r="J25" s="453"/>
      <c r="K25" s="453"/>
      <c r="L25" s="453"/>
      <c r="M25" s="453"/>
      <c r="N25" s="453"/>
    </row>
    <row r="26" spans="1:14" s="84" customFormat="1" ht="15">
      <c r="A26" s="459"/>
      <c r="B26" s="458" t="s">
        <v>246</v>
      </c>
      <c r="C26" s="458"/>
      <c r="D26" s="458"/>
      <c r="E26" s="458"/>
      <c r="F26" s="458"/>
      <c r="G26" s="458"/>
      <c r="H26" s="458"/>
      <c r="I26" s="458"/>
      <c r="J26" s="458"/>
      <c r="K26" s="458"/>
      <c r="L26" s="458"/>
      <c r="M26" s="458"/>
      <c r="N26" s="458"/>
    </row>
    <row r="27" spans="1:14" s="84" customFormat="1" ht="15">
      <c r="A27" s="459"/>
      <c r="B27" s="458" t="s">
        <v>247</v>
      </c>
      <c r="C27" s="458"/>
      <c r="D27" s="458"/>
      <c r="E27" s="458"/>
      <c r="F27" s="458"/>
      <c r="G27" s="458"/>
      <c r="H27" s="458"/>
      <c r="I27" s="458"/>
      <c r="J27" s="458"/>
      <c r="K27" s="458"/>
      <c r="L27" s="458"/>
      <c r="M27" s="458"/>
      <c r="N27" s="458"/>
    </row>
    <row r="29" spans="1:14" ht="18" customHeight="1">
      <c r="A29" s="455">
        <v>3</v>
      </c>
      <c r="B29" s="456" t="s">
        <v>253</v>
      </c>
      <c r="C29" s="456"/>
      <c r="D29" s="456"/>
      <c r="E29" s="456"/>
      <c r="F29" s="456"/>
      <c r="G29" s="456"/>
      <c r="H29" s="456"/>
      <c r="I29" s="456"/>
      <c r="J29" s="456"/>
      <c r="K29" s="456"/>
      <c r="L29" s="456"/>
      <c r="M29" s="456"/>
      <c r="N29" s="456"/>
    </row>
    <row r="30" spans="1:14" ht="50.25" customHeight="1">
      <c r="A30" s="455"/>
      <c r="B30" s="457" t="s">
        <v>287</v>
      </c>
      <c r="C30" s="457"/>
      <c r="D30" s="457"/>
      <c r="E30" s="457"/>
      <c r="F30" s="457"/>
      <c r="G30" s="457"/>
      <c r="H30" s="457"/>
      <c r="I30" s="457"/>
      <c r="J30" s="457"/>
      <c r="K30" s="457"/>
      <c r="L30" s="457"/>
      <c r="M30" s="457"/>
      <c r="N30" s="457"/>
    </row>
    <row r="31" spans="1:14" ht="45.75" customHeight="1">
      <c r="A31" s="455"/>
      <c r="B31" s="457" t="s">
        <v>291</v>
      </c>
      <c r="C31" s="457"/>
      <c r="D31" s="457"/>
      <c r="E31" s="457"/>
      <c r="F31" s="457"/>
      <c r="G31" s="457"/>
      <c r="H31" s="457"/>
      <c r="I31" s="457"/>
      <c r="J31" s="457"/>
      <c r="K31" s="457"/>
      <c r="L31" s="457"/>
      <c r="M31" s="457"/>
      <c r="N31" s="457"/>
    </row>
    <row r="32" spans="1:14" ht="19.5" customHeight="1">
      <c r="A32" s="455"/>
      <c r="B32" s="457" t="s">
        <v>288</v>
      </c>
      <c r="C32" s="457"/>
      <c r="D32" s="457"/>
      <c r="E32" s="457"/>
      <c r="F32" s="457"/>
      <c r="G32" s="457"/>
      <c r="H32" s="457"/>
      <c r="I32" s="457"/>
      <c r="J32" s="457"/>
      <c r="K32" s="457"/>
      <c r="L32" s="457"/>
      <c r="M32" s="457"/>
      <c r="N32" s="457"/>
    </row>
    <row r="33" spans="1:14" ht="18.75" customHeight="1">
      <c r="A33" s="455"/>
      <c r="B33" s="457" t="s">
        <v>289</v>
      </c>
      <c r="C33" s="457"/>
      <c r="D33" s="457"/>
      <c r="E33" s="457"/>
      <c r="F33" s="457"/>
      <c r="G33" s="457"/>
      <c r="H33" s="457"/>
      <c r="I33" s="457"/>
      <c r="J33" s="457"/>
      <c r="K33" s="457"/>
      <c r="L33" s="457"/>
      <c r="M33" s="457"/>
      <c r="N33" s="457"/>
    </row>
    <row r="34" spans="1:14" ht="45.75" customHeight="1">
      <c r="A34" s="455"/>
      <c r="B34" s="457" t="s">
        <v>293</v>
      </c>
      <c r="C34" s="457"/>
      <c r="D34" s="457"/>
      <c r="E34" s="457"/>
      <c r="F34" s="457"/>
      <c r="G34" s="457"/>
      <c r="H34" s="457"/>
      <c r="I34" s="457"/>
      <c r="J34" s="457"/>
      <c r="K34" s="457"/>
      <c r="L34" s="457"/>
      <c r="M34" s="457"/>
      <c r="N34" s="457"/>
    </row>
    <row r="35" spans="1:14" ht="15">
      <c r="A35" s="455"/>
      <c r="B35" s="457" t="s">
        <v>290</v>
      </c>
      <c r="C35" s="457"/>
      <c r="D35" s="457"/>
      <c r="E35" s="457"/>
      <c r="F35" s="457"/>
      <c r="G35" s="457"/>
      <c r="H35" s="457"/>
      <c r="I35" s="457"/>
      <c r="J35" s="457"/>
      <c r="K35" s="457"/>
      <c r="L35" s="457"/>
      <c r="M35" s="457"/>
      <c r="N35" s="457"/>
    </row>
    <row r="36" spans="1:14" ht="20.25" customHeight="1">
      <c r="A36" s="398" t="s">
        <v>295</v>
      </c>
      <c r="B36" s="452" t="s">
        <v>294</v>
      </c>
      <c r="C36" s="452"/>
      <c r="D36" s="452"/>
      <c r="E36" s="452"/>
      <c r="F36" s="452"/>
      <c r="G36" s="452"/>
      <c r="H36" s="452"/>
      <c r="I36" s="452"/>
      <c r="J36" s="452"/>
      <c r="K36" s="452"/>
      <c r="L36" s="452"/>
      <c r="M36" s="452"/>
      <c r="N36" s="452"/>
    </row>
    <row r="37" spans="1:14" ht="15">
      <c r="A37" s="398" t="s">
        <v>296</v>
      </c>
      <c r="B37" s="452" t="s">
        <v>297</v>
      </c>
      <c r="C37" s="452"/>
      <c r="D37" s="452"/>
      <c r="E37" s="452"/>
      <c r="F37" s="452"/>
      <c r="G37" s="452"/>
      <c r="H37" s="452"/>
      <c r="I37" s="452"/>
      <c r="J37" s="452"/>
      <c r="K37" s="452"/>
      <c r="L37" s="452"/>
      <c r="M37" s="452"/>
      <c r="N37" s="452"/>
    </row>
  </sheetData>
  <sheetProtection sheet="1" objects="1" scenarios="1" formatCells="0" formatColumns="0" formatRows="0"/>
  <mergeCells count="33">
    <mergeCell ref="B36:N36"/>
    <mergeCell ref="B32:N32"/>
    <mergeCell ref="B33:N33"/>
    <mergeCell ref="B34:N34"/>
    <mergeCell ref="B35:N35"/>
    <mergeCell ref="B13:N13"/>
    <mergeCell ref="B17:N17"/>
    <mergeCell ref="B14:N14"/>
    <mergeCell ref="A29:A35"/>
    <mergeCell ref="B29:N29"/>
    <mergeCell ref="B30:N30"/>
    <mergeCell ref="B31:N31"/>
    <mergeCell ref="B26:N26"/>
    <mergeCell ref="B27:N27"/>
    <mergeCell ref="A24:A27"/>
    <mergeCell ref="B25:N25"/>
    <mergeCell ref="B24:N24"/>
    <mergeCell ref="B37:N37"/>
    <mergeCell ref="A3:N3"/>
    <mergeCell ref="B8:N8"/>
    <mergeCell ref="B9:N9"/>
    <mergeCell ref="B10:N10"/>
    <mergeCell ref="A4:N4"/>
    <mergeCell ref="A5:N5"/>
    <mergeCell ref="A6:N6"/>
    <mergeCell ref="B7:N7"/>
    <mergeCell ref="B11:N11"/>
    <mergeCell ref="B20:N20"/>
    <mergeCell ref="B21:N21"/>
    <mergeCell ref="B18:N18"/>
    <mergeCell ref="B19:N19"/>
    <mergeCell ref="B15:N15"/>
    <mergeCell ref="B12:N12"/>
  </mergeCells>
  <phoneticPr fontId="0" type="noConversion"/>
  <pageMargins left="0.75" right="0.75" top="1" bottom="1" header="0.5" footer="0.5"/>
  <pageSetup paperSize="9"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14</vt:i4>
      </vt:variant>
    </vt:vector>
  </HeadingPairs>
  <TitlesOfParts>
    <vt:vector size="19" baseType="lpstr">
      <vt:lpstr>Tgrid</vt:lpstr>
      <vt:lpstr>Ref</vt:lpstr>
      <vt:lpstr>Report</vt:lpstr>
      <vt:lpstr>Input</vt:lpstr>
      <vt:lpstr>Info</vt:lpstr>
      <vt:lpstr>Iso</vt:lpstr>
      <vt:lpstr>XClHdisch</vt:lpstr>
      <vt:lpstr>XClHqtz</vt:lpstr>
      <vt:lpstr>Xmckn</vt:lpstr>
      <vt:lpstr>Xkmc</vt:lpstr>
      <vt:lpstr>Xkms</vt:lpstr>
      <vt:lpstr>Tnkm</vt:lpstr>
      <vt:lpstr>Txyz</vt:lpstr>
      <vt:lpstr>Tcfb</vt:lpstr>
      <vt:lpstr>Tlrc</vt:lpstr>
      <vt:lpstr>Tclb</vt:lpstr>
      <vt:lpstr>Tcsh</vt:lpstr>
      <vt:lpstr>Piper</vt:lpstr>
      <vt:lpstr>Map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 Powell</dc:creator>
  <cp:lastModifiedBy>PFDobson</cp:lastModifiedBy>
  <cp:lastPrinted>2004-10-26T01:33:37Z</cp:lastPrinted>
  <dcterms:created xsi:type="dcterms:W3CDTF">1999-09-04T21:11:39Z</dcterms:created>
  <dcterms:modified xsi:type="dcterms:W3CDTF">2012-11-18T00:05:45Z</dcterms:modified>
</cp:coreProperties>
</file>