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3.xml" ContentType="application/vnd.openxmlformats-officedocument.drawing+xml"/>
  <Override PartName="/xl/charts/chart70.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7.xml" ContentType="application/vnd.openxmlformats-officedocument.drawing+xml"/>
  <Override PartName="/xl/charts/chart9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1.xml" ContentType="application/vnd.openxmlformats-officedocument.drawingml.chart+xml"/>
  <Override PartName="/xl/drawings/drawing12.xml" ContentType="application/vnd.openxmlformats-officedocument.drawing+xml"/>
  <Override PartName="/xl/comments7.xml" ContentType="application/vnd.openxmlformats-officedocument.spreadsheetml.comments+xml"/>
  <Override PartName="/xl/charts/chart102.xml" ContentType="application/vnd.openxmlformats-officedocument.drawingml.chart+xml"/>
  <Override PartName="/xl/charts/chart103.xml" ContentType="application/vnd.openxmlformats-officedocument.drawingml.chart+xml"/>
  <Override PartName="/xl/comments8.xml" ContentType="application/vnd.openxmlformats-officedocument.spreadsheetml.comments+xml"/>
  <Override PartName="/xl/drawings/drawing13.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14.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15.xml" ContentType="application/vnd.openxmlformats-officedocument.drawing+xml"/>
  <Override PartName="/xl/comments9.xml" ContentType="application/vnd.openxmlformats-officedocument.spreadsheetml.comments+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16.xml" ContentType="application/vnd.openxmlformats-officedocument.drawing+xml"/>
  <Override PartName="/xl/comments10.xml" ContentType="application/vnd.openxmlformats-officedocument.spreadsheetml.comments+xml"/>
  <Override PartName="/xl/charts/chart116.xml" ContentType="application/vnd.openxmlformats-officedocument.drawingml.chart+xml"/>
  <Override PartName="/xl/charts/chart1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020" yWindow="1020" windowWidth="4896" windowHeight="1536" tabRatio="951" firstSheet="7" activeTab="15"/>
  </bookViews>
  <sheets>
    <sheet name="Data" sheetId="1" r:id="rId1"/>
    <sheet name="knownMWAC" sheetId="2" r:id="rId2"/>
    <sheet name="By Efficiency" sheetId="3" r:id="rId3"/>
    <sheet name="By Date" sheetId="4" r:id="rId4"/>
    <sheet name="CSP" sheetId="5" r:id="rId5"/>
    <sheet name="Appendix" sheetId="16" r:id="rId6"/>
    <sheet name="Statistics" sheetId="6" r:id="rId7"/>
    <sheet name="Stacked Bar Chart smallPV" sheetId="7" r:id="rId8"/>
    <sheet name="Stacked Bar Chart BigPV" sheetId="8" r:id="rId9"/>
    <sheet name="Weighted Avg and SD" sheetId="9" r:id="rId10"/>
    <sheet name="DC to AC conversion" sheetId="10" r:id="rId11"/>
    <sheet name="unfinished PV" sheetId="12" r:id="rId12"/>
    <sheet name="BoxPlots" sheetId="13" r:id="rId13"/>
    <sheet name="BoxPlots (2)" sheetId="14" r:id="rId14"/>
    <sheet name="Tables for Paper" sheetId="19" r:id="rId15"/>
    <sheet name="SmallLargeComb" sheetId="15" r:id="rId16"/>
    <sheet name="Tracking and Tilt Analysis" sheetId="17" r:id="rId17"/>
    <sheet name="Misc" sheetId="18" r:id="rId18"/>
  </sheets>
  <externalReferences>
    <externalReference r:id="rId19"/>
  </externalReferences>
  <definedNames>
    <definedName name="_xlnm._FilterDatabase" localSheetId="0" hidden="1">Data!$AC$1:$AC$378</definedName>
    <definedName name="_xlnm._FilterDatabase" localSheetId="1" hidden="1">knownMWAC!$A$41:$QF$47</definedName>
    <definedName name="_ftn1" localSheetId="6">Statistics!$K$117</definedName>
    <definedName name="_ftnref1" localSheetId="6">Statistics!$K$114</definedName>
    <definedName name="_xlnm.Print_Area" localSheetId="11">'unfinished PV'!$A$1:$AK$48</definedName>
    <definedName name="Z_A817C2B6_B412_4BD4_89EB_C78C16183A0C_.wvu.FilterData" localSheetId="0" hidden="1">Data!$AC$1:$AC$378</definedName>
    <definedName name="Z_A817C2B6_B412_4BD4_89EB_C78C16183A0C_.wvu.FilterData" localSheetId="1" hidden="1">knownMWAC!$A$41:$QF$47</definedName>
    <definedName name="Z_A817C2B6_B412_4BD4_89EB_C78C16183A0C_.wvu.PrintArea" localSheetId="11" hidden="1">'unfinished PV'!$A$1:$AK$48</definedName>
  </definedNames>
  <calcPr calcId="145621"/>
  <customWorkbookViews>
    <customWorkbookView name="Clinton Campbell - Personal View" guid="{A817C2B6-B412-4BD4-89EB-C78C16183A0C}" autoUpdate="1" mergeInterval="5" personalView="1" maximized="1" windowWidth="1680" windowHeight="825" tabRatio="808" activeSheetId="1"/>
  </customWorkbookViews>
</workbook>
</file>

<file path=xl/calcChain.xml><?xml version="1.0" encoding="utf-8"?>
<calcChain xmlns="http://schemas.openxmlformats.org/spreadsheetml/2006/main">
  <c r="S240" i="15" l="1"/>
  <c r="S235" i="15"/>
  <c r="S233" i="15"/>
  <c r="S238" i="15"/>
  <c r="O240" i="15"/>
  <c r="O241" i="15" s="1"/>
  <c r="O238" i="15"/>
  <c r="O235" i="15"/>
  <c r="O233" i="15"/>
  <c r="S241" i="15" l="1"/>
  <c r="S236" i="15"/>
  <c r="AI466" i="18"/>
  <c r="AE291" i="18"/>
  <c r="AJ289" i="18"/>
  <c r="AE288" i="18"/>
  <c r="AJ287" i="18"/>
  <c r="AJ286" i="18"/>
  <c r="AE286" i="18"/>
  <c r="AE281" i="18"/>
  <c r="AE284" i="18" s="1"/>
  <c r="AJ278" i="18"/>
  <c r="AJ280" i="18" s="1"/>
  <c r="AJ292" i="18" s="1"/>
  <c r="AI278" i="18"/>
  <c r="AI280" i="18" s="1"/>
  <c r="AI292" i="18" s="1"/>
  <c r="AH278" i="18"/>
  <c r="AH280" i="18" s="1"/>
  <c r="AJ276" i="18"/>
  <c r="AI276" i="18"/>
  <c r="AH276" i="18"/>
  <c r="AJ274" i="18"/>
  <c r="AI274" i="18"/>
  <c r="AH274" i="18"/>
  <c r="AI238" i="18"/>
  <c r="AI185" i="18"/>
  <c r="AI216" i="18"/>
  <c r="AI226" i="18"/>
  <c r="AJ189" i="18"/>
  <c r="AI232" i="18"/>
  <c r="AJ194" i="18"/>
  <c r="AJ193" i="18"/>
  <c r="AJ192" i="18"/>
  <c r="AI225" i="18"/>
  <c r="AJ195" i="18"/>
  <c r="AI224" i="18"/>
  <c r="AI215" i="18"/>
  <c r="AJ196" i="18"/>
  <c r="AI214" i="18"/>
  <c r="AI223" i="18"/>
  <c r="AI242" i="18"/>
  <c r="AJ197" i="18"/>
  <c r="AJ240" i="18"/>
  <c r="AI231" i="18"/>
  <c r="AI213" i="18"/>
  <c r="AI212" i="18"/>
  <c r="AI211" i="18"/>
  <c r="AI210" i="18"/>
  <c r="AJ205" i="18"/>
  <c r="AJ204" i="18"/>
  <c r="AI209" i="18"/>
  <c r="AJ187" i="18"/>
  <c r="AJ186" i="18"/>
  <c r="AJ179" i="18"/>
  <c r="AI222" i="18"/>
  <c r="AI221" i="18"/>
  <c r="AJ228" i="18"/>
  <c r="AJ202" i="18"/>
  <c r="AI230" i="18"/>
  <c r="AI237" i="18"/>
  <c r="AI208" i="18"/>
  <c r="AJ178" i="18"/>
  <c r="AI236" i="18"/>
  <c r="AJ190" i="18"/>
  <c r="AJ233" i="18"/>
  <c r="AI207" i="18"/>
  <c r="AI206" i="18"/>
  <c r="AJ181" i="18"/>
  <c r="AJ200" i="18"/>
  <c r="AI184" i="18"/>
  <c r="AJ183" i="18"/>
  <c r="AJ229" i="18"/>
  <c r="AJ182" i="18"/>
  <c r="AJ158" i="18"/>
  <c r="AI158" i="18"/>
  <c r="AH158" i="18"/>
  <c r="AJ156" i="18"/>
  <c r="AI156" i="18"/>
  <c r="AH156" i="18"/>
  <c r="AJ154" i="18"/>
  <c r="AI154" i="18"/>
  <c r="AH154" i="18"/>
  <c r="AJ152" i="18"/>
  <c r="AI152" i="18"/>
  <c r="AI161" i="18" s="1"/>
  <c r="AH152" i="18"/>
  <c r="AH161" i="18" s="1"/>
  <c r="AE147" i="18"/>
  <c r="AI128" i="18"/>
  <c r="AI127" i="18"/>
  <c r="AI126" i="18"/>
  <c r="AI125" i="18"/>
  <c r="AI124" i="18"/>
  <c r="AI123" i="18"/>
  <c r="AI122" i="18"/>
  <c r="AI121" i="18"/>
  <c r="AI120" i="18"/>
  <c r="AI119" i="18"/>
  <c r="AI118" i="18"/>
  <c r="AI117" i="18"/>
  <c r="AJ116" i="18"/>
  <c r="AJ115" i="18"/>
  <c r="AI114" i="18"/>
  <c r="AI113" i="18"/>
  <c r="AI111" i="18"/>
  <c r="AJ110" i="18"/>
  <c r="AJ107" i="18"/>
  <c r="AI106" i="18"/>
  <c r="AI105" i="18"/>
  <c r="AI101" i="18"/>
  <c r="AI100" i="18"/>
  <c r="AI99" i="18"/>
  <c r="AI98" i="18"/>
  <c r="AI97" i="18"/>
  <c r="AI96" i="18"/>
  <c r="AI95" i="18"/>
  <c r="AI94" i="18"/>
  <c r="AI93" i="18"/>
  <c r="AI92" i="18"/>
  <c r="AI90" i="18"/>
  <c r="AI89" i="18"/>
  <c r="AI88" i="18"/>
  <c r="AI87" i="18"/>
  <c r="AI86" i="18"/>
  <c r="AI85" i="18"/>
  <c r="AI84" i="18"/>
  <c r="AI82" i="18"/>
  <c r="AI81" i="18"/>
  <c r="AI80" i="18"/>
  <c r="AI79" i="18"/>
  <c r="AI78" i="18"/>
  <c r="AI77" i="18"/>
  <c r="AI76" i="18"/>
  <c r="AI75" i="18"/>
  <c r="AI73" i="18"/>
  <c r="AI72" i="18"/>
  <c r="AI71" i="18"/>
  <c r="AI70" i="18"/>
  <c r="AI67" i="18"/>
  <c r="AI66" i="18"/>
  <c r="AJ64" i="18"/>
  <c r="AI63" i="18"/>
  <c r="AI62" i="18"/>
  <c r="AI61" i="18"/>
  <c r="AI60" i="18"/>
  <c r="AI59" i="18"/>
  <c r="AI58" i="18"/>
  <c r="AI52" i="18"/>
  <c r="AI49" i="18"/>
  <c r="AI48" i="18"/>
  <c r="AJ47" i="18"/>
  <c r="AI44" i="18"/>
  <c r="AI43" i="18"/>
  <c r="AI42" i="18"/>
  <c r="AI41" i="18"/>
  <c r="AI40" i="18"/>
  <c r="AI39" i="18"/>
  <c r="AI38" i="18"/>
  <c r="AI37" i="18"/>
  <c r="AI36" i="18"/>
  <c r="AI35" i="18"/>
  <c r="AI33" i="18"/>
  <c r="AI32" i="18"/>
  <c r="AI31" i="18"/>
  <c r="AI30" i="18"/>
  <c r="AI29" i="18"/>
  <c r="AI28" i="18"/>
  <c r="AI27" i="18"/>
  <c r="AI26" i="18"/>
  <c r="AI25" i="18"/>
  <c r="AI24" i="18"/>
  <c r="AI23" i="18"/>
  <c r="AI22" i="18"/>
  <c r="AI14" i="18"/>
  <c r="AI12" i="18"/>
  <c r="AI10" i="18"/>
  <c r="AI9" i="18"/>
  <c r="AI8" i="18"/>
  <c r="AJ295" i="18" l="1"/>
  <c r="AH295" i="18"/>
  <c r="AI295" i="18"/>
  <c r="AH292" i="18"/>
  <c r="H28" i="19"/>
  <c r="H25" i="19"/>
  <c r="R3" i="16" l="1"/>
  <c r="Q3" i="16"/>
  <c r="P3" i="16"/>
  <c r="O3" i="16"/>
  <c r="R2" i="16"/>
  <c r="Q2" i="16" l="1"/>
  <c r="P2" i="16"/>
  <c r="O2" i="16"/>
  <c r="Y7" i="19"/>
  <c r="Z7" i="19" s="1"/>
  <c r="Y6" i="19"/>
  <c r="Z6" i="19" s="1"/>
  <c r="Q7" i="19"/>
  <c r="R7" i="19" s="1"/>
  <c r="Q6" i="19"/>
  <c r="R6" i="19"/>
  <c r="E4" i="19"/>
  <c r="W4" i="19"/>
  <c r="X4" i="19" s="1"/>
  <c r="Y4" i="19"/>
  <c r="Z4" i="19" s="1"/>
  <c r="U6" i="19"/>
  <c r="V6" i="19"/>
  <c r="W6" i="19"/>
  <c r="X6" i="19" s="1"/>
  <c r="U7" i="19"/>
  <c r="V7" i="19"/>
  <c r="W7" i="19"/>
  <c r="X7" i="19" s="1"/>
  <c r="U8" i="19"/>
  <c r="V8" i="19"/>
  <c r="W8" i="19"/>
  <c r="Y8" i="19"/>
  <c r="Z8" i="19" l="1"/>
  <c r="X8" i="19"/>
  <c r="U9" i="19"/>
  <c r="U4" i="19" s="1"/>
  <c r="V9" i="19"/>
  <c r="V4" i="19" s="1"/>
  <c r="W9" i="19"/>
  <c r="Y9" i="19"/>
  <c r="Z9" i="19" l="1"/>
  <c r="X9" i="19"/>
  <c r="W10" i="19"/>
  <c r="X10" i="19" s="1"/>
  <c r="Y10" i="19"/>
  <c r="Z10" i="19" s="1"/>
  <c r="U12" i="19"/>
  <c r="V12" i="19"/>
  <c r="W12" i="19"/>
  <c r="X12" i="19" s="1"/>
  <c r="Y12" i="19"/>
  <c r="Z12" i="19" s="1"/>
  <c r="U13" i="19"/>
  <c r="V13" i="19"/>
  <c r="W13" i="19"/>
  <c r="X13" i="19" s="1"/>
  <c r="Y13" i="19"/>
  <c r="Z13" i="19" s="1"/>
  <c r="U14" i="19"/>
  <c r="V14" i="19"/>
  <c r="W14" i="19"/>
  <c r="X14" i="19" s="1"/>
  <c r="Y14" i="19"/>
  <c r="Z14" i="19" s="1"/>
  <c r="W15" i="19"/>
  <c r="X15" i="19" s="1"/>
  <c r="Y15" i="19"/>
  <c r="Z15" i="19" s="1"/>
  <c r="W16" i="19"/>
  <c r="X16" i="19" s="1"/>
  <c r="Y16" i="19"/>
  <c r="Z16" i="19" s="1"/>
  <c r="W17" i="19"/>
  <c r="X17" i="19" s="1"/>
  <c r="Y17" i="19"/>
  <c r="Z17" i="19" s="1"/>
  <c r="W18" i="19"/>
  <c r="X18" i="19" s="1"/>
  <c r="Y18" i="19"/>
  <c r="Z18" i="19" s="1"/>
  <c r="W19" i="19"/>
  <c r="X19" i="19" s="1"/>
  <c r="Y19" i="19"/>
  <c r="Z19" i="19" s="1"/>
  <c r="Q19" i="19"/>
  <c r="R19" i="19" s="1"/>
  <c r="O19" i="19"/>
  <c r="P19" i="19" s="1"/>
  <c r="Q18" i="19"/>
  <c r="R18" i="19" s="1"/>
  <c r="O18" i="19"/>
  <c r="P18" i="19" s="1"/>
  <c r="N14" i="19"/>
  <c r="M14" i="19"/>
  <c r="N12" i="19"/>
  <c r="M12" i="19"/>
  <c r="V10" i="19" l="1"/>
  <c r="U10" i="19"/>
  <c r="C111" i="19"/>
  <c r="C112" i="19"/>
  <c r="C113" i="19"/>
  <c r="C114" i="19"/>
  <c r="C115" i="19"/>
  <c r="B112" i="19"/>
  <c r="B113" i="19"/>
  <c r="B114" i="19"/>
  <c r="B115" i="19"/>
  <c r="B111" i="19"/>
  <c r="C102" i="19"/>
  <c r="C103" i="19"/>
  <c r="C104" i="19"/>
  <c r="C105" i="19"/>
  <c r="C106" i="19"/>
  <c r="B103" i="19"/>
  <c r="B104" i="19"/>
  <c r="B105" i="19"/>
  <c r="B106" i="19"/>
  <c r="B102" i="19"/>
  <c r="G44" i="19" l="1"/>
  <c r="G43" i="19"/>
  <c r="G42" i="19"/>
  <c r="F44" i="19"/>
  <c r="F43" i="19"/>
  <c r="F42" i="19"/>
  <c r="D44" i="19"/>
  <c r="D43" i="19"/>
  <c r="D42" i="19"/>
  <c r="B44" i="19"/>
  <c r="B43" i="19"/>
  <c r="B42" i="19"/>
  <c r="B45" i="19" s="1"/>
  <c r="D161" i="1"/>
  <c r="I19" i="19"/>
  <c r="E106" i="19" s="1"/>
  <c r="I18" i="19"/>
  <c r="E105" i="19" s="1"/>
  <c r="E19" i="19"/>
  <c r="E115" i="19" s="1"/>
  <c r="E18" i="19"/>
  <c r="E114" i="19" s="1"/>
  <c r="H19" i="19"/>
  <c r="D106" i="19" s="1"/>
  <c r="H18" i="19"/>
  <c r="D105" i="19" s="1"/>
  <c r="D19" i="19"/>
  <c r="D115" i="19" s="1"/>
  <c r="D18" i="19"/>
  <c r="D114" i="19" s="1"/>
  <c r="C14" i="19"/>
  <c r="C73" i="19" s="1"/>
  <c r="C12" i="19"/>
  <c r="C71" i="19" s="1"/>
  <c r="B14" i="19"/>
  <c r="B73" i="19" s="1"/>
  <c r="B12" i="19"/>
  <c r="B71" i="19" s="1"/>
  <c r="C36" i="19" l="1"/>
  <c r="D37" i="19"/>
  <c r="F45" i="19"/>
  <c r="G45" i="19"/>
  <c r="D45" i="19"/>
  <c r="B37" i="19"/>
  <c r="B36" i="19"/>
  <c r="E37" i="19"/>
  <c r="E36" i="19"/>
  <c r="D36" i="19"/>
  <c r="C37" i="19"/>
  <c r="Q466" i="1"/>
  <c r="P466" i="1"/>
  <c r="L466" i="1"/>
  <c r="K466" i="1"/>
  <c r="K124" i="15"/>
  <c r="N124" i="15" s="1"/>
  <c r="L124" i="15"/>
  <c r="M124" i="15"/>
  <c r="AM124" i="15" s="1"/>
  <c r="P124" i="15"/>
  <c r="S124" i="15" s="1"/>
  <c r="Q124" i="15"/>
  <c r="R124" i="15"/>
  <c r="AN124" i="15" s="1"/>
  <c r="R257" i="1"/>
  <c r="AP124" i="15" l="1"/>
  <c r="O14" i="19"/>
  <c r="P14" i="19" s="1"/>
  <c r="D14" i="19"/>
  <c r="AR124" i="15"/>
  <c r="B32" i="19" l="1"/>
  <c r="D73" i="19"/>
  <c r="BA174" i="5"/>
  <c r="BE174" i="5" s="1"/>
  <c r="AY174" i="5"/>
  <c r="AX174" i="5"/>
  <c r="AU174" i="5"/>
  <c r="AM174" i="5"/>
  <c r="AJ174" i="5"/>
  <c r="AL174" i="5" s="1"/>
  <c r="R174" i="5"/>
  <c r="Q174" i="5"/>
  <c r="P174" i="5"/>
  <c r="O174" i="5"/>
  <c r="L174" i="5"/>
  <c r="K174" i="5"/>
  <c r="J174" i="5"/>
  <c r="M174" i="5" s="1"/>
  <c r="AL7" i="5"/>
  <c r="O7" i="5"/>
  <c r="P7" i="5"/>
  <c r="Q7" i="5"/>
  <c r="R7" i="5"/>
  <c r="BD174" i="5" l="1"/>
  <c r="AK174" i="5"/>
  <c r="G22" i="18"/>
  <c r="G21" i="18"/>
  <c r="E21" i="18"/>
  <c r="G20" i="18"/>
  <c r="E20" i="18"/>
  <c r="D19" i="18"/>
  <c r="E19" i="18" s="1"/>
  <c r="D18" i="18"/>
  <c r="D17" i="18"/>
  <c r="E17" i="18" s="1"/>
  <c r="F16" i="18"/>
  <c r="G16" i="18" s="1"/>
  <c r="D16" i="18"/>
  <c r="E16" i="18" s="1"/>
  <c r="F15" i="18"/>
  <c r="D15" i="18"/>
  <c r="G14" i="18"/>
  <c r="E14" i="18"/>
  <c r="G30" i="18"/>
  <c r="E30" i="18"/>
  <c r="G29" i="18"/>
  <c r="E29" i="18"/>
  <c r="E28" i="18"/>
  <c r="E27" i="18"/>
  <c r="G26" i="18"/>
  <c r="E26" i="18"/>
  <c r="G24" i="18"/>
  <c r="E24" i="18"/>
  <c r="G13" i="18"/>
  <c r="E13" i="18"/>
  <c r="G12" i="18"/>
  <c r="E12" i="18"/>
  <c r="G11" i="18"/>
  <c r="E11" i="18"/>
  <c r="I23" i="18"/>
  <c r="G23" i="18"/>
  <c r="E23" i="18"/>
  <c r="G9" i="18"/>
  <c r="E9" i="18"/>
  <c r="E25" i="18"/>
  <c r="E8" i="18"/>
  <c r="G7" i="18"/>
  <c r="E7" i="18"/>
  <c r="G6" i="18"/>
  <c r="E6" i="18"/>
  <c r="G5" i="18"/>
  <c r="E5" i="18"/>
  <c r="G15" i="18" l="1"/>
  <c r="E18" i="18"/>
  <c r="E15" i="18"/>
  <c r="AB91" i="6"/>
  <c r="AB92" i="6"/>
  <c r="AB93" i="6"/>
  <c r="AB94" i="6"/>
  <c r="AB95" i="6"/>
  <c r="AB96" i="6"/>
  <c r="AB90" i="6"/>
  <c r="T91" i="6"/>
  <c r="T92" i="6"/>
  <c r="T93" i="6"/>
  <c r="T94" i="6"/>
  <c r="T95" i="6"/>
  <c r="T96" i="6"/>
  <c r="T90" i="6"/>
  <c r="U197" i="16" l="1"/>
  <c r="V197" i="16"/>
  <c r="U198" i="16"/>
  <c r="V198" i="16"/>
  <c r="U199" i="16"/>
  <c r="V199" i="16"/>
  <c r="U200" i="16"/>
  <c r="V200" i="16"/>
  <c r="U201" i="16"/>
  <c r="V201" i="16"/>
  <c r="U202" i="16"/>
  <c r="V202" i="16"/>
  <c r="U203" i="16"/>
  <c r="V203" i="16"/>
  <c r="U204" i="16"/>
  <c r="V204" i="16"/>
  <c r="U205" i="16"/>
  <c r="V205" i="16"/>
  <c r="U206" i="16"/>
  <c r="V206" i="16"/>
  <c r="U207" i="16"/>
  <c r="V207" i="16"/>
  <c r="U208" i="16"/>
  <c r="V208" i="16"/>
  <c r="U209" i="16"/>
  <c r="V209" i="16"/>
  <c r="U210" i="16"/>
  <c r="V210" i="16"/>
  <c r="U211" i="16"/>
  <c r="V211" i="16"/>
  <c r="U212" i="16"/>
  <c r="V212" i="16"/>
  <c r="U213" i="16"/>
  <c r="V213" i="16"/>
  <c r="U214" i="16"/>
  <c r="V214" i="16"/>
  <c r="U215" i="16"/>
  <c r="V215" i="16"/>
  <c r="U216" i="16"/>
  <c r="V216" i="16"/>
  <c r="U217" i="16"/>
  <c r="V217" i="16"/>
  <c r="U218" i="16"/>
  <c r="V218" i="16"/>
  <c r="U219" i="16"/>
  <c r="V219" i="16"/>
  <c r="U220" i="16"/>
  <c r="V220" i="16"/>
  <c r="V196" i="16"/>
  <c r="U196" i="16"/>
  <c r="K3" i="16"/>
  <c r="L3" i="16"/>
  <c r="K4" i="16"/>
  <c r="L4" i="16"/>
  <c r="K5" i="16"/>
  <c r="L5" i="16"/>
  <c r="K6" i="16"/>
  <c r="L6" i="16"/>
  <c r="K7" i="16"/>
  <c r="L7" i="16"/>
  <c r="K8" i="16"/>
  <c r="L8" i="16"/>
  <c r="K9" i="16"/>
  <c r="L9" i="16"/>
  <c r="K10" i="16"/>
  <c r="L10" i="16"/>
  <c r="K11" i="16"/>
  <c r="L11" i="16"/>
  <c r="K12" i="16"/>
  <c r="L12" i="16"/>
  <c r="K13" i="16"/>
  <c r="L13" i="16"/>
  <c r="K14" i="16"/>
  <c r="L14" i="16"/>
  <c r="K15" i="16"/>
  <c r="L15" i="16"/>
  <c r="K16" i="16"/>
  <c r="L16" i="16"/>
  <c r="K17" i="16"/>
  <c r="L17" i="16"/>
  <c r="K18" i="16"/>
  <c r="L18" i="16"/>
  <c r="K19" i="16"/>
  <c r="L19" i="16"/>
  <c r="K20" i="16"/>
  <c r="L20" i="16"/>
  <c r="K21" i="16"/>
  <c r="L21" i="16"/>
  <c r="K22" i="16"/>
  <c r="L22" i="16"/>
  <c r="K23" i="16"/>
  <c r="L23" i="16"/>
  <c r="K24" i="16"/>
  <c r="L24" i="16"/>
  <c r="K25" i="16"/>
  <c r="L25" i="16"/>
  <c r="K26" i="16"/>
  <c r="L26" i="16"/>
  <c r="K27" i="16"/>
  <c r="L27" i="16"/>
  <c r="K28" i="16"/>
  <c r="L28" i="16"/>
  <c r="K29" i="16"/>
  <c r="L29" i="16"/>
  <c r="K30" i="16"/>
  <c r="L30" i="16"/>
  <c r="K31" i="16"/>
  <c r="L31" i="16"/>
  <c r="K32" i="16"/>
  <c r="L32" i="16"/>
  <c r="K33" i="16"/>
  <c r="L33" i="16"/>
  <c r="K34" i="16"/>
  <c r="L34" i="16"/>
  <c r="K35" i="16"/>
  <c r="L35" i="16"/>
  <c r="K36" i="16"/>
  <c r="L36" i="16"/>
  <c r="K37" i="16"/>
  <c r="L37" i="16"/>
  <c r="K38" i="16"/>
  <c r="L38" i="16"/>
  <c r="K39" i="16"/>
  <c r="L39" i="16"/>
  <c r="K40" i="16"/>
  <c r="L40" i="16"/>
  <c r="K41" i="16"/>
  <c r="L41" i="16"/>
  <c r="K42" i="16"/>
  <c r="L42" i="16"/>
  <c r="K43" i="16"/>
  <c r="L43" i="16"/>
  <c r="K44" i="16"/>
  <c r="L44" i="16"/>
  <c r="K45" i="16"/>
  <c r="L45" i="16"/>
  <c r="K46" i="16"/>
  <c r="L46" i="16"/>
  <c r="K47" i="16"/>
  <c r="L47" i="16"/>
  <c r="K48" i="16"/>
  <c r="L48" i="16"/>
  <c r="K49" i="16"/>
  <c r="L49" i="16"/>
  <c r="K50" i="16"/>
  <c r="L50" i="16"/>
  <c r="K51" i="16"/>
  <c r="L51" i="16"/>
  <c r="K52" i="16"/>
  <c r="L52" i="16"/>
  <c r="K53" i="16"/>
  <c r="L53" i="16"/>
  <c r="K54" i="16"/>
  <c r="L54" i="16"/>
  <c r="K55" i="16"/>
  <c r="L55" i="16"/>
  <c r="K56" i="16"/>
  <c r="L56" i="16"/>
  <c r="K57" i="16"/>
  <c r="L57" i="16"/>
  <c r="K58" i="16"/>
  <c r="L58" i="16"/>
  <c r="K59" i="16"/>
  <c r="L59" i="16"/>
  <c r="K60" i="16"/>
  <c r="L60" i="16"/>
  <c r="K61" i="16"/>
  <c r="L61" i="16"/>
  <c r="K62" i="16"/>
  <c r="L62" i="16"/>
  <c r="K63" i="16"/>
  <c r="L63" i="16"/>
  <c r="K64" i="16"/>
  <c r="L64" i="16"/>
  <c r="K65" i="16"/>
  <c r="L65" i="16"/>
  <c r="K66" i="16"/>
  <c r="L66" i="16"/>
  <c r="K67" i="16"/>
  <c r="L67" i="16"/>
  <c r="K68" i="16"/>
  <c r="L68" i="16"/>
  <c r="K69" i="16"/>
  <c r="L69" i="16"/>
  <c r="K70" i="16"/>
  <c r="L70" i="16"/>
  <c r="K71" i="16"/>
  <c r="L71" i="16"/>
  <c r="K72" i="16"/>
  <c r="L72" i="16"/>
  <c r="K73" i="16"/>
  <c r="L73" i="16"/>
  <c r="K74" i="16"/>
  <c r="L74" i="16"/>
  <c r="K75" i="16"/>
  <c r="L75" i="16"/>
  <c r="K76" i="16"/>
  <c r="L76" i="16"/>
  <c r="K77" i="16"/>
  <c r="L77" i="16"/>
  <c r="K78" i="16"/>
  <c r="L78" i="16"/>
  <c r="K79" i="16"/>
  <c r="L79" i="16"/>
  <c r="K80" i="16"/>
  <c r="L80" i="16"/>
  <c r="K81" i="16"/>
  <c r="L81" i="16"/>
  <c r="K82" i="16"/>
  <c r="L82" i="16"/>
  <c r="K83" i="16"/>
  <c r="L83" i="16"/>
  <c r="K84" i="16"/>
  <c r="L84" i="16"/>
  <c r="K85" i="16"/>
  <c r="L85" i="16"/>
  <c r="K86" i="16"/>
  <c r="L86" i="16"/>
  <c r="K87" i="16"/>
  <c r="L87" i="16"/>
  <c r="K88" i="16"/>
  <c r="L88" i="16"/>
  <c r="K89" i="16"/>
  <c r="L89" i="16"/>
  <c r="K90" i="16"/>
  <c r="L90" i="16"/>
  <c r="K91" i="16"/>
  <c r="L91" i="16"/>
  <c r="K92" i="16"/>
  <c r="L92" i="16"/>
  <c r="K93" i="16"/>
  <c r="L93" i="16"/>
  <c r="K94" i="16"/>
  <c r="L94" i="16"/>
  <c r="K95" i="16"/>
  <c r="L95" i="16"/>
  <c r="K96" i="16"/>
  <c r="L96" i="16"/>
  <c r="K97" i="16"/>
  <c r="L97" i="16"/>
  <c r="K98" i="16"/>
  <c r="L98" i="16"/>
  <c r="K99" i="16"/>
  <c r="L99" i="16"/>
  <c r="K100" i="16"/>
  <c r="L100" i="16"/>
  <c r="K101" i="16"/>
  <c r="L101" i="16"/>
  <c r="K102" i="16"/>
  <c r="L102" i="16"/>
  <c r="K103" i="16"/>
  <c r="L103" i="16"/>
  <c r="K104" i="16"/>
  <c r="L104" i="16"/>
  <c r="K105" i="16"/>
  <c r="L105" i="16"/>
  <c r="K106" i="16"/>
  <c r="L106" i="16"/>
  <c r="K107" i="16"/>
  <c r="L107" i="16"/>
  <c r="K108" i="16"/>
  <c r="L108" i="16"/>
  <c r="K109" i="16"/>
  <c r="L109" i="16"/>
  <c r="K110" i="16"/>
  <c r="L110" i="16"/>
  <c r="K111" i="16"/>
  <c r="L111" i="16"/>
  <c r="K112" i="16"/>
  <c r="L112" i="16"/>
  <c r="K113" i="16"/>
  <c r="L113" i="16"/>
  <c r="K114" i="16"/>
  <c r="L114" i="16"/>
  <c r="K115" i="16"/>
  <c r="L115" i="16"/>
  <c r="K116" i="16"/>
  <c r="L116" i="16"/>
  <c r="K117" i="16"/>
  <c r="L117" i="16"/>
  <c r="K118" i="16"/>
  <c r="L118" i="16"/>
  <c r="K119" i="16"/>
  <c r="L119" i="16"/>
  <c r="K120" i="16"/>
  <c r="L120" i="16"/>
  <c r="K121" i="16"/>
  <c r="L121" i="16"/>
  <c r="K122" i="16"/>
  <c r="L122" i="16"/>
  <c r="K123" i="16"/>
  <c r="L123" i="16"/>
  <c r="K124" i="16"/>
  <c r="L124" i="16"/>
  <c r="K125" i="16"/>
  <c r="L125" i="16"/>
  <c r="K126" i="16"/>
  <c r="L126" i="16"/>
  <c r="K127" i="16"/>
  <c r="L127" i="16"/>
  <c r="K128" i="16"/>
  <c r="L128" i="16"/>
  <c r="K129" i="16"/>
  <c r="L129" i="16"/>
  <c r="K130" i="16"/>
  <c r="L130" i="16"/>
  <c r="K131" i="16"/>
  <c r="L131" i="16"/>
  <c r="K132" i="16"/>
  <c r="L132" i="16"/>
  <c r="K133" i="16"/>
  <c r="L133" i="16"/>
  <c r="K134" i="16"/>
  <c r="L134" i="16"/>
  <c r="K135" i="16"/>
  <c r="L135" i="16"/>
  <c r="K136" i="16"/>
  <c r="L136" i="16"/>
  <c r="K137" i="16"/>
  <c r="L137" i="16"/>
  <c r="K138" i="16"/>
  <c r="L138" i="16"/>
  <c r="K139" i="16"/>
  <c r="L139" i="16"/>
  <c r="K140" i="16"/>
  <c r="L140" i="16"/>
  <c r="K141" i="16"/>
  <c r="L141" i="16"/>
  <c r="K142" i="16"/>
  <c r="L142" i="16"/>
  <c r="K143" i="16"/>
  <c r="L143" i="16"/>
  <c r="K144" i="16"/>
  <c r="L144" i="16"/>
  <c r="K145" i="16"/>
  <c r="L145" i="16"/>
  <c r="K146" i="16"/>
  <c r="L146" i="16"/>
  <c r="K147" i="16"/>
  <c r="L147" i="16"/>
  <c r="K148" i="16"/>
  <c r="L148" i="16"/>
  <c r="K149" i="16"/>
  <c r="L149" i="16"/>
  <c r="K150" i="16"/>
  <c r="L150" i="16"/>
  <c r="K151" i="16"/>
  <c r="L151" i="16"/>
  <c r="K152" i="16"/>
  <c r="L152" i="16"/>
  <c r="K153" i="16"/>
  <c r="L153" i="16"/>
  <c r="K154" i="16"/>
  <c r="L154" i="16"/>
  <c r="K155" i="16"/>
  <c r="L155" i="16"/>
  <c r="K156" i="16"/>
  <c r="L156" i="16"/>
  <c r="K157" i="16"/>
  <c r="L157" i="16"/>
  <c r="K158" i="16"/>
  <c r="L158" i="16"/>
  <c r="K159" i="16"/>
  <c r="L159" i="16"/>
  <c r="K160" i="16"/>
  <c r="L160" i="16"/>
  <c r="K161" i="16"/>
  <c r="L161" i="16"/>
  <c r="K162" i="16"/>
  <c r="L162" i="16"/>
  <c r="K163" i="16"/>
  <c r="L163" i="16"/>
  <c r="K164" i="16"/>
  <c r="L164" i="16"/>
  <c r="K165" i="16"/>
  <c r="L165" i="16"/>
  <c r="K166" i="16"/>
  <c r="L166" i="16"/>
  <c r="K167" i="16"/>
  <c r="L167" i="16"/>
  <c r="K168" i="16"/>
  <c r="L168" i="16"/>
  <c r="K169" i="16"/>
  <c r="L169" i="16"/>
  <c r="K170" i="16"/>
  <c r="L170" i="16"/>
  <c r="K171" i="16"/>
  <c r="L171" i="16"/>
  <c r="K172" i="16"/>
  <c r="L172" i="16"/>
  <c r="K173" i="16"/>
  <c r="L173" i="16"/>
  <c r="K174" i="16"/>
  <c r="L174" i="16"/>
  <c r="K175" i="16"/>
  <c r="L175" i="16"/>
  <c r="K176" i="16"/>
  <c r="L176" i="16"/>
  <c r="K177" i="16"/>
  <c r="L177" i="16"/>
  <c r="K178" i="16"/>
  <c r="L178" i="16"/>
  <c r="K179" i="16"/>
  <c r="L179" i="16"/>
  <c r="K180" i="16"/>
  <c r="L180" i="16"/>
  <c r="K181" i="16"/>
  <c r="L181" i="16"/>
  <c r="K182" i="16"/>
  <c r="L182" i="16"/>
  <c r="K183" i="16"/>
  <c r="L183" i="16"/>
  <c r="K184" i="16"/>
  <c r="L184" i="16"/>
  <c r="K185" i="16"/>
  <c r="L185" i="16"/>
  <c r="K186" i="16"/>
  <c r="L186" i="16"/>
  <c r="K187" i="16"/>
  <c r="L187" i="16"/>
  <c r="K188" i="16"/>
  <c r="L188" i="16"/>
  <c r="K189" i="16"/>
  <c r="L189" i="16"/>
  <c r="K190" i="16"/>
  <c r="L190" i="16"/>
  <c r="K191" i="16"/>
  <c r="L191" i="16"/>
  <c r="K192" i="16"/>
  <c r="L192" i="16"/>
  <c r="K193" i="16"/>
  <c r="L193" i="16"/>
  <c r="L2" i="16"/>
  <c r="K2" i="16"/>
  <c r="J39" i="10"/>
  <c r="J38" i="10"/>
  <c r="J37" i="10"/>
  <c r="J36" i="10"/>
  <c r="J35" i="10"/>
  <c r="J34" i="10"/>
  <c r="C2"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1" i="10"/>
  <c r="F87" i="2" l="1"/>
  <c r="F89" i="2"/>
  <c r="F91" i="2"/>
  <c r="F95" i="2"/>
  <c r="F96" i="2"/>
  <c r="F98" i="2"/>
  <c r="F99" i="2"/>
  <c r="F100" i="2"/>
  <c r="F101" i="2"/>
  <c r="F107" i="2"/>
  <c r="F108" i="2"/>
  <c r="F109" i="2"/>
  <c r="F110" i="2"/>
  <c r="F114" i="2"/>
  <c r="F120" i="2"/>
  <c r="F82" i="2"/>
  <c r="F4" i="2"/>
  <c r="F5" i="2"/>
  <c r="F6" i="2"/>
  <c r="F7" i="2"/>
  <c r="F8" i="2"/>
  <c r="F9" i="2"/>
  <c r="F10" i="2"/>
  <c r="F11" i="2"/>
  <c r="F12" i="2"/>
  <c r="F13" i="2"/>
  <c r="F14" i="2"/>
  <c r="F15" i="2"/>
  <c r="F16" i="2"/>
  <c r="F17" i="2"/>
  <c r="F18" i="2"/>
  <c r="F19" i="2"/>
  <c r="F20" i="2"/>
  <c r="F21" i="2"/>
  <c r="F23" i="2"/>
  <c r="F24" i="2"/>
  <c r="F25" i="2"/>
  <c r="F26" i="2"/>
  <c r="F27" i="2"/>
  <c r="F28" i="2"/>
  <c r="F29" i="2"/>
  <c r="F31" i="2"/>
  <c r="F32" i="2"/>
  <c r="F33" i="2"/>
  <c r="F34" i="2"/>
  <c r="F35" i="2"/>
  <c r="F36" i="2"/>
  <c r="F37" i="2"/>
  <c r="F38" i="2"/>
  <c r="F39" i="2"/>
  <c r="F40" i="2"/>
  <c r="F41" i="2"/>
  <c r="F43" i="2"/>
  <c r="F44" i="2"/>
  <c r="F47" i="2"/>
  <c r="F3" i="2"/>
  <c r="AK11" i="17" l="1"/>
  <c r="AJ11" i="17"/>
  <c r="AJ10" i="17"/>
  <c r="S205" i="16" l="1"/>
  <c r="S206" i="16"/>
  <c r="S208" i="16"/>
  <c r="S200" i="16"/>
  <c r="S218" i="16"/>
  <c r="S219" i="16"/>
  <c r="S196" i="16"/>
  <c r="S209" i="16"/>
  <c r="S202" i="16"/>
  <c r="S197" i="16"/>
  <c r="S203" i="16"/>
  <c r="S201" i="16"/>
  <c r="S210" i="16"/>
  <c r="S211" i="16"/>
  <c r="S212" i="16"/>
  <c r="S213" i="16"/>
  <c r="S214" i="16"/>
  <c r="S204" i="16"/>
  <c r="S198" i="16"/>
  <c r="S199" i="16"/>
  <c r="S207" i="16"/>
  <c r="S217" i="16"/>
  <c r="S216" i="16"/>
  <c r="S220" i="16"/>
  <c r="S215" i="16"/>
  <c r="G140" i="16" l="1"/>
  <c r="BD18" i="5" l="1"/>
  <c r="BE18" i="5"/>
  <c r="BB18" i="5"/>
  <c r="AV18" i="5"/>
  <c r="BE27" i="5"/>
  <c r="BD27" i="5"/>
  <c r="BE22" i="5"/>
  <c r="BD22" i="5"/>
  <c r="BE21" i="5"/>
  <c r="BD21" i="5"/>
  <c r="BE19" i="5"/>
  <c r="BD19" i="5"/>
  <c r="BD11" i="5"/>
  <c r="BE11" i="5"/>
  <c r="BE9" i="5"/>
  <c r="BD9" i="5"/>
  <c r="BE26" i="5"/>
  <c r="BD26" i="5"/>
  <c r="BE15" i="5"/>
  <c r="BD15" i="5"/>
  <c r="BE14" i="5"/>
  <c r="BD14" i="5"/>
  <c r="BE12" i="5"/>
  <c r="BD12" i="5"/>
  <c r="BE8" i="5"/>
  <c r="BD8" i="5"/>
  <c r="BD4" i="5"/>
  <c r="BE4" i="5"/>
  <c r="BD5" i="5"/>
  <c r="BE5" i="5"/>
  <c r="BE3" i="5"/>
  <c r="BD3" i="5"/>
  <c r="BA20" i="5"/>
  <c r="BA21" i="5"/>
  <c r="BA22" i="5"/>
  <c r="BA27" i="5"/>
  <c r="BA19" i="5"/>
  <c r="BA13" i="5"/>
  <c r="BA11" i="5"/>
  <c r="AU9" i="5"/>
  <c r="BA9" i="5"/>
  <c r="AY3" i="5"/>
  <c r="BB26" i="5"/>
  <c r="BB15" i="5"/>
  <c r="BB14" i="5"/>
  <c r="BB12" i="5"/>
  <c r="BB8" i="5"/>
  <c r="BB4" i="5"/>
  <c r="BB5" i="5"/>
  <c r="BB3" i="5"/>
  <c r="AV3" i="5"/>
  <c r="AU13" i="5"/>
  <c r="AU20" i="5"/>
  <c r="AV26" i="5"/>
  <c r="AV14" i="5"/>
  <c r="AU19" i="5"/>
  <c r="AV17" i="5"/>
  <c r="AV15" i="5"/>
  <c r="AV12" i="5"/>
  <c r="AV8" i="5"/>
  <c r="AV4" i="5"/>
  <c r="AV5" i="5"/>
  <c r="AT26" i="5"/>
  <c r="AT17" i="5"/>
  <c r="AT14" i="5"/>
  <c r="AT12" i="5"/>
  <c r="AT5" i="5"/>
  <c r="AT4" i="5"/>
  <c r="AT18" i="5"/>
  <c r="AT15" i="5"/>
  <c r="AT8" i="5"/>
  <c r="AT3" i="5"/>
  <c r="AU25" i="5" l="1"/>
  <c r="AY22" i="5"/>
  <c r="AY25" i="5"/>
  <c r="AY26" i="5"/>
  <c r="AY19" i="5"/>
  <c r="AY11" i="5"/>
  <c r="AY17" i="5"/>
  <c r="AY14" i="5"/>
  <c r="AY12" i="5"/>
  <c r="AY8" i="5"/>
  <c r="AY4" i="5"/>
  <c r="AY5" i="5"/>
  <c r="I22" i="5"/>
  <c r="K22" i="5" s="1"/>
  <c r="J22" i="5"/>
  <c r="M22" i="5" s="1"/>
  <c r="AX11" i="5"/>
  <c r="AX8" i="5"/>
  <c r="AX4" i="5"/>
  <c r="AX5" i="5"/>
  <c r="AU11" i="5"/>
  <c r="AU6" i="5"/>
  <c r="AX6" i="5" s="1"/>
  <c r="AU7" i="5"/>
  <c r="AX7" i="5" s="1"/>
  <c r="AX9" i="5"/>
  <c r="AY15" i="5"/>
  <c r="AU16" i="5"/>
  <c r="AY16" i="5" s="1"/>
  <c r="AY18" i="5"/>
  <c r="AU27" i="5"/>
  <c r="AX27" i="5" s="1"/>
  <c r="AY27" i="5" l="1"/>
  <c r="AY6" i="5"/>
  <c r="AY7" i="5"/>
  <c r="AY9" i="5"/>
  <c r="AX18" i="5"/>
  <c r="AX3" i="5"/>
  <c r="AX12" i="5"/>
  <c r="AX14" i="5"/>
  <c r="AX17" i="5"/>
  <c r="AX15" i="5"/>
  <c r="AX22" i="5"/>
  <c r="AX26" i="5"/>
  <c r="AX16" i="5"/>
  <c r="AU22" i="5"/>
  <c r="AX19" i="5"/>
  <c r="L22" i="5"/>
  <c r="Q12" i="5"/>
  <c r="W75" i="5"/>
  <c r="W74" i="5"/>
  <c r="D53" i="5"/>
  <c r="V73" i="5"/>
  <c r="Q37" i="5"/>
  <c r="Q38" i="5"/>
  <c r="Q39" i="5"/>
  <c r="Q36" i="5"/>
  <c r="Q19" i="5"/>
  <c r="Q27" i="5"/>
  <c r="Q18" i="5"/>
  <c r="Q28" i="5"/>
  <c r="Q15" i="5"/>
  <c r="Q26" i="5"/>
  <c r="Q9" i="5"/>
  <c r="Q11" i="5"/>
  <c r="Q13" i="5"/>
  <c r="Q14" i="5"/>
  <c r="Q20" i="5"/>
  <c r="Q8" i="5"/>
  <c r="Q4" i="5"/>
  <c r="Q5" i="5"/>
  <c r="Q3" i="5"/>
  <c r="L35" i="5"/>
  <c r="L36" i="5"/>
  <c r="L37" i="5"/>
  <c r="L38" i="5"/>
  <c r="L39" i="5"/>
  <c r="L40" i="5"/>
  <c r="L41" i="5"/>
  <c r="L34" i="5"/>
  <c r="L29" i="5"/>
  <c r="L4" i="5"/>
  <c r="L5" i="5"/>
  <c r="L6" i="5"/>
  <c r="L7" i="5"/>
  <c r="L8" i="5"/>
  <c r="L9" i="5"/>
  <c r="L11" i="5"/>
  <c r="L12" i="5"/>
  <c r="L13" i="5"/>
  <c r="L14" i="5"/>
  <c r="L20" i="5"/>
  <c r="L26" i="5"/>
  <c r="L16" i="5"/>
  <c r="L17" i="5"/>
  <c r="L15" i="5"/>
  <c r="L19" i="5"/>
  <c r="L27" i="5"/>
  <c r="L18" i="5"/>
  <c r="L3" i="5"/>
  <c r="AA74" i="5" l="1"/>
  <c r="J193" i="15"/>
  <c r="L193" i="15" s="1"/>
  <c r="L192" i="15"/>
  <c r="K192" i="15"/>
  <c r="M191" i="15"/>
  <c r="L191" i="15"/>
  <c r="K191" i="15"/>
  <c r="N191" i="15" s="1"/>
  <c r="L190" i="15"/>
  <c r="K190" i="15"/>
  <c r="L189" i="15"/>
  <c r="K189" i="15"/>
  <c r="M188" i="15"/>
  <c r="L188" i="15"/>
  <c r="K188" i="15"/>
  <c r="N188" i="15" s="1"/>
  <c r="L187" i="15"/>
  <c r="K187" i="15"/>
  <c r="N187" i="15" s="1"/>
  <c r="M186" i="15"/>
  <c r="L186" i="15"/>
  <c r="K186" i="15"/>
  <c r="N186" i="15" s="1"/>
  <c r="M185" i="15"/>
  <c r="L185" i="15"/>
  <c r="K185" i="15"/>
  <c r="N185" i="15" s="1"/>
  <c r="M184" i="15"/>
  <c r="J184" i="15"/>
  <c r="K184" i="15" s="1"/>
  <c r="N184" i="15" s="1"/>
  <c r="L183" i="15"/>
  <c r="K183" i="15"/>
  <c r="M182" i="15"/>
  <c r="L182" i="15"/>
  <c r="K182" i="15"/>
  <c r="N182" i="15" s="1"/>
  <c r="M181" i="15"/>
  <c r="L181" i="15"/>
  <c r="K181" i="15"/>
  <c r="N181" i="15" s="1"/>
  <c r="L180" i="15"/>
  <c r="K180" i="15"/>
  <c r="L179" i="15"/>
  <c r="K179" i="15"/>
  <c r="R178" i="15"/>
  <c r="Q178" i="15"/>
  <c r="P178" i="15"/>
  <c r="S178" i="15" s="1"/>
  <c r="M178" i="15"/>
  <c r="L178" i="15"/>
  <c r="K178" i="15"/>
  <c r="N178" i="15" s="1"/>
  <c r="L177" i="15"/>
  <c r="K177" i="15"/>
  <c r="L176" i="15"/>
  <c r="K176" i="15"/>
  <c r="L175" i="15"/>
  <c r="K175" i="15"/>
  <c r="R174" i="15"/>
  <c r="Q174" i="15"/>
  <c r="P174" i="15"/>
  <c r="S174" i="15" s="1"/>
  <c r="M174" i="15"/>
  <c r="L174" i="15"/>
  <c r="K174" i="15"/>
  <c r="N174" i="15" s="1"/>
  <c r="M173" i="15"/>
  <c r="L173" i="15"/>
  <c r="K173" i="15"/>
  <c r="N173" i="15" s="1"/>
  <c r="L172" i="15"/>
  <c r="K172" i="15"/>
  <c r="L171" i="15"/>
  <c r="K171" i="15"/>
  <c r="L170" i="15"/>
  <c r="K170" i="15"/>
  <c r="L169" i="15"/>
  <c r="K169" i="15"/>
  <c r="L168" i="15"/>
  <c r="K168" i="15"/>
  <c r="M167" i="15"/>
  <c r="L167" i="15"/>
  <c r="K167" i="15"/>
  <c r="N167" i="15" s="1"/>
  <c r="M166" i="15"/>
  <c r="L166" i="15"/>
  <c r="K166" i="15"/>
  <c r="N166" i="15" s="1"/>
  <c r="M165" i="15"/>
  <c r="L165" i="15"/>
  <c r="K165" i="15"/>
  <c r="N165" i="15" s="1"/>
  <c r="M164" i="15"/>
  <c r="L164" i="15"/>
  <c r="K164" i="15"/>
  <c r="N164" i="15" s="1"/>
  <c r="M163" i="15"/>
  <c r="L163" i="15"/>
  <c r="K163" i="15"/>
  <c r="N163" i="15" s="1"/>
  <c r="M162" i="15"/>
  <c r="L162" i="15"/>
  <c r="K162" i="15"/>
  <c r="N162" i="15" s="1"/>
  <c r="L160" i="15"/>
  <c r="K160" i="15"/>
  <c r="M150" i="15"/>
  <c r="AP151" i="15" s="1"/>
  <c r="L150" i="15"/>
  <c r="K150" i="15"/>
  <c r="N150" i="15" s="1"/>
  <c r="T149" i="15"/>
  <c r="U149" i="15" s="1"/>
  <c r="R149" i="15"/>
  <c r="AN150" i="15" s="1"/>
  <c r="Q149" i="15"/>
  <c r="P149" i="15"/>
  <c r="S149" i="15" s="1"/>
  <c r="M149" i="15"/>
  <c r="AP150" i="15" s="1"/>
  <c r="L149" i="15"/>
  <c r="K149" i="15"/>
  <c r="N149" i="15" s="1"/>
  <c r="M148" i="15"/>
  <c r="AP149" i="15" s="1"/>
  <c r="L148" i="15"/>
  <c r="K148" i="15"/>
  <c r="N148" i="15" s="1"/>
  <c r="X146" i="15"/>
  <c r="M146" i="15"/>
  <c r="AP147" i="15" s="1"/>
  <c r="L146" i="15"/>
  <c r="K146" i="15"/>
  <c r="N146" i="15" s="1"/>
  <c r="J147" i="15"/>
  <c r="L147" i="15" s="1"/>
  <c r="R145" i="15"/>
  <c r="AN146" i="15" s="1"/>
  <c r="Q145" i="15"/>
  <c r="P145" i="15"/>
  <c r="S145" i="15" s="1"/>
  <c r="M145" i="15"/>
  <c r="AP146" i="15" s="1"/>
  <c r="L145" i="15"/>
  <c r="K145" i="15"/>
  <c r="N145" i="15" s="1"/>
  <c r="R144" i="15"/>
  <c r="AN145" i="15" s="1"/>
  <c r="Q144" i="15"/>
  <c r="P144" i="15"/>
  <c r="S144" i="15" s="1"/>
  <c r="M144" i="15"/>
  <c r="AM145" i="15" s="1"/>
  <c r="L144" i="15"/>
  <c r="K144" i="15"/>
  <c r="N144" i="15" s="1"/>
  <c r="L143" i="15"/>
  <c r="K143" i="15"/>
  <c r="U142" i="15"/>
  <c r="R142" i="15"/>
  <c r="AN142" i="15" s="1"/>
  <c r="Q142" i="15"/>
  <c r="P142" i="15"/>
  <c r="S142" i="15" s="1"/>
  <c r="M142" i="15"/>
  <c r="AP142" i="15" s="1"/>
  <c r="L142" i="15"/>
  <c r="K142" i="15"/>
  <c r="N142" i="15" s="1"/>
  <c r="U141" i="15"/>
  <c r="R141" i="15"/>
  <c r="V141" i="15" s="1"/>
  <c r="Q141" i="15"/>
  <c r="P141" i="15"/>
  <c r="S141" i="15" s="1"/>
  <c r="M141" i="15"/>
  <c r="AM141" i="15" s="1"/>
  <c r="L141" i="15"/>
  <c r="K141" i="15"/>
  <c r="N141" i="15" s="1"/>
  <c r="X140" i="15"/>
  <c r="U140" i="15"/>
  <c r="R140" i="15"/>
  <c r="V140" i="15" s="1"/>
  <c r="Q140" i="15"/>
  <c r="P140" i="15"/>
  <c r="S140" i="15" s="1"/>
  <c r="M140" i="15"/>
  <c r="AM140" i="15" s="1"/>
  <c r="L140" i="15"/>
  <c r="K140" i="15"/>
  <c r="N140" i="15" s="1"/>
  <c r="F140" i="15"/>
  <c r="L139" i="15"/>
  <c r="K139" i="15"/>
  <c r="AN138" i="15"/>
  <c r="U138" i="15"/>
  <c r="R138" i="15"/>
  <c r="V138" i="15" s="1"/>
  <c r="Q138" i="15"/>
  <c r="P138" i="15"/>
  <c r="S138" i="15" s="1"/>
  <c r="M138" i="15"/>
  <c r="AM138" i="15" s="1"/>
  <c r="L138" i="15"/>
  <c r="K138" i="15"/>
  <c r="N138" i="15" s="1"/>
  <c r="L136" i="15"/>
  <c r="K136" i="15"/>
  <c r="L79" i="15"/>
  <c r="K79" i="15"/>
  <c r="U82" i="15"/>
  <c r="R82" i="15"/>
  <c r="V82" i="15" s="1"/>
  <c r="Q82" i="15"/>
  <c r="P82" i="15"/>
  <c r="S82" i="15" s="1"/>
  <c r="M82" i="15"/>
  <c r="AR82" i="15" s="1"/>
  <c r="L82" i="15"/>
  <c r="K82" i="15"/>
  <c r="N82" i="15" s="1"/>
  <c r="M72" i="15"/>
  <c r="AR72" i="15" s="1"/>
  <c r="L72" i="15"/>
  <c r="K72" i="15"/>
  <c r="N72" i="15" s="1"/>
  <c r="X71" i="15"/>
  <c r="Q71" i="15"/>
  <c r="P71" i="15"/>
  <c r="L71" i="15"/>
  <c r="K71" i="15"/>
  <c r="M70" i="15"/>
  <c r="AM70" i="15" s="1"/>
  <c r="L70" i="15"/>
  <c r="K70" i="15"/>
  <c r="N70" i="15" s="1"/>
  <c r="R69" i="15"/>
  <c r="AN69" i="15" s="1"/>
  <c r="Q69" i="15"/>
  <c r="P69" i="15"/>
  <c r="S69" i="15" s="1"/>
  <c r="M69" i="15"/>
  <c r="AM69" i="15" s="1"/>
  <c r="L69" i="15"/>
  <c r="K69" i="15"/>
  <c r="N69" i="15" s="1"/>
  <c r="M68" i="15"/>
  <c r="AR68" i="15" s="1"/>
  <c r="L68" i="15"/>
  <c r="K68" i="15"/>
  <c r="N68" i="15" s="1"/>
  <c r="L67" i="15"/>
  <c r="K67" i="15"/>
  <c r="L66" i="15"/>
  <c r="K66" i="15"/>
  <c r="M65" i="15"/>
  <c r="AR65" i="15" s="1"/>
  <c r="L65" i="15"/>
  <c r="K65" i="15"/>
  <c r="N65" i="15" s="1"/>
  <c r="M64" i="15"/>
  <c r="AP64" i="15" s="1"/>
  <c r="L64" i="15"/>
  <c r="K64" i="15"/>
  <c r="N64" i="15" s="1"/>
  <c r="U63" i="15"/>
  <c r="R63" i="15"/>
  <c r="AN63" i="15" s="1"/>
  <c r="Q63" i="15"/>
  <c r="P63" i="15"/>
  <c r="S63" i="15" s="1"/>
  <c r="M63" i="15"/>
  <c r="AP63" i="15" s="1"/>
  <c r="L63" i="15"/>
  <c r="K63" i="15"/>
  <c r="N63" i="15" s="1"/>
  <c r="M62" i="15"/>
  <c r="AP62" i="15" s="1"/>
  <c r="L62" i="15"/>
  <c r="K62" i="15"/>
  <c r="N62" i="15" s="1"/>
  <c r="L61" i="15"/>
  <c r="K61" i="15"/>
  <c r="R60" i="15"/>
  <c r="AN60" i="15" s="1"/>
  <c r="Q60" i="15"/>
  <c r="P60" i="15"/>
  <c r="S60" i="15" s="1"/>
  <c r="M60" i="15"/>
  <c r="AP60" i="15" s="1"/>
  <c r="L60" i="15"/>
  <c r="K60" i="15"/>
  <c r="N60" i="15" s="1"/>
  <c r="U59" i="15"/>
  <c r="R59" i="15"/>
  <c r="V59" i="15" s="1"/>
  <c r="Q59" i="15"/>
  <c r="P59" i="15"/>
  <c r="S59" i="15" s="1"/>
  <c r="M59" i="15"/>
  <c r="AM59" i="15" s="1"/>
  <c r="L59" i="15"/>
  <c r="K59" i="15"/>
  <c r="N59" i="15" s="1"/>
  <c r="AN58" i="15"/>
  <c r="U58" i="15"/>
  <c r="R58" i="15"/>
  <c r="V58" i="15" s="1"/>
  <c r="Q58" i="15"/>
  <c r="P58" i="15"/>
  <c r="S58" i="15" s="1"/>
  <c r="M58" i="15"/>
  <c r="AM58" i="15" s="1"/>
  <c r="L58" i="15"/>
  <c r="K58" i="15"/>
  <c r="N58" i="15" s="1"/>
  <c r="AN55" i="15"/>
  <c r="U55" i="15"/>
  <c r="R55" i="15"/>
  <c r="V55" i="15" s="1"/>
  <c r="Q55" i="15"/>
  <c r="P55" i="15"/>
  <c r="S55" i="15" s="1"/>
  <c r="M55" i="15"/>
  <c r="AM55" i="15" s="1"/>
  <c r="L55" i="15"/>
  <c r="K55" i="15"/>
  <c r="N55" i="15" s="1"/>
  <c r="L161" i="15"/>
  <c r="K161" i="15"/>
  <c r="L159" i="15"/>
  <c r="K159" i="15"/>
  <c r="L158" i="15"/>
  <c r="K158" i="15"/>
  <c r="L157" i="15"/>
  <c r="K157" i="15"/>
  <c r="L156" i="15"/>
  <c r="K156" i="15"/>
  <c r="L121" i="15"/>
  <c r="K121" i="15"/>
  <c r="L155" i="15"/>
  <c r="K155" i="15"/>
  <c r="L154" i="15"/>
  <c r="K154" i="15"/>
  <c r="Q153" i="15"/>
  <c r="P153" i="15"/>
  <c r="L153" i="15"/>
  <c r="K153" i="15"/>
  <c r="L152" i="15"/>
  <c r="K152" i="15"/>
  <c r="L151" i="15"/>
  <c r="K151" i="15"/>
  <c r="Q106" i="15"/>
  <c r="P106" i="15"/>
  <c r="L106" i="15"/>
  <c r="K106" i="15"/>
  <c r="R137" i="15"/>
  <c r="AN137" i="15" s="1"/>
  <c r="Q137" i="15"/>
  <c r="P137" i="15"/>
  <c r="S137" i="15" s="1"/>
  <c r="M137" i="15"/>
  <c r="AP137" i="15" s="1"/>
  <c r="L137" i="15"/>
  <c r="K137" i="15"/>
  <c r="N137" i="15" s="1"/>
  <c r="M135" i="15"/>
  <c r="AR135" i="15" s="1"/>
  <c r="L135" i="15"/>
  <c r="K135" i="15"/>
  <c r="N135" i="15" s="1"/>
  <c r="Q134" i="15"/>
  <c r="P134" i="15"/>
  <c r="L134" i="15"/>
  <c r="K134" i="15"/>
  <c r="Q133" i="15"/>
  <c r="P133" i="15"/>
  <c r="L133" i="15"/>
  <c r="K133" i="15"/>
  <c r="R132" i="15"/>
  <c r="AN132" i="15" s="1"/>
  <c r="Q132" i="15"/>
  <c r="P132" i="15"/>
  <c r="S132" i="15" s="1"/>
  <c r="M132" i="15"/>
  <c r="AM132" i="15" s="1"/>
  <c r="L132" i="15"/>
  <c r="K132" i="15"/>
  <c r="N132" i="15" s="1"/>
  <c r="Q131" i="15"/>
  <c r="P131" i="15"/>
  <c r="L131" i="15"/>
  <c r="K131" i="15"/>
  <c r="E131" i="15"/>
  <c r="R131" i="15" s="1"/>
  <c r="AN131" i="15" s="1"/>
  <c r="R130" i="15"/>
  <c r="AN130" i="15" s="1"/>
  <c r="Q130" i="15"/>
  <c r="P130" i="15"/>
  <c r="S130" i="15" s="1"/>
  <c r="M130" i="15"/>
  <c r="AP130" i="15" s="1"/>
  <c r="L130" i="15"/>
  <c r="K130" i="15"/>
  <c r="N130" i="15" s="1"/>
  <c r="F130" i="15"/>
  <c r="U129" i="15"/>
  <c r="V129" i="15" s="1"/>
  <c r="R129" i="15"/>
  <c r="AN129" i="15" s="1"/>
  <c r="Q129" i="15"/>
  <c r="P129" i="15"/>
  <c r="S129" i="15" s="1"/>
  <c r="M129" i="15"/>
  <c r="AR129" i="15" s="1"/>
  <c r="L129" i="15"/>
  <c r="K129" i="15"/>
  <c r="N129" i="15" s="1"/>
  <c r="U128" i="15"/>
  <c r="V128" i="15" s="1"/>
  <c r="R128" i="15"/>
  <c r="AN128" i="15" s="1"/>
  <c r="Q128" i="15"/>
  <c r="P128" i="15"/>
  <c r="S128" i="15" s="1"/>
  <c r="M128" i="15"/>
  <c r="L128" i="15"/>
  <c r="K128" i="15"/>
  <c r="N128" i="15" s="1"/>
  <c r="U127" i="15"/>
  <c r="V127" i="15" s="1"/>
  <c r="R127" i="15"/>
  <c r="AN127" i="15" s="1"/>
  <c r="Q127" i="15"/>
  <c r="P127" i="15"/>
  <c r="S127" i="15" s="1"/>
  <c r="M127" i="15"/>
  <c r="AM127" i="15" s="1"/>
  <c r="L127" i="15"/>
  <c r="K127" i="15"/>
  <c r="N127" i="15" s="1"/>
  <c r="L126" i="15"/>
  <c r="K126" i="15"/>
  <c r="U125" i="15"/>
  <c r="Q125" i="15"/>
  <c r="P125" i="15"/>
  <c r="L125" i="15"/>
  <c r="K125" i="15"/>
  <c r="U123" i="15"/>
  <c r="R123" i="15"/>
  <c r="AN123" i="15" s="1"/>
  <c r="Q123" i="15"/>
  <c r="P123" i="15"/>
  <c r="S123" i="15" s="1"/>
  <c r="M123" i="15"/>
  <c r="AM123" i="15" s="1"/>
  <c r="L123" i="15"/>
  <c r="K123" i="15"/>
  <c r="N123" i="15" s="1"/>
  <c r="U122" i="15"/>
  <c r="R122" i="15"/>
  <c r="Q122" i="15"/>
  <c r="P122" i="15"/>
  <c r="S122" i="15" s="1"/>
  <c r="M122" i="15"/>
  <c r="AM122" i="15" s="1"/>
  <c r="L122" i="15"/>
  <c r="K122" i="15"/>
  <c r="N122" i="15" s="1"/>
  <c r="U120" i="15"/>
  <c r="Q120" i="15"/>
  <c r="P120" i="15"/>
  <c r="L120" i="15"/>
  <c r="K120" i="15"/>
  <c r="U119" i="15"/>
  <c r="Q119" i="15"/>
  <c r="P119" i="15"/>
  <c r="L119" i="15"/>
  <c r="K119" i="15"/>
  <c r="Q118" i="15"/>
  <c r="P118" i="15"/>
  <c r="L118" i="15"/>
  <c r="K118" i="15"/>
  <c r="L117" i="15"/>
  <c r="K117" i="15"/>
  <c r="U116" i="15"/>
  <c r="Q116" i="15"/>
  <c r="P116" i="15"/>
  <c r="L116" i="15"/>
  <c r="K116" i="15"/>
  <c r="U114" i="15"/>
  <c r="Q114" i="15"/>
  <c r="P114" i="15"/>
  <c r="L114" i="15"/>
  <c r="K114" i="15"/>
  <c r="L112" i="15"/>
  <c r="K112" i="15"/>
  <c r="U111" i="15"/>
  <c r="Q111" i="15"/>
  <c r="P111" i="15"/>
  <c r="L111" i="15"/>
  <c r="K111" i="15"/>
  <c r="U110" i="15"/>
  <c r="Q110" i="15"/>
  <c r="P110" i="15"/>
  <c r="L110" i="15"/>
  <c r="K110" i="15"/>
  <c r="U109" i="15"/>
  <c r="Q109" i="15"/>
  <c r="P109" i="15"/>
  <c r="L109" i="15"/>
  <c r="K109" i="15"/>
  <c r="E109" i="15"/>
  <c r="S109" i="15" s="1"/>
  <c r="U108" i="15"/>
  <c r="R108" i="15"/>
  <c r="AN108" i="15" s="1"/>
  <c r="Q108" i="15"/>
  <c r="P108" i="15"/>
  <c r="S108" i="15" s="1"/>
  <c r="M108" i="15"/>
  <c r="AR108" i="15" s="1"/>
  <c r="L108" i="15"/>
  <c r="K108" i="15"/>
  <c r="N108" i="15" s="1"/>
  <c r="AB107" i="15"/>
  <c r="Q107" i="15"/>
  <c r="P107" i="15"/>
  <c r="L107" i="15"/>
  <c r="K107" i="15"/>
  <c r="U105" i="15"/>
  <c r="Q105" i="15"/>
  <c r="P105" i="15"/>
  <c r="L105" i="15"/>
  <c r="K105" i="15"/>
  <c r="U104" i="15"/>
  <c r="Q104" i="15"/>
  <c r="P104" i="15"/>
  <c r="L104" i="15"/>
  <c r="K104" i="15"/>
  <c r="U103" i="15"/>
  <c r="Q103" i="15"/>
  <c r="P103" i="15"/>
  <c r="L103" i="15"/>
  <c r="K103" i="15"/>
  <c r="U102" i="15"/>
  <c r="Q102" i="15"/>
  <c r="P102" i="15"/>
  <c r="L102" i="15"/>
  <c r="K102" i="15"/>
  <c r="L101" i="15"/>
  <c r="K101" i="15"/>
  <c r="U100" i="15"/>
  <c r="Q100" i="15"/>
  <c r="P100" i="15"/>
  <c r="L100" i="15"/>
  <c r="K100" i="15"/>
  <c r="R99" i="15"/>
  <c r="AN99" i="15" s="1"/>
  <c r="Q99" i="15"/>
  <c r="P99" i="15"/>
  <c r="S99" i="15" s="1"/>
  <c r="M99" i="15"/>
  <c r="AR99" i="15" s="1"/>
  <c r="L99" i="15"/>
  <c r="K99" i="15"/>
  <c r="N99" i="15" s="1"/>
  <c r="L98" i="15"/>
  <c r="K98" i="15"/>
  <c r="Q97" i="15"/>
  <c r="P97" i="15"/>
  <c r="L97" i="15"/>
  <c r="K97" i="15"/>
  <c r="U113" i="15"/>
  <c r="Q113" i="15"/>
  <c r="P113" i="15"/>
  <c r="L113" i="15"/>
  <c r="K113" i="15"/>
  <c r="U96" i="15"/>
  <c r="Q96" i="15"/>
  <c r="P96" i="15"/>
  <c r="L96" i="15"/>
  <c r="K96" i="15"/>
  <c r="U95" i="15"/>
  <c r="Q95" i="15"/>
  <c r="P95" i="15"/>
  <c r="L95" i="15"/>
  <c r="K95" i="15"/>
  <c r="L94" i="15"/>
  <c r="K94" i="15"/>
  <c r="Q93" i="15"/>
  <c r="P93" i="15"/>
  <c r="L93" i="15"/>
  <c r="K93" i="15"/>
  <c r="Q92" i="15"/>
  <c r="P92" i="15"/>
  <c r="L92" i="15"/>
  <c r="K92" i="15"/>
  <c r="T89" i="15"/>
  <c r="U89" i="15" s="1"/>
  <c r="R89" i="15"/>
  <c r="AN89" i="15" s="1"/>
  <c r="Q89" i="15"/>
  <c r="P89" i="15"/>
  <c r="S89" i="15" s="1"/>
  <c r="M89" i="15"/>
  <c r="AM89" i="15" s="1"/>
  <c r="L89" i="15"/>
  <c r="K89" i="15"/>
  <c r="N89" i="15" s="1"/>
  <c r="L91" i="15"/>
  <c r="K91" i="15"/>
  <c r="Q90" i="15"/>
  <c r="P90" i="15"/>
  <c r="L90" i="15"/>
  <c r="K90" i="15"/>
  <c r="U88" i="15"/>
  <c r="Q88" i="15"/>
  <c r="P88" i="15"/>
  <c r="L88" i="15"/>
  <c r="K88" i="15"/>
  <c r="U87" i="15"/>
  <c r="Q87" i="15"/>
  <c r="P87" i="15"/>
  <c r="L87" i="15"/>
  <c r="K87" i="15"/>
  <c r="U86" i="15"/>
  <c r="R86" i="15"/>
  <c r="AN86" i="15" s="1"/>
  <c r="Q86" i="15"/>
  <c r="P86" i="15"/>
  <c r="S86" i="15" s="1"/>
  <c r="M86" i="15"/>
  <c r="L86" i="15"/>
  <c r="K86" i="15"/>
  <c r="N86" i="15" s="1"/>
  <c r="U85" i="15"/>
  <c r="R85" i="15"/>
  <c r="AN85" i="15" s="1"/>
  <c r="Q85" i="15"/>
  <c r="P85" i="15"/>
  <c r="S85" i="15" s="1"/>
  <c r="M85" i="15"/>
  <c r="AM85" i="15" s="1"/>
  <c r="L85" i="15"/>
  <c r="K85" i="15"/>
  <c r="N85" i="15" s="1"/>
  <c r="L84" i="15"/>
  <c r="K84" i="15"/>
  <c r="U83" i="15"/>
  <c r="Q83" i="15"/>
  <c r="P83" i="15"/>
  <c r="J83" i="15"/>
  <c r="L83" i="15" s="1"/>
  <c r="U81" i="15"/>
  <c r="R81" i="15"/>
  <c r="AN81" i="15" s="1"/>
  <c r="Q81" i="15"/>
  <c r="P81" i="15"/>
  <c r="S81" i="15" s="1"/>
  <c r="M81" i="15"/>
  <c r="AR81" i="15" s="1"/>
  <c r="L81" i="15"/>
  <c r="K81" i="15"/>
  <c r="N81" i="15" s="1"/>
  <c r="U74" i="15"/>
  <c r="Q74" i="15"/>
  <c r="P74" i="15"/>
  <c r="L74" i="15"/>
  <c r="K74" i="15"/>
  <c r="U78" i="15"/>
  <c r="R78" i="15"/>
  <c r="AN78" i="15" s="1"/>
  <c r="Q78" i="15"/>
  <c r="P78" i="15"/>
  <c r="S78" i="15" s="1"/>
  <c r="M78" i="15"/>
  <c r="AR78" i="15" s="1"/>
  <c r="L78" i="15"/>
  <c r="K78" i="15"/>
  <c r="N78" i="15" s="1"/>
  <c r="U73" i="15"/>
  <c r="Q73" i="15"/>
  <c r="P73" i="15"/>
  <c r="L73" i="15"/>
  <c r="K73" i="15"/>
  <c r="U77" i="15"/>
  <c r="Q77" i="15"/>
  <c r="P77" i="15"/>
  <c r="L77" i="15"/>
  <c r="K77" i="15"/>
  <c r="U75" i="15"/>
  <c r="Q75" i="15"/>
  <c r="P75" i="15"/>
  <c r="J75" i="15"/>
  <c r="K75" i="15" s="1"/>
  <c r="U76" i="15"/>
  <c r="Q76" i="15"/>
  <c r="P76" i="15"/>
  <c r="L76" i="15"/>
  <c r="K76" i="15"/>
  <c r="U80" i="15"/>
  <c r="Q80" i="15"/>
  <c r="P80" i="15"/>
  <c r="L80" i="15"/>
  <c r="K80" i="15"/>
  <c r="M57" i="15"/>
  <c r="AM57" i="15" s="1"/>
  <c r="L57" i="15"/>
  <c r="K57" i="15"/>
  <c r="N57" i="15" s="1"/>
  <c r="M56" i="15"/>
  <c r="AR56" i="15" s="1"/>
  <c r="L56" i="15"/>
  <c r="K56" i="15"/>
  <c r="N56" i="15" s="1"/>
  <c r="U54" i="15"/>
  <c r="R54" i="15"/>
  <c r="AN54" i="15" s="1"/>
  <c r="Q54" i="15"/>
  <c r="P54" i="15"/>
  <c r="S54" i="15" s="1"/>
  <c r="M54" i="15"/>
  <c r="AP54" i="15" s="1"/>
  <c r="L54" i="15"/>
  <c r="K54" i="15"/>
  <c r="N54" i="15" s="1"/>
  <c r="U53" i="15"/>
  <c r="R53" i="15"/>
  <c r="Q53" i="15"/>
  <c r="P53" i="15"/>
  <c r="S53" i="15" s="1"/>
  <c r="M53" i="15"/>
  <c r="AM53" i="15" s="1"/>
  <c r="L53" i="15"/>
  <c r="K53" i="15"/>
  <c r="N53" i="15" s="1"/>
  <c r="AR52" i="15"/>
  <c r="U52" i="15"/>
  <c r="R52" i="15"/>
  <c r="Q52" i="15"/>
  <c r="P52" i="15"/>
  <c r="S52" i="15" s="1"/>
  <c r="M52" i="15"/>
  <c r="AM52" i="15" s="1"/>
  <c r="L52" i="15"/>
  <c r="K52" i="15"/>
  <c r="N52" i="15" s="1"/>
  <c r="L51" i="15"/>
  <c r="K51" i="15"/>
  <c r="M50" i="15"/>
  <c r="AM50" i="15" s="1"/>
  <c r="L50" i="15"/>
  <c r="K50" i="15"/>
  <c r="N50" i="15" s="1"/>
  <c r="U49" i="15"/>
  <c r="R49" i="15"/>
  <c r="AN49" i="15" s="1"/>
  <c r="Q49" i="15"/>
  <c r="P49" i="15"/>
  <c r="S49" i="15" s="1"/>
  <c r="M49" i="15"/>
  <c r="AM49" i="15" s="1"/>
  <c r="L49" i="15"/>
  <c r="K49" i="15"/>
  <c r="N49" i="15" s="1"/>
  <c r="L48" i="15"/>
  <c r="K48" i="15"/>
  <c r="L47" i="15"/>
  <c r="K47" i="15"/>
  <c r="R46" i="15"/>
  <c r="AN46" i="15" s="1"/>
  <c r="Q46" i="15"/>
  <c r="P46" i="15"/>
  <c r="S46" i="15" s="1"/>
  <c r="M46" i="15"/>
  <c r="AR46" i="15" s="1"/>
  <c r="L46" i="15"/>
  <c r="K46" i="15"/>
  <c r="N46" i="15" s="1"/>
  <c r="M45" i="15"/>
  <c r="L45" i="15"/>
  <c r="K45" i="15"/>
  <c r="N45" i="15" s="1"/>
  <c r="U44" i="15"/>
  <c r="R44" i="15"/>
  <c r="AN44" i="15" s="1"/>
  <c r="Q44" i="15"/>
  <c r="P44" i="15"/>
  <c r="S44" i="15" s="1"/>
  <c r="M44" i="15"/>
  <c r="AP44" i="15" s="1"/>
  <c r="L44" i="15"/>
  <c r="K44" i="15"/>
  <c r="N44" i="15" s="1"/>
  <c r="U43" i="15"/>
  <c r="Q43" i="15"/>
  <c r="P43" i="15"/>
  <c r="L43" i="15"/>
  <c r="K43" i="15"/>
  <c r="H43" i="15"/>
  <c r="U42" i="15"/>
  <c r="Q42" i="15"/>
  <c r="P42" i="15"/>
  <c r="L42" i="15"/>
  <c r="K42" i="15"/>
  <c r="H42" i="15"/>
  <c r="L41" i="15"/>
  <c r="K41" i="15"/>
  <c r="U40" i="15"/>
  <c r="Q40" i="15"/>
  <c r="P40" i="15"/>
  <c r="L40" i="15"/>
  <c r="K40" i="15"/>
  <c r="L39" i="15"/>
  <c r="K39" i="15"/>
  <c r="L38" i="15"/>
  <c r="K38" i="15"/>
  <c r="T37" i="15"/>
  <c r="U37" i="15" s="1"/>
  <c r="Q37" i="15"/>
  <c r="P37" i="15"/>
  <c r="L37" i="15"/>
  <c r="K37" i="15"/>
  <c r="L36" i="15"/>
  <c r="K36" i="15"/>
  <c r="U35" i="15"/>
  <c r="Q35" i="15"/>
  <c r="P35" i="15"/>
  <c r="L35" i="15"/>
  <c r="K35" i="15"/>
  <c r="U34" i="15"/>
  <c r="Q34" i="15"/>
  <c r="P34" i="15"/>
  <c r="L34" i="15"/>
  <c r="K34" i="15"/>
  <c r="AR32" i="15"/>
  <c r="AP32" i="15"/>
  <c r="U32" i="15"/>
  <c r="R32" i="15"/>
  <c r="Q32" i="15"/>
  <c r="P32" i="15"/>
  <c r="S32" i="15" s="1"/>
  <c r="M32" i="15"/>
  <c r="AM32" i="15" s="1"/>
  <c r="L32" i="15"/>
  <c r="K32" i="15"/>
  <c r="N32" i="15" s="1"/>
  <c r="Q33" i="15"/>
  <c r="P33" i="15"/>
  <c r="L33" i="15"/>
  <c r="K33" i="15"/>
  <c r="L31" i="15"/>
  <c r="K31" i="15"/>
  <c r="L30" i="15"/>
  <c r="K30" i="15"/>
  <c r="Q29" i="15"/>
  <c r="P29" i="15"/>
  <c r="L29" i="15"/>
  <c r="K29" i="15"/>
  <c r="Q115" i="15"/>
  <c r="P115" i="15"/>
  <c r="L115" i="15"/>
  <c r="K115" i="15"/>
  <c r="T28" i="15"/>
  <c r="Q28" i="15"/>
  <c r="P28" i="15"/>
  <c r="L28" i="15"/>
  <c r="K28" i="15"/>
  <c r="L27" i="15"/>
  <c r="K27" i="15"/>
  <c r="U26" i="15"/>
  <c r="Q26" i="15"/>
  <c r="P26" i="15"/>
  <c r="L26" i="15"/>
  <c r="K26" i="15"/>
  <c r="U25" i="15"/>
  <c r="Q25" i="15"/>
  <c r="P25" i="15"/>
  <c r="L25" i="15"/>
  <c r="K25" i="15"/>
  <c r="Q24" i="15"/>
  <c r="P24" i="15"/>
  <c r="L24" i="15"/>
  <c r="K24" i="15"/>
  <c r="U23" i="15"/>
  <c r="Q23" i="15"/>
  <c r="P23" i="15"/>
  <c r="L23" i="15"/>
  <c r="K23" i="15"/>
  <c r="U22" i="15"/>
  <c r="Q22" i="15"/>
  <c r="P22" i="15"/>
  <c r="L22" i="15"/>
  <c r="K22" i="15"/>
  <c r="T21" i="15"/>
  <c r="R21" i="15"/>
  <c r="AN21" i="15" s="1"/>
  <c r="Q21" i="15"/>
  <c r="P21" i="15"/>
  <c r="S21" i="15" s="1"/>
  <c r="M21" i="15"/>
  <c r="AR21" i="15" s="1"/>
  <c r="L21" i="15"/>
  <c r="K21" i="15"/>
  <c r="N21" i="15" s="1"/>
  <c r="T20" i="15"/>
  <c r="U20" i="15" s="1"/>
  <c r="R20" i="15"/>
  <c r="Q20" i="15"/>
  <c r="P20" i="15"/>
  <c r="S20" i="15" s="1"/>
  <c r="M20" i="15"/>
  <c r="AP20" i="15" s="1"/>
  <c r="L20" i="15"/>
  <c r="K20" i="15"/>
  <c r="N20" i="15" s="1"/>
  <c r="R19" i="15"/>
  <c r="AN19" i="15" s="1"/>
  <c r="Q19" i="15"/>
  <c r="P19" i="15"/>
  <c r="S19" i="15" s="1"/>
  <c r="M19" i="15"/>
  <c r="AP19" i="15" s="1"/>
  <c r="L19" i="15"/>
  <c r="K19" i="15"/>
  <c r="N19" i="15" s="1"/>
  <c r="R18" i="15"/>
  <c r="AN18" i="15" s="1"/>
  <c r="Q18" i="15"/>
  <c r="P18" i="15"/>
  <c r="S18" i="15" s="1"/>
  <c r="M18" i="15"/>
  <c r="AM18" i="15" s="1"/>
  <c r="L18" i="15"/>
  <c r="K18" i="15"/>
  <c r="N18" i="15" s="1"/>
  <c r="T17" i="15"/>
  <c r="R17" i="15"/>
  <c r="AN17" i="15" s="1"/>
  <c r="Q17" i="15"/>
  <c r="P17" i="15"/>
  <c r="S17" i="15" s="1"/>
  <c r="M17" i="15"/>
  <c r="L17" i="15"/>
  <c r="K17" i="15"/>
  <c r="N17" i="15" s="1"/>
  <c r="T16" i="15"/>
  <c r="R16" i="15"/>
  <c r="AN16" i="15" s="1"/>
  <c r="Q16" i="15"/>
  <c r="P16" i="15"/>
  <c r="S16" i="15" s="1"/>
  <c r="M16" i="15"/>
  <c r="AR16" i="15" s="1"/>
  <c r="L16" i="15"/>
  <c r="K16" i="15"/>
  <c r="N16" i="15" s="1"/>
  <c r="U14" i="15"/>
  <c r="R14" i="15"/>
  <c r="AN14" i="15" s="1"/>
  <c r="Q14" i="15"/>
  <c r="P14" i="15"/>
  <c r="S14" i="15" s="1"/>
  <c r="M14" i="15"/>
  <c r="L14" i="15"/>
  <c r="K14" i="15"/>
  <c r="N14" i="15" s="1"/>
  <c r="U15" i="15"/>
  <c r="Q15" i="15"/>
  <c r="P15" i="15"/>
  <c r="L15" i="15"/>
  <c r="K15" i="15"/>
  <c r="T12" i="15"/>
  <c r="R12" i="15"/>
  <c r="AN12" i="15" s="1"/>
  <c r="Q12" i="15"/>
  <c r="P12" i="15"/>
  <c r="S12" i="15" s="1"/>
  <c r="M12" i="15"/>
  <c r="AM12" i="15" s="1"/>
  <c r="L12" i="15"/>
  <c r="K12" i="15"/>
  <c r="N12" i="15" s="1"/>
  <c r="Q13" i="15"/>
  <c r="P13" i="15"/>
  <c r="L13" i="15"/>
  <c r="K13" i="15"/>
  <c r="T11" i="15"/>
  <c r="U11" i="15" s="1"/>
  <c r="R11" i="15"/>
  <c r="AN11" i="15" s="1"/>
  <c r="Q11" i="15"/>
  <c r="P11" i="15"/>
  <c r="S11" i="15" s="1"/>
  <c r="M11" i="15"/>
  <c r="AR11" i="15" s="1"/>
  <c r="L11" i="15"/>
  <c r="K11" i="15"/>
  <c r="N11" i="15" s="1"/>
  <c r="U10" i="15"/>
  <c r="Q10" i="15"/>
  <c r="P10" i="15"/>
  <c r="L10" i="15"/>
  <c r="K10" i="15"/>
  <c r="E10" i="15"/>
  <c r="M10" i="15" s="1"/>
  <c r="U9" i="15"/>
  <c r="Q9" i="15"/>
  <c r="P9" i="15"/>
  <c r="L9" i="15"/>
  <c r="K9" i="15"/>
  <c r="Q8" i="15"/>
  <c r="P8" i="15"/>
  <c r="L8" i="15"/>
  <c r="K8" i="15"/>
  <c r="R7" i="15"/>
  <c r="AN7" i="15" s="1"/>
  <c r="Q7" i="15"/>
  <c r="P7" i="15"/>
  <c r="S7" i="15" s="1"/>
  <c r="M7" i="15"/>
  <c r="AR7" i="15" s="1"/>
  <c r="L7" i="15"/>
  <c r="K7" i="15"/>
  <c r="N7" i="15" s="1"/>
  <c r="T6" i="15"/>
  <c r="R6" i="15"/>
  <c r="AN6" i="15" s="1"/>
  <c r="Q6" i="15"/>
  <c r="P6" i="15"/>
  <c r="S6" i="15" s="1"/>
  <c r="M6" i="15"/>
  <c r="L6" i="15"/>
  <c r="K6" i="15"/>
  <c r="N6" i="15" s="1"/>
  <c r="AU5" i="15"/>
  <c r="T5" i="15"/>
  <c r="U5" i="15" s="1"/>
  <c r="R5" i="15"/>
  <c r="AN5" i="15" s="1"/>
  <c r="Q5" i="15"/>
  <c r="P5" i="15"/>
  <c r="S5" i="15" s="1"/>
  <c r="M5" i="15"/>
  <c r="L5" i="15"/>
  <c r="K5" i="15"/>
  <c r="N5" i="15" s="1"/>
  <c r="AU4" i="15"/>
  <c r="U4" i="15"/>
  <c r="T4" i="15"/>
  <c r="R4" i="15"/>
  <c r="AN4" i="15" s="1"/>
  <c r="Q4" i="15"/>
  <c r="P4" i="15"/>
  <c r="S4" i="15" s="1"/>
  <c r="M4" i="15"/>
  <c r="L4" i="15"/>
  <c r="K4" i="15"/>
  <c r="N4" i="15" s="1"/>
  <c r="AU3" i="15"/>
  <c r="T3" i="15"/>
  <c r="U3" i="15" s="1"/>
  <c r="R3" i="15"/>
  <c r="AN3" i="15" s="1"/>
  <c r="Q3" i="15"/>
  <c r="P3" i="15"/>
  <c r="S3" i="15" s="1"/>
  <c r="M3" i="15"/>
  <c r="AM3" i="15" s="1"/>
  <c r="L3" i="15"/>
  <c r="K3" i="15"/>
  <c r="N3" i="15" s="1"/>
  <c r="R227" i="1"/>
  <c r="R223" i="1"/>
  <c r="R208" i="1"/>
  <c r="R204" i="1"/>
  <c r="R203" i="1"/>
  <c r="R201" i="1"/>
  <c r="R200" i="1"/>
  <c r="R199" i="1"/>
  <c r="R197" i="1"/>
  <c r="R194" i="1"/>
  <c r="R190" i="1"/>
  <c r="R184" i="1"/>
  <c r="R179" i="1"/>
  <c r="R180" i="1"/>
  <c r="R181" i="1"/>
  <c r="R178" i="1"/>
  <c r="M179" i="1"/>
  <c r="M180" i="1"/>
  <c r="M181" i="1"/>
  <c r="M183" i="1"/>
  <c r="M184" i="1"/>
  <c r="M185" i="1"/>
  <c r="M186" i="1"/>
  <c r="M189" i="1"/>
  <c r="M190" i="1"/>
  <c r="M191" i="1"/>
  <c r="M193" i="1"/>
  <c r="M194" i="1"/>
  <c r="M197" i="1"/>
  <c r="M199" i="1"/>
  <c r="M200" i="1"/>
  <c r="M201" i="1"/>
  <c r="M203" i="1"/>
  <c r="M204" i="1"/>
  <c r="M206" i="1"/>
  <c r="M207" i="1"/>
  <c r="M208" i="1"/>
  <c r="M209" i="1"/>
  <c r="M211" i="1"/>
  <c r="M212" i="1"/>
  <c r="M213" i="1"/>
  <c r="M214" i="1"/>
  <c r="M215" i="1"/>
  <c r="M216" i="1"/>
  <c r="M222" i="1"/>
  <c r="M223" i="1"/>
  <c r="M227" i="1"/>
  <c r="M230" i="1"/>
  <c r="M231" i="1"/>
  <c r="M234" i="1"/>
  <c r="M235" i="1"/>
  <c r="M237" i="1"/>
  <c r="M240" i="1"/>
  <c r="M178" i="1"/>
  <c r="R108" i="1"/>
  <c r="R109" i="1"/>
  <c r="R110" i="1"/>
  <c r="R112" i="1"/>
  <c r="R102" i="1"/>
  <c r="R103" i="1"/>
  <c r="R104" i="1"/>
  <c r="R91" i="1"/>
  <c r="R69" i="1"/>
  <c r="R116" i="1"/>
  <c r="R107" i="1"/>
  <c r="R83" i="1"/>
  <c r="R74" i="1"/>
  <c r="R68" i="1"/>
  <c r="R64" i="1"/>
  <c r="R65" i="1"/>
  <c r="R55" i="1"/>
  <c r="R54" i="1"/>
  <c r="R53" i="1"/>
  <c r="R50" i="1"/>
  <c r="R47" i="1"/>
  <c r="R45" i="1"/>
  <c r="R34" i="1"/>
  <c r="R4" i="1"/>
  <c r="R5" i="1"/>
  <c r="R6" i="1"/>
  <c r="R7" i="1"/>
  <c r="R11" i="1"/>
  <c r="R13" i="1"/>
  <c r="R15" i="1"/>
  <c r="R16" i="1"/>
  <c r="R17" i="1"/>
  <c r="R18" i="1"/>
  <c r="R19" i="1"/>
  <c r="R20" i="1"/>
  <c r="R21" i="1"/>
  <c r="R3" i="1"/>
  <c r="M4" i="1"/>
  <c r="M5" i="1"/>
  <c r="M6" i="1"/>
  <c r="M7" i="1"/>
  <c r="M11" i="1"/>
  <c r="M13" i="1"/>
  <c r="M15" i="1"/>
  <c r="M16" i="1"/>
  <c r="M17" i="1"/>
  <c r="M18" i="1"/>
  <c r="M19" i="1"/>
  <c r="M20" i="1"/>
  <c r="M21" i="1"/>
  <c r="M34" i="1"/>
  <c r="M45" i="1"/>
  <c r="M46" i="1"/>
  <c r="M47" i="1"/>
  <c r="M50" i="1"/>
  <c r="M51" i="1"/>
  <c r="M53" i="1"/>
  <c r="M54" i="1"/>
  <c r="M55" i="1"/>
  <c r="M56" i="1"/>
  <c r="M57" i="1"/>
  <c r="M64" i="1"/>
  <c r="M65" i="1"/>
  <c r="M68" i="1"/>
  <c r="M69" i="1"/>
  <c r="M74" i="1"/>
  <c r="M83" i="1"/>
  <c r="M91" i="1"/>
  <c r="M102" i="1"/>
  <c r="M103" i="1"/>
  <c r="M104" i="1"/>
  <c r="M107" i="1"/>
  <c r="M108" i="1"/>
  <c r="M109" i="1"/>
  <c r="M110" i="1"/>
  <c r="M112" i="1"/>
  <c r="M115" i="1"/>
  <c r="M116" i="1"/>
  <c r="M3" i="1"/>
  <c r="AP85" i="15" l="1"/>
  <c r="AP50" i="15"/>
  <c r="V4" i="15"/>
  <c r="AR12" i="15"/>
  <c r="AP138" i="15"/>
  <c r="AM146" i="15"/>
  <c r="V17" i="15"/>
  <c r="AR146" i="15"/>
  <c r="M246" i="1"/>
  <c r="V6" i="15"/>
  <c r="AR50" i="15"/>
  <c r="V85" i="15"/>
  <c r="AP108" i="15"/>
  <c r="V63" i="15"/>
  <c r="AN82" i="15"/>
  <c r="AR141" i="15"/>
  <c r="AR145" i="15"/>
  <c r="V16" i="15"/>
  <c r="U17" i="15"/>
  <c r="AM99" i="15"/>
  <c r="AM60" i="15"/>
  <c r="AM20" i="15"/>
  <c r="AM135" i="15"/>
  <c r="U6" i="15"/>
  <c r="V54" i="15"/>
  <c r="AP135" i="15"/>
  <c r="K147" i="15"/>
  <c r="AP56" i="15"/>
  <c r="V14" i="15"/>
  <c r="V11" i="15"/>
  <c r="U16" i="15"/>
  <c r="AR20" i="15"/>
  <c r="V44" i="15"/>
  <c r="M109" i="15"/>
  <c r="AP109" i="15" s="1"/>
  <c r="AN140" i="15"/>
  <c r="AP11" i="15"/>
  <c r="V89" i="15"/>
  <c r="AR130" i="15"/>
  <c r="AP141" i="15"/>
  <c r="V149" i="15"/>
  <c r="L184" i="15"/>
  <c r="V78" i="15"/>
  <c r="AM78" i="15"/>
  <c r="AM21" i="15"/>
  <c r="AM129" i="15"/>
  <c r="AR59" i="15"/>
  <c r="AP21" i="15"/>
  <c r="AP53" i="15"/>
  <c r="AP122" i="15"/>
  <c r="AR60" i="15"/>
  <c r="AP140" i="15"/>
  <c r="V3" i="15"/>
  <c r="V5" i="15"/>
  <c r="S10" i="15"/>
  <c r="AR18" i="15"/>
  <c r="V49" i="15"/>
  <c r="AR53" i="15"/>
  <c r="AM56" i="15"/>
  <c r="N109" i="15"/>
  <c r="AM109" i="15"/>
  <c r="AR122" i="15"/>
  <c r="AP132" i="15"/>
  <c r="AR138" i="15"/>
  <c r="AR140" i="15"/>
  <c r="AR70" i="15"/>
  <c r="AM7" i="15"/>
  <c r="AM11" i="15"/>
  <c r="AP16" i="15"/>
  <c r="AR54" i="15"/>
  <c r="L75" i="15"/>
  <c r="V86" i="15"/>
  <c r="V108" i="15"/>
  <c r="AP127" i="15"/>
  <c r="AR137" i="15"/>
  <c r="AN59" i="15"/>
  <c r="AM16" i="15"/>
  <c r="AP7" i="15"/>
  <c r="AP12" i="15"/>
  <c r="AP52" i="15"/>
  <c r="AR57" i="15"/>
  <c r="R109" i="15"/>
  <c r="AR127" i="15"/>
  <c r="AP59" i="15"/>
  <c r="AR69" i="15"/>
  <c r="AM150" i="15"/>
  <c r="AR62" i="15"/>
  <c r="AP69" i="15"/>
  <c r="AP70" i="15"/>
  <c r="AN141" i="15"/>
  <c r="AR142" i="15"/>
  <c r="AP145" i="15"/>
  <c r="AM82" i="15"/>
  <c r="AM63" i="15"/>
  <c r="AM68" i="15"/>
  <c r="AP55" i="15"/>
  <c r="AR58" i="15"/>
  <c r="AM64" i="15"/>
  <c r="AP65" i="15"/>
  <c r="AP68" i="15"/>
  <c r="AP82" i="15"/>
  <c r="V142" i="15"/>
  <c r="AM147" i="15"/>
  <c r="AM149" i="15"/>
  <c r="AM151" i="15"/>
  <c r="K193" i="15"/>
  <c r="AP58" i="15"/>
  <c r="AM65" i="15"/>
  <c r="AR55" i="15"/>
  <c r="AM72" i="15"/>
  <c r="AM62" i="15"/>
  <c r="AR63" i="15"/>
  <c r="AR64" i="15"/>
  <c r="AP72" i="15"/>
  <c r="AR147" i="15"/>
  <c r="AR149" i="15"/>
  <c r="AR150" i="15"/>
  <c r="AR151" i="15"/>
  <c r="AM142" i="15"/>
  <c r="AR10" i="15"/>
  <c r="AP10" i="15"/>
  <c r="AN53" i="15"/>
  <c r="V53" i="15"/>
  <c r="AR14" i="15"/>
  <c r="AP14" i="15"/>
  <c r="AR49" i="15"/>
  <c r="AP49" i="15"/>
  <c r="AR17" i="15"/>
  <c r="AM17" i="15"/>
  <c r="V21" i="15"/>
  <c r="AP6" i="15"/>
  <c r="AM6" i="15"/>
  <c r="AR6" i="15"/>
  <c r="AR19" i="15"/>
  <c r="AM19" i="15"/>
  <c r="AP4" i="15"/>
  <c r="AR4" i="15"/>
  <c r="AM4" i="15"/>
  <c r="AP3" i="15"/>
  <c r="AR3" i="15"/>
  <c r="AP5" i="15"/>
  <c r="AM5" i="15"/>
  <c r="AR5" i="15"/>
  <c r="AP17" i="15"/>
  <c r="V12" i="15"/>
  <c r="U12" i="15"/>
  <c r="AR45" i="15"/>
  <c r="AP45" i="15"/>
  <c r="AM45" i="15"/>
  <c r="V52" i="15"/>
  <c r="AN52" i="15"/>
  <c r="AP128" i="15"/>
  <c r="AR128" i="15"/>
  <c r="AM128" i="15"/>
  <c r="AM14" i="15"/>
  <c r="AM46" i="15"/>
  <c r="AP46" i="15"/>
  <c r="N10" i="15"/>
  <c r="R10" i="15"/>
  <c r="V32" i="15"/>
  <c r="AN32" i="15"/>
  <c r="AM10" i="15"/>
  <c r="AN20" i="15"/>
  <c r="V20" i="15"/>
  <c r="V81" i="15"/>
  <c r="AP18" i="15"/>
  <c r="AR44" i="15"/>
  <c r="AP57" i="15"/>
  <c r="AR89" i="15"/>
  <c r="AP89" i="15"/>
  <c r="AM108" i="15"/>
  <c r="M131" i="15"/>
  <c r="N131" i="15"/>
  <c r="AP123" i="15"/>
  <c r="AR123" i="15"/>
  <c r="AM54" i="15"/>
  <c r="K83" i="15"/>
  <c r="AR86" i="15"/>
  <c r="AP86" i="15"/>
  <c r="AM86" i="15"/>
  <c r="V122" i="15"/>
  <c r="AN122" i="15"/>
  <c r="AR132" i="15"/>
  <c r="AM81" i="15"/>
  <c r="U28" i="15"/>
  <c r="S131" i="15"/>
  <c r="AM44" i="15"/>
  <c r="AP129" i="15"/>
  <c r="U21" i="15"/>
  <c r="AR85" i="15"/>
  <c r="V123" i="15"/>
  <c r="AM130" i="15"/>
  <c r="AM137" i="15"/>
  <c r="AP99" i="15"/>
  <c r="A147" i="1"/>
  <c r="J291" i="1"/>
  <c r="I291" i="1"/>
  <c r="J292" i="1"/>
  <c r="I292" i="1"/>
  <c r="AR109" i="15" l="1"/>
  <c r="AN109" i="15"/>
  <c r="V109" i="15"/>
  <c r="AN10" i="15"/>
  <c r="V10" i="15"/>
  <c r="AP131" i="15"/>
  <c r="AR131" i="15"/>
  <c r="AM131" i="15"/>
  <c r="C60" i="5"/>
  <c r="C58" i="5"/>
  <c r="C56" i="5"/>
  <c r="D278" i="1"/>
  <c r="D276" i="1"/>
  <c r="D274" i="1"/>
  <c r="D156" i="1"/>
  <c r="D154" i="1"/>
  <c r="D152" i="1"/>
  <c r="D60" i="5"/>
  <c r="D56" i="5"/>
  <c r="D58" i="5"/>
  <c r="E278" i="1"/>
  <c r="E42" i="19" s="1"/>
  <c r="D158" i="1" l="1"/>
  <c r="D280" i="1"/>
  <c r="D62" i="5"/>
  <c r="W73" i="5"/>
  <c r="C62" i="5"/>
  <c r="D295" i="1" s="1"/>
  <c r="D292" i="1" l="1"/>
  <c r="O274" i="1"/>
  <c r="O270" i="1"/>
  <c r="O166" i="1"/>
  <c r="O170" i="1"/>
  <c r="AM18" i="5" l="1"/>
  <c r="AM26" i="5" l="1"/>
  <c r="AM4" i="5"/>
  <c r="AM5" i="5"/>
  <c r="AM6" i="5"/>
  <c r="AM7" i="5"/>
  <c r="AM8" i="5"/>
  <c r="AM9" i="5"/>
  <c r="AM11" i="5"/>
  <c r="AM12" i="5"/>
  <c r="AM13" i="5"/>
  <c r="AM14" i="5"/>
  <c r="AM20" i="5"/>
  <c r="AM21" i="5"/>
  <c r="AM22" i="5"/>
  <c r="AM23" i="5"/>
  <c r="AM24" i="5"/>
  <c r="AM25" i="5"/>
  <c r="AM16" i="5"/>
  <c r="AM17" i="5"/>
  <c r="AM15" i="5"/>
  <c r="AM19" i="5"/>
  <c r="AM27" i="5"/>
  <c r="AM3" i="5"/>
  <c r="G55" i="12" l="1"/>
  <c r="H55" i="12"/>
  <c r="H54" i="12"/>
  <c r="G54" i="12"/>
  <c r="AU5" i="1" l="1"/>
  <c r="AU4" i="1"/>
  <c r="AU3" i="1"/>
  <c r="AJ4" i="5"/>
  <c r="AJ5" i="5"/>
  <c r="AJ6" i="5"/>
  <c r="AK6" i="5" s="1"/>
  <c r="AJ7" i="5"/>
  <c r="AK7" i="5" s="1"/>
  <c r="AJ8" i="5"/>
  <c r="AJ9" i="5"/>
  <c r="AJ11" i="5"/>
  <c r="AJ12" i="5"/>
  <c r="AJ13" i="5"/>
  <c r="AJ14" i="5"/>
  <c r="AJ20" i="5"/>
  <c r="AJ21" i="5"/>
  <c r="AJ22" i="5"/>
  <c r="AJ23" i="5"/>
  <c r="AJ24" i="5"/>
  <c r="AJ25" i="5"/>
  <c r="AJ26" i="5"/>
  <c r="AJ16" i="5"/>
  <c r="AK16" i="5" s="1"/>
  <c r="AJ17" i="5"/>
  <c r="AK17" i="5" s="1"/>
  <c r="AJ15" i="5"/>
  <c r="AJ19" i="5"/>
  <c r="AJ27" i="5"/>
  <c r="AJ18" i="5"/>
  <c r="AJ3" i="5"/>
  <c r="AO245" i="1"/>
  <c r="AQ245" i="1"/>
  <c r="AO246" i="1"/>
  <c r="AQ246" i="1"/>
  <c r="AL8" i="5" l="1"/>
  <c r="AK8" i="5"/>
  <c r="AL20" i="5"/>
  <c r="AK20" i="5"/>
  <c r="AL14" i="5"/>
  <c r="AK14" i="5"/>
  <c r="AK26" i="5"/>
  <c r="AL26" i="5"/>
  <c r="AK13" i="5"/>
  <c r="Y77" i="5" s="1"/>
  <c r="AL13" i="5"/>
  <c r="AC77" i="5" s="1"/>
  <c r="AL5" i="5"/>
  <c r="AK5" i="5"/>
  <c r="AL15" i="5"/>
  <c r="AK15" i="5"/>
  <c r="AK4" i="5"/>
  <c r="AL4" i="5"/>
  <c r="AK11" i="5"/>
  <c r="AL11" i="5"/>
  <c r="AK27" i="5"/>
  <c r="AL27" i="5"/>
  <c r="AL3" i="5"/>
  <c r="AK3" i="5"/>
  <c r="AK12" i="5"/>
  <c r="Y76" i="5" s="1"/>
  <c r="AL12" i="5"/>
  <c r="AC76" i="5" s="1"/>
  <c r="AK18" i="5"/>
  <c r="AL18" i="5"/>
  <c r="AL19" i="5"/>
  <c r="AK19" i="5"/>
  <c r="AL9" i="5"/>
  <c r="AK9" i="5"/>
  <c r="AO250" i="1"/>
  <c r="AQ250" i="1"/>
  <c r="AO251" i="1"/>
  <c r="AQ251" i="1"/>
  <c r="AO255" i="1" l="1"/>
  <c r="AQ255" i="1"/>
  <c r="AO256" i="1"/>
  <c r="AQ256" i="1"/>
  <c r="AO265" i="1"/>
  <c r="AQ265" i="1"/>
  <c r="AO266" i="1"/>
  <c r="AQ266" i="1"/>
  <c r="AO274" i="1"/>
  <c r="AQ274" i="1"/>
  <c r="AO275" i="1"/>
  <c r="AQ275" i="1"/>
  <c r="AL275" i="1"/>
  <c r="AL274" i="1"/>
  <c r="AL266" i="1"/>
  <c r="AL265" i="1"/>
  <c r="AL256" i="1"/>
  <c r="AL255" i="1"/>
  <c r="AL251" i="1"/>
  <c r="AL250" i="1"/>
  <c r="AL246" i="1"/>
  <c r="AL245" i="1"/>
  <c r="AN178" i="1"/>
  <c r="AL146" i="1"/>
  <c r="AO146" i="1"/>
  <c r="AQ146" i="1"/>
  <c r="AL147" i="1"/>
  <c r="AO147" i="1"/>
  <c r="AQ147" i="1"/>
  <c r="AL151" i="1"/>
  <c r="AO151" i="1"/>
  <c r="AQ151" i="1"/>
  <c r="AL152" i="1"/>
  <c r="AO152" i="1"/>
  <c r="AQ152" i="1"/>
  <c r="AL156" i="1"/>
  <c r="AO156" i="1"/>
  <c r="AQ156" i="1"/>
  <c r="AL157" i="1"/>
  <c r="AO157" i="1"/>
  <c r="AQ157" i="1"/>
  <c r="AL161" i="1"/>
  <c r="AO161" i="1"/>
  <c r="AQ161" i="1"/>
  <c r="AL162" i="1"/>
  <c r="AO162" i="1"/>
  <c r="AQ162" i="1"/>
  <c r="AL166" i="1"/>
  <c r="AO166" i="1"/>
  <c r="AQ166" i="1"/>
  <c r="AL170" i="1"/>
  <c r="AO170" i="1"/>
  <c r="AQ170" i="1"/>
  <c r="AK170" i="1"/>
  <c r="AK166" i="1"/>
  <c r="AK162" i="1"/>
  <c r="AK161" i="1"/>
  <c r="AK157" i="1"/>
  <c r="AK156" i="1"/>
  <c r="AK152" i="1"/>
  <c r="AK151" i="1"/>
  <c r="AK147" i="1"/>
  <c r="AK146" i="1"/>
  <c r="T67" i="5"/>
  <c r="T66" i="5"/>
  <c r="T55" i="5"/>
  <c r="T54" i="5"/>
  <c r="T49" i="5"/>
  <c r="T45" i="5"/>
  <c r="S55" i="5"/>
  <c r="S54" i="5"/>
  <c r="I62" i="5"/>
  <c r="N62" i="5"/>
  <c r="Q80" i="1"/>
  <c r="U200" i="1"/>
  <c r="U199" i="1"/>
  <c r="U197" i="1"/>
  <c r="U194" i="1"/>
  <c r="U201" i="1"/>
  <c r="U184" i="1"/>
  <c r="U180" i="1"/>
  <c r="U179" i="1"/>
  <c r="V178" i="1"/>
  <c r="U178" i="1"/>
  <c r="P178" i="1"/>
  <c r="Q178" i="1"/>
  <c r="U107" i="1"/>
  <c r="V107" i="1" s="1"/>
  <c r="U108" i="1"/>
  <c r="V108" i="1" s="1"/>
  <c r="U102" i="1"/>
  <c r="U101" i="1"/>
  <c r="U97" i="1"/>
  <c r="U94" i="1"/>
  <c r="U92" i="1"/>
  <c r="U91" i="1"/>
  <c r="U88" i="1"/>
  <c r="U87" i="1"/>
  <c r="U86" i="1"/>
  <c r="U84" i="1"/>
  <c r="U80" i="1"/>
  <c r="U79" i="1"/>
  <c r="U78" i="1"/>
  <c r="I56" i="5"/>
  <c r="N56" i="5"/>
  <c r="S178" i="1" l="1"/>
  <c r="U70" i="1"/>
  <c r="U71" i="1"/>
  <c r="U69" i="1"/>
  <c r="U65" i="1"/>
  <c r="U61" i="1"/>
  <c r="U55" i="1"/>
  <c r="U54" i="1"/>
  <c r="U53" i="1"/>
  <c r="U45" i="1"/>
  <c r="U44" i="1"/>
  <c r="U43" i="1"/>
  <c r="U41" i="1"/>
  <c r="U36" i="1"/>
  <c r="U35" i="1"/>
  <c r="U26" i="1"/>
  <c r="U25" i="1"/>
  <c r="U23" i="1"/>
  <c r="U22" i="1"/>
  <c r="D42" i="5"/>
  <c r="U63" i="1"/>
  <c r="U60" i="1"/>
  <c r="U64" i="1"/>
  <c r="U62" i="1"/>
  <c r="U58" i="1"/>
  <c r="U50" i="1"/>
  <c r="U105" i="1"/>
  <c r="U93" i="1"/>
  <c r="U96" i="1"/>
  <c r="U103" i="1"/>
  <c r="AD129" i="2" l="1"/>
  <c r="BD239" i="1"/>
  <c r="BD238" i="1"/>
  <c r="BD237" i="1"/>
  <c r="BB232" i="1"/>
  <c r="BD234" i="1"/>
  <c r="BD233" i="1"/>
  <c r="BD232" i="1"/>
  <c r="BG216" i="1"/>
  <c r="AB260" i="1"/>
  <c r="Z260" i="1"/>
  <c r="AA260" i="1" s="1"/>
  <c r="D49" i="5"/>
  <c r="D45" i="5"/>
  <c r="AI148" i="1"/>
  <c r="AH148" i="1"/>
  <c r="AG148" i="1"/>
  <c r="AG147" i="1"/>
  <c r="U14" i="1"/>
  <c r="U15" i="1"/>
  <c r="U10" i="1"/>
  <c r="U9" i="1"/>
  <c r="U34" i="1"/>
  <c r="U19" i="2"/>
  <c r="BD240" i="1" l="1"/>
  <c r="BD235" i="1"/>
  <c r="U64" i="5"/>
  <c r="U61" i="5"/>
  <c r="U62" i="5"/>
  <c r="U63" i="5"/>
  <c r="U60" i="5"/>
  <c r="U59" i="5"/>
  <c r="U56" i="5"/>
  <c r="U57" i="5"/>
  <c r="U58" i="5"/>
  <c r="U55" i="5"/>
  <c r="U54" i="5"/>
  <c r="U50" i="5"/>
  <c r="U49" i="5"/>
  <c r="U53" i="5"/>
  <c r="U52" i="5"/>
  <c r="U51" i="5"/>
  <c r="N60" i="5"/>
  <c r="N61" i="5"/>
  <c r="I61" i="5"/>
  <c r="I60" i="5"/>
  <c r="N54" i="5"/>
  <c r="N55" i="5"/>
  <c r="I55" i="5"/>
  <c r="I54" i="5"/>
  <c r="V153" i="2"/>
  <c r="V152" i="2"/>
  <c r="V151" i="2"/>
  <c r="V150" i="2"/>
  <c r="V149" i="2"/>
  <c r="V178" i="2"/>
  <c r="V181" i="2"/>
  <c r="V180" i="2"/>
  <c r="V179" i="2"/>
  <c r="Z178" i="2"/>
  <c r="Y178" i="2"/>
  <c r="X178" i="2"/>
  <c r="W178" i="2"/>
  <c r="V177" i="2"/>
  <c r="V176" i="2"/>
  <c r="V175" i="2"/>
  <c r="V174" i="2"/>
  <c r="V173" i="2"/>
  <c r="V172" i="2"/>
  <c r="V171" i="2"/>
  <c r="V170" i="2"/>
  <c r="V169" i="2"/>
  <c r="V168" i="2"/>
  <c r="V167" i="2"/>
  <c r="V166" i="2"/>
  <c r="V165" i="2"/>
  <c r="V164" i="2"/>
  <c r="V163" i="2"/>
  <c r="V162" i="2"/>
  <c r="V161" i="2"/>
  <c r="V160" i="2"/>
  <c r="V159" i="2"/>
  <c r="V158" i="2"/>
  <c r="V148" i="2"/>
  <c r="V147" i="2"/>
  <c r="V146" i="2"/>
  <c r="V145" i="2"/>
  <c r="V144" i="2"/>
  <c r="V143" i="2"/>
  <c r="V142" i="2"/>
  <c r="V141" i="2"/>
  <c r="V140" i="2"/>
  <c r="V139" i="2"/>
  <c r="V138" i="2"/>
  <c r="V137" i="2"/>
  <c r="V136" i="2"/>
  <c r="V135" i="2"/>
  <c r="V134" i="2"/>
  <c r="V133" i="2"/>
  <c r="V132" i="2"/>
  <c r="V131" i="2"/>
  <c r="V130" i="2"/>
  <c r="V129" i="2"/>
  <c r="O170" i="2"/>
  <c r="O171" i="2"/>
  <c r="J136" i="2"/>
  <c r="O136" i="2"/>
  <c r="O172" i="2"/>
  <c r="N57" i="5"/>
  <c r="I57" i="5"/>
  <c r="O173" i="2"/>
  <c r="O143" i="2" l="1"/>
  <c r="O144" i="2"/>
  <c r="O138" i="2"/>
  <c r="O139" i="2"/>
  <c r="J139" i="2"/>
  <c r="J138" i="2"/>
  <c r="O133" i="2"/>
  <c r="O134" i="2"/>
  <c r="O141" i="2"/>
  <c r="J141" i="2"/>
  <c r="O135" i="2"/>
  <c r="O145" i="2"/>
  <c r="O140" i="2"/>
  <c r="O146" i="2"/>
  <c r="J140" i="2"/>
  <c r="J134" i="2" l="1"/>
  <c r="J133" i="2"/>
  <c r="O128" i="2"/>
  <c r="O129" i="2"/>
  <c r="J135" i="2"/>
  <c r="O130" i="2"/>
  <c r="O131" i="2"/>
  <c r="J129" i="2" l="1"/>
  <c r="J128" i="2"/>
  <c r="J131" i="2"/>
  <c r="J130" i="2"/>
  <c r="AD134" i="2" l="1"/>
  <c r="V55" i="2"/>
  <c r="V56" i="2"/>
  <c r="V57" i="2"/>
  <c r="V58" i="2"/>
  <c r="V59" i="2"/>
  <c r="V60" i="2"/>
  <c r="V61" i="2"/>
  <c r="V62" i="2"/>
  <c r="V63" i="2"/>
  <c r="V64" i="2"/>
  <c r="V65" i="2"/>
  <c r="V66" i="2"/>
  <c r="V67" i="2"/>
  <c r="V68" i="2"/>
  <c r="V69" i="2"/>
  <c r="V70" i="2"/>
  <c r="V71" i="2"/>
  <c r="V72" i="2"/>
  <c r="V73" i="2"/>
  <c r="O68" i="2"/>
  <c r="O69" i="2"/>
  <c r="J69" i="2"/>
  <c r="J68" i="2"/>
  <c r="O58" i="2"/>
  <c r="O59" i="2"/>
  <c r="O60" i="2"/>
  <c r="O61" i="2"/>
  <c r="J59" i="2" l="1"/>
  <c r="J58" i="2"/>
  <c r="O63" i="2"/>
  <c r="O64" i="2"/>
  <c r="J60" i="2"/>
  <c r="J61" i="2"/>
  <c r="T60" i="2" l="1"/>
  <c r="J64" i="2"/>
  <c r="J63" i="2"/>
  <c r="O53" i="2"/>
  <c r="O54" i="2"/>
  <c r="J54" i="2" l="1"/>
  <c r="J53" i="2"/>
  <c r="J220" i="4"/>
  <c r="K220" i="4"/>
  <c r="L220" i="4"/>
  <c r="M220" i="4"/>
  <c r="N220" i="4"/>
  <c r="O220" i="4"/>
  <c r="P220" i="4"/>
  <c r="Q220" i="4"/>
  <c r="R220" i="4"/>
  <c r="J221" i="4"/>
  <c r="K221" i="4"/>
  <c r="L221" i="4"/>
  <c r="M221" i="4"/>
  <c r="N221" i="4"/>
  <c r="O221" i="4"/>
  <c r="P221" i="4"/>
  <c r="Q221" i="4"/>
  <c r="R221" i="4"/>
  <c r="I221" i="4"/>
  <c r="I220" i="4"/>
  <c r="J215" i="4"/>
  <c r="K215" i="4"/>
  <c r="L215" i="4"/>
  <c r="M215" i="4"/>
  <c r="N215" i="4"/>
  <c r="O215" i="4"/>
  <c r="P215" i="4"/>
  <c r="Q215" i="4"/>
  <c r="R215" i="4"/>
  <c r="J216" i="4"/>
  <c r="K216" i="4"/>
  <c r="L216" i="4"/>
  <c r="M216" i="4"/>
  <c r="N216" i="4"/>
  <c r="O216" i="4"/>
  <c r="P216" i="4"/>
  <c r="Q216" i="4"/>
  <c r="R216" i="4"/>
  <c r="I216" i="4"/>
  <c r="I215" i="4"/>
  <c r="J210" i="4"/>
  <c r="K210" i="4"/>
  <c r="L210" i="4"/>
  <c r="M210" i="4"/>
  <c r="N210" i="4"/>
  <c r="O210" i="4"/>
  <c r="P210" i="4"/>
  <c r="Q210" i="4"/>
  <c r="R210" i="4"/>
  <c r="J211" i="4"/>
  <c r="K211" i="4"/>
  <c r="L211" i="4"/>
  <c r="M211" i="4"/>
  <c r="N211" i="4"/>
  <c r="O211" i="4"/>
  <c r="P211" i="4"/>
  <c r="Q211" i="4"/>
  <c r="R211" i="4"/>
  <c r="I211" i="4"/>
  <c r="I210" i="4"/>
  <c r="J205" i="4"/>
  <c r="K205" i="4"/>
  <c r="L205" i="4"/>
  <c r="M205" i="4"/>
  <c r="N205" i="4"/>
  <c r="O205" i="4"/>
  <c r="P205" i="4"/>
  <c r="Q205" i="4"/>
  <c r="R205" i="4"/>
  <c r="J206" i="4"/>
  <c r="K206" i="4"/>
  <c r="L206" i="4"/>
  <c r="M206" i="4"/>
  <c r="N206" i="4"/>
  <c r="O206" i="4"/>
  <c r="P206" i="4"/>
  <c r="Q206" i="4"/>
  <c r="R206" i="4"/>
  <c r="I206" i="4"/>
  <c r="I205" i="4"/>
  <c r="J200" i="4"/>
  <c r="K200" i="4"/>
  <c r="L200" i="4"/>
  <c r="M200" i="4"/>
  <c r="N200" i="4"/>
  <c r="O200" i="4"/>
  <c r="P200" i="4"/>
  <c r="Q200" i="4"/>
  <c r="R200" i="4"/>
  <c r="J201" i="4"/>
  <c r="K201" i="4"/>
  <c r="L201" i="4"/>
  <c r="M201" i="4"/>
  <c r="N201" i="4"/>
  <c r="O201" i="4"/>
  <c r="P201" i="4"/>
  <c r="Q201" i="4"/>
  <c r="R201" i="4"/>
  <c r="I201" i="4"/>
  <c r="I200" i="4"/>
  <c r="U225" i="4"/>
  <c r="U224" i="4"/>
  <c r="U223" i="4"/>
  <c r="M208" i="4"/>
  <c r="I212" i="4"/>
  <c r="R208" i="4"/>
  <c r="L223" i="4"/>
  <c r="N217" i="4"/>
  <c r="N202" i="4"/>
  <c r="L212" i="4"/>
  <c r="M213" i="4"/>
  <c r="P213" i="4"/>
  <c r="P217" i="4"/>
  <c r="P202" i="4"/>
  <c r="R202" i="4"/>
  <c r="O222" i="4"/>
  <c r="M212" i="4"/>
  <c r="M223" i="4"/>
  <c r="K208" i="4"/>
  <c r="Q223" i="4"/>
  <c r="Q207" i="4"/>
  <c r="O203" i="4"/>
  <c r="N213" i="4"/>
  <c r="J212" i="4"/>
  <c r="I208" i="4"/>
  <c r="O202" i="4"/>
  <c r="J208" i="4"/>
  <c r="L207" i="4"/>
  <c r="K212" i="4"/>
  <c r="O213" i="4"/>
  <c r="R203" i="4"/>
  <c r="M218" i="4"/>
  <c r="P212" i="4"/>
  <c r="L202" i="4"/>
  <c r="P207" i="4"/>
  <c r="R222" i="4"/>
  <c r="K222" i="4"/>
  <c r="O207" i="4"/>
  <c r="O217" i="4"/>
  <c r="Q212" i="4"/>
  <c r="I218" i="4"/>
  <c r="L218" i="4"/>
  <c r="J218" i="4"/>
  <c r="Q202" i="4"/>
  <c r="L217" i="4"/>
  <c r="J202" i="4"/>
  <c r="Q213" i="4"/>
  <c r="Q217" i="4"/>
  <c r="L208" i="4"/>
  <c r="N207" i="4"/>
  <c r="O223" i="4"/>
  <c r="K203" i="4"/>
  <c r="I202" i="4"/>
  <c r="L222" i="4"/>
  <c r="I213" i="4"/>
  <c r="K202" i="4"/>
  <c r="J207" i="4"/>
  <c r="M217" i="4"/>
  <c r="R223" i="4"/>
  <c r="J222" i="4"/>
  <c r="R207" i="4"/>
  <c r="R218" i="4"/>
  <c r="N223" i="4"/>
  <c r="J213" i="4"/>
  <c r="K223" i="4"/>
  <c r="R212" i="4"/>
  <c r="K217" i="4"/>
  <c r="I217" i="4"/>
  <c r="M203" i="4"/>
  <c r="R213" i="4"/>
  <c r="M222" i="4"/>
  <c r="P223" i="4"/>
  <c r="O218" i="4"/>
  <c r="N222" i="4"/>
  <c r="Q203" i="4"/>
  <c r="M202" i="4"/>
  <c r="K207" i="4"/>
  <c r="L203" i="4"/>
  <c r="P208" i="4"/>
  <c r="I222" i="4"/>
  <c r="K218" i="4"/>
  <c r="J203" i="4"/>
  <c r="P218" i="4"/>
  <c r="I203" i="4"/>
  <c r="I207" i="4"/>
  <c r="N218" i="4"/>
  <c r="M207" i="4"/>
  <c r="K213" i="4"/>
  <c r="J217" i="4"/>
  <c r="N208" i="4"/>
  <c r="Q218" i="4"/>
  <c r="P203" i="4"/>
  <c r="N203" i="4"/>
  <c r="Q222" i="4"/>
  <c r="J223" i="4"/>
  <c r="O208" i="4"/>
  <c r="L213" i="4"/>
  <c r="P222" i="4"/>
  <c r="I223" i="4"/>
  <c r="Q208" i="4"/>
  <c r="R217" i="4"/>
  <c r="N212" i="4"/>
  <c r="O212" i="4"/>
  <c r="V225" i="4" l="1"/>
  <c r="W225" i="4" s="1"/>
  <c r="X225" i="4"/>
  <c r="Y225" i="4"/>
  <c r="Z225" i="4" s="1"/>
  <c r="AA225" i="4"/>
  <c r="U222" i="4"/>
  <c r="V224" i="4" l="1"/>
  <c r="W224" i="4" s="1"/>
  <c r="X224" i="4"/>
  <c r="Y224" i="4"/>
  <c r="Z224" i="4" s="1"/>
  <c r="AA224" i="4"/>
  <c r="U221" i="4"/>
  <c r="AA223" i="4"/>
  <c r="Y223" i="4"/>
  <c r="Z223" i="4" s="1"/>
  <c r="X223" i="4"/>
  <c r="V223" i="4"/>
  <c r="W223" i="4" s="1"/>
  <c r="U220" i="4"/>
  <c r="AA222" i="4"/>
  <c r="Y222" i="4"/>
  <c r="Z222" i="4" s="1"/>
  <c r="X222" i="4"/>
  <c r="V222" i="4"/>
  <c r="W222" i="4" s="1"/>
  <c r="U219" i="4"/>
  <c r="U218" i="4"/>
  <c r="V220" i="4" l="1"/>
  <c r="W220" i="4" s="1"/>
  <c r="X220" i="4"/>
  <c r="Y220" i="4"/>
  <c r="Z220" i="4" s="1"/>
  <c r="AA220" i="4"/>
  <c r="U217" i="4"/>
  <c r="V219" i="4" l="1"/>
  <c r="W219" i="4" s="1"/>
  <c r="X219" i="4"/>
  <c r="Y219" i="4"/>
  <c r="Z219" i="4" s="1"/>
  <c r="AA219" i="4"/>
  <c r="U216" i="4"/>
  <c r="AA218" i="4"/>
  <c r="Y218" i="4"/>
  <c r="Z218" i="4" s="1"/>
  <c r="X218" i="4"/>
  <c r="V218" i="4"/>
  <c r="W218" i="4" s="1"/>
  <c r="U215" i="4"/>
  <c r="AA217" i="4"/>
  <c r="Y217" i="4"/>
  <c r="Z217" i="4" s="1"/>
  <c r="X217" i="4"/>
  <c r="V217" i="4"/>
  <c r="W217" i="4" s="1"/>
  <c r="U214" i="4"/>
  <c r="U213" i="4"/>
  <c r="V215" i="4" l="1"/>
  <c r="W215" i="4" s="1"/>
  <c r="X215" i="4"/>
  <c r="Y215" i="4"/>
  <c r="Z215" i="4" s="1"/>
  <c r="AA215" i="4"/>
  <c r="U212" i="4"/>
  <c r="V214" i="4" l="1"/>
  <c r="W214" i="4" s="1"/>
  <c r="X214" i="4"/>
  <c r="Y214" i="4"/>
  <c r="Z214" i="4" s="1"/>
  <c r="AA214" i="4"/>
  <c r="AA213" i="4"/>
  <c r="Y213" i="4"/>
  <c r="Z213" i="4" s="1"/>
  <c r="X213" i="4"/>
  <c r="V213" i="4"/>
  <c r="W213" i="4" s="1"/>
  <c r="U210" i="4"/>
  <c r="AA212" i="4"/>
  <c r="Y212" i="4"/>
  <c r="Z212" i="4" s="1"/>
  <c r="X212" i="4"/>
  <c r="V212" i="4"/>
  <c r="W212" i="4" s="1"/>
  <c r="U209" i="4"/>
  <c r="U208" i="4"/>
  <c r="V210" i="4" l="1"/>
  <c r="W210" i="4" s="1"/>
  <c r="X210" i="4"/>
  <c r="Y210" i="4"/>
  <c r="Z210" i="4" s="1"/>
  <c r="AA210" i="4"/>
  <c r="U207" i="4"/>
  <c r="V209" i="4" l="1"/>
  <c r="W209" i="4" s="1"/>
  <c r="X209" i="4"/>
  <c r="Y209" i="4"/>
  <c r="Z209" i="4" s="1"/>
  <c r="AA209" i="4"/>
  <c r="AA208" i="4"/>
  <c r="Y208" i="4"/>
  <c r="Z208" i="4" s="1"/>
  <c r="X208" i="4"/>
  <c r="V208" i="4"/>
  <c r="W208" i="4" s="1"/>
  <c r="U205" i="4"/>
  <c r="AA207" i="4"/>
  <c r="Y207" i="4"/>
  <c r="Z207" i="4" s="1"/>
  <c r="X207" i="4"/>
  <c r="V207" i="4"/>
  <c r="W207" i="4" s="1"/>
  <c r="U204" i="4"/>
  <c r="U203" i="4"/>
  <c r="V205" i="4" l="1"/>
  <c r="W205" i="4" s="1"/>
  <c r="X205" i="4"/>
  <c r="Y205" i="4"/>
  <c r="Z205" i="4" s="1"/>
  <c r="AA205" i="4"/>
  <c r="U202" i="4"/>
  <c r="V204" i="4" l="1"/>
  <c r="W204" i="4" s="1"/>
  <c r="X204" i="4"/>
  <c r="Y204" i="4"/>
  <c r="Z204" i="4" s="1"/>
  <c r="AA204" i="4"/>
  <c r="U201" i="4"/>
  <c r="AA203" i="4"/>
  <c r="Y203" i="4"/>
  <c r="Z203" i="4" s="1"/>
  <c r="X203" i="4"/>
  <c r="V203" i="4"/>
  <c r="W203" i="4" s="1"/>
  <c r="AA202" i="4"/>
  <c r="Y202" i="4"/>
  <c r="Z202" i="4" s="1"/>
  <c r="X202" i="4"/>
  <c r="V202" i="4"/>
  <c r="W202" i="4" s="1"/>
  <c r="U132" i="3"/>
  <c r="U127" i="3"/>
  <c r="U122" i="3"/>
  <c r="U136" i="3"/>
  <c r="U135" i="3"/>
  <c r="U134" i="3"/>
  <c r="U133" i="3"/>
  <c r="U131" i="3"/>
  <c r="U130" i="3"/>
  <c r="U129" i="3"/>
  <c r="U128" i="3"/>
  <c r="U126" i="3"/>
  <c r="U125" i="3"/>
  <c r="U124" i="3"/>
  <c r="U123" i="3"/>
  <c r="U121" i="3"/>
  <c r="U120" i="3"/>
  <c r="U119" i="3"/>
  <c r="U118" i="3"/>
  <c r="U117" i="3"/>
  <c r="O156" i="1"/>
  <c r="O157" i="1"/>
  <c r="O161" i="1"/>
  <c r="O162" i="1"/>
  <c r="J162" i="1"/>
  <c r="J131" i="3"/>
  <c r="K131" i="3"/>
  <c r="L131" i="3"/>
  <c r="V133" i="3" s="1"/>
  <c r="W133" i="3" s="1"/>
  <c r="M131" i="3"/>
  <c r="X133" i="3" s="1"/>
  <c r="N131" i="3"/>
  <c r="O131" i="3"/>
  <c r="P131" i="3"/>
  <c r="Q131" i="3"/>
  <c r="Y133" i="3" s="1"/>
  <c r="Z133" i="3" s="1"/>
  <c r="R131" i="3"/>
  <c r="AA133" i="3" s="1"/>
  <c r="J132" i="3"/>
  <c r="K132" i="3"/>
  <c r="L132" i="3"/>
  <c r="V134" i="3" s="1"/>
  <c r="W134" i="3" s="1"/>
  <c r="M132" i="3"/>
  <c r="X134" i="3" s="1"/>
  <c r="N132" i="3"/>
  <c r="O132" i="3"/>
  <c r="P132" i="3"/>
  <c r="Q132" i="3"/>
  <c r="Y134" i="3" s="1"/>
  <c r="Z134" i="3" s="1"/>
  <c r="R132" i="3"/>
  <c r="AA134" i="3" s="1"/>
  <c r="I132" i="3"/>
  <c r="I131" i="3"/>
  <c r="J126" i="3"/>
  <c r="K126" i="3"/>
  <c r="L126" i="3"/>
  <c r="V128" i="3" s="1"/>
  <c r="W128" i="3" s="1"/>
  <c r="M126" i="3"/>
  <c r="X128" i="3" s="1"/>
  <c r="N126" i="3"/>
  <c r="O126" i="3"/>
  <c r="P126" i="3"/>
  <c r="Q126" i="3"/>
  <c r="Y128" i="3" s="1"/>
  <c r="Z128" i="3" s="1"/>
  <c r="R126" i="3"/>
  <c r="AA128" i="3" s="1"/>
  <c r="J127" i="3"/>
  <c r="K127" i="3"/>
  <c r="L127" i="3"/>
  <c r="V129" i="3" s="1"/>
  <c r="W129" i="3" s="1"/>
  <c r="M127" i="3"/>
  <c r="X129" i="3" s="1"/>
  <c r="N127" i="3"/>
  <c r="O127" i="3"/>
  <c r="P127" i="3"/>
  <c r="Q127" i="3"/>
  <c r="Y129" i="3" s="1"/>
  <c r="Z129" i="3" s="1"/>
  <c r="R127" i="3"/>
  <c r="AA129" i="3" s="1"/>
  <c r="I127" i="3"/>
  <c r="I126" i="3"/>
  <c r="J122" i="3"/>
  <c r="K122" i="3"/>
  <c r="L122" i="3"/>
  <c r="V124" i="3" s="1"/>
  <c r="W124" i="3" s="1"/>
  <c r="M122" i="3"/>
  <c r="X124" i="3" s="1"/>
  <c r="N122" i="3"/>
  <c r="O122" i="3"/>
  <c r="P122" i="3"/>
  <c r="Q122" i="3"/>
  <c r="Y124" i="3" s="1"/>
  <c r="Z124" i="3" s="1"/>
  <c r="R122" i="3"/>
  <c r="AA124" i="3" s="1"/>
  <c r="I122" i="3"/>
  <c r="J121" i="3"/>
  <c r="K121" i="3"/>
  <c r="L121" i="3"/>
  <c r="V123" i="3" s="1"/>
  <c r="W123" i="3" s="1"/>
  <c r="M121" i="3"/>
  <c r="X123" i="3" s="1"/>
  <c r="N121" i="3"/>
  <c r="O121" i="3"/>
  <c r="P121" i="3"/>
  <c r="Q121" i="3"/>
  <c r="Y123" i="3" s="1"/>
  <c r="Z123" i="3" s="1"/>
  <c r="R121" i="3"/>
  <c r="AA123" i="3" s="1"/>
  <c r="I121" i="3"/>
  <c r="J117" i="3"/>
  <c r="K117" i="3"/>
  <c r="L117" i="3"/>
  <c r="V119" i="3" s="1"/>
  <c r="W119" i="3" s="1"/>
  <c r="M117" i="3"/>
  <c r="X119" i="3" s="1"/>
  <c r="N117" i="3"/>
  <c r="O117" i="3"/>
  <c r="P117" i="3"/>
  <c r="Q117" i="3"/>
  <c r="Y119" i="3" s="1"/>
  <c r="Z119" i="3" s="1"/>
  <c r="R117" i="3"/>
  <c r="AA119" i="3" s="1"/>
  <c r="I117" i="3"/>
  <c r="J116" i="3"/>
  <c r="K116" i="3"/>
  <c r="L116" i="3"/>
  <c r="V118" i="3" s="1"/>
  <c r="W118" i="3" s="1"/>
  <c r="M116" i="3"/>
  <c r="X118" i="3" s="1"/>
  <c r="N116" i="3"/>
  <c r="O116" i="3"/>
  <c r="P116" i="3"/>
  <c r="Q116" i="3"/>
  <c r="Y118" i="3" s="1"/>
  <c r="Z118" i="3" s="1"/>
  <c r="R116" i="3"/>
  <c r="AA118" i="3" s="1"/>
  <c r="I116" i="3"/>
  <c r="J129" i="3"/>
  <c r="I123" i="3"/>
  <c r="L119" i="3"/>
  <c r="J128" i="3"/>
  <c r="I128" i="3"/>
  <c r="K123" i="3"/>
  <c r="M124" i="3"/>
  <c r="J133" i="3"/>
  <c r="N128" i="3"/>
  <c r="K134" i="3"/>
  <c r="I129" i="3"/>
  <c r="O123" i="3"/>
  <c r="M119" i="3"/>
  <c r="N118" i="3"/>
  <c r="Q133" i="3"/>
  <c r="M128" i="3"/>
  <c r="J134" i="3"/>
  <c r="M118" i="3"/>
  <c r="M134" i="3"/>
  <c r="R134" i="3"/>
  <c r="R124" i="3"/>
  <c r="O128" i="3"/>
  <c r="I118" i="3"/>
  <c r="L134" i="3"/>
  <c r="N123" i="3"/>
  <c r="P123" i="3"/>
  <c r="J124" i="3"/>
  <c r="I124" i="3"/>
  <c r="L124" i="3"/>
  <c r="L129" i="3"/>
  <c r="Q118" i="3"/>
  <c r="P118" i="3"/>
  <c r="P119" i="3"/>
  <c r="N129" i="3"/>
  <c r="K128" i="3"/>
  <c r="L133" i="3"/>
  <c r="M133" i="3"/>
  <c r="K118" i="3"/>
  <c r="K124" i="3"/>
  <c r="P124" i="3"/>
  <c r="L118" i="3"/>
  <c r="R123" i="3"/>
  <c r="I119" i="3"/>
  <c r="Q128" i="3"/>
  <c r="N134" i="3"/>
  <c r="I134" i="3"/>
  <c r="K129" i="3"/>
  <c r="N124" i="3"/>
  <c r="P133" i="3"/>
  <c r="Q123" i="3"/>
  <c r="R129" i="3"/>
  <c r="Q124" i="3"/>
  <c r="P134" i="3"/>
  <c r="M129" i="3"/>
  <c r="O124" i="3"/>
  <c r="O118" i="3"/>
  <c r="J118" i="3"/>
  <c r="O134" i="3"/>
  <c r="P128" i="3"/>
  <c r="M123" i="3"/>
  <c r="K119" i="3"/>
  <c r="J123" i="3"/>
  <c r="L123" i="3"/>
  <c r="R118" i="3"/>
  <c r="P129" i="3"/>
  <c r="Q134" i="3"/>
  <c r="R128" i="3"/>
  <c r="O133" i="3"/>
  <c r="R133" i="3"/>
  <c r="O119" i="3"/>
  <c r="L128" i="3"/>
  <c r="I133" i="3"/>
  <c r="N119" i="3"/>
  <c r="Q129" i="3"/>
  <c r="J119" i="3"/>
  <c r="K133" i="3"/>
  <c r="Q119" i="3"/>
  <c r="O129" i="3"/>
  <c r="N133" i="3"/>
  <c r="R119" i="3"/>
  <c r="Y120" i="3" l="1"/>
  <c r="Z120" i="3" s="1"/>
  <c r="X120" i="3"/>
  <c r="Y121" i="3"/>
  <c r="Z121" i="3" s="1"/>
  <c r="X121" i="3"/>
  <c r="Y125" i="3"/>
  <c r="Z125" i="3" s="1"/>
  <c r="X125" i="3"/>
  <c r="Y126" i="3"/>
  <c r="Z126" i="3" s="1"/>
  <c r="X126" i="3"/>
  <c r="AA131" i="3"/>
  <c r="V131" i="3"/>
  <c r="W131" i="3" s="1"/>
  <c r="Y130" i="3"/>
  <c r="Z130" i="3" s="1"/>
  <c r="X130" i="3"/>
  <c r="AA136" i="3"/>
  <c r="V136" i="3"/>
  <c r="W136" i="3" s="1"/>
  <c r="Y135" i="3"/>
  <c r="Z135" i="3" s="1"/>
  <c r="X135" i="3"/>
  <c r="AA120" i="3"/>
  <c r="V120" i="3"/>
  <c r="W120" i="3" s="1"/>
  <c r="AA121" i="3"/>
  <c r="V121" i="3"/>
  <c r="W121" i="3" s="1"/>
  <c r="AA125" i="3"/>
  <c r="V125" i="3"/>
  <c r="W125" i="3" s="1"/>
  <c r="AA126" i="3"/>
  <c r="V126" i="3"/>
  <c r="W126" i="3" s="1"/>
  <c r="Y131" i="3"/>
  <c r="Z131" i="3" s="1"/>
  <c r="X131" i="3"/>
  <c r="AA130" i="3"/>
  <c r="V130" i="3"/>
  <c r="W130" i="3" s="1"/>
  <c r="Y136" i="3"/>
  <c r="Z136" i="3" s="1"/>
  <c r="X136" i="3"/>
  <c r="AA135" i="3"/>
  <c r="V135" i="3"/>
  <c r="W135" i="3" s="1"/>
  <c r="AP294" i="1" l="1"/>
  <c r="AY295" i="1" s="1"/>
  <c r="AP286" i="1"/>
  <c r="AN295" i="1"/>
  <c r="AN294" i="1"/>
  <c r="AN291" i="1"/>
  <c r="AX292" i="1" s="1"/>
  <c r="AN289" i="1"/>
  <c r="AN288" i="1"/>
  <c r="AN286" i="1"/>
  <c r="AL296" i="1"/>
  <c r="AW297" i="1" s="1"/>
  <c r="AL295" i="1"/>
  <c r="AW296" i="1" s="1"/>
  <c r="AL294" i="1"/>
  <c r="AW295" i="1" s="1"/>
  <c r="AL293" i="1"/>
  <c r="AW294" i="1" s="1"/>
  <c r="AL291" i="1"/>
  <c r="AW292" i="1" s="1"/>
  <c r="AL290" i="1"/>
  <c r="AW291" i="1" s="1"/>
  <c r="AL289" i="1"/>
  <c r="AW290" i="1" s="1"/>
  <c r="AL288" i="1"/>
  <c r="AW289" i="1" s="1"/>
  <c r="AL287" i="1"/>
  <c r="AL286" i="1"/>
  <c r="AJ297" i="1"/>
  <c r="AV297" i="1" s="1"/>
  <c r="AJ296" i="1"/>
  <c r="AR295" i="1" s="1"/>
  <c r="AJ295" i="1"/>
  <c r="AJ294" i="1"/>
  <c r="AR293" i="1" s="1"/>
  <c r="AJ292" i="1"/>
  <c r="AV292" i="1" s="1"/>
  <c r="AJ291" i="1"/>
  <c r="AV291" i="1" s="1"/>
  <c r="AJ290" i="1"/>
  <c r="AR289" i="1" s="1"/>
  <c r="AJ289" i="1"/>
  <c r="AR288" i="1" s="1"/>
  <c r="AJ288" i="1"/>
  <c r="AJ287" i="1"/>
  <c r="W289" i="1"/>
  <c r="AF289" i="1" s="1"/>
  <c r="W286" i="1"/>
  <c r="U286" i="1"/>
  <c r="S291" i="1"/>
  <c r="AD291" i="1" s="1"/>
  <c r="S286" i="1"/>
  <c r="Q293" i="1"/>
  <c r="Q291" i="1"/>
  <c r="AC291" i="1" s="1"/>
  <c r="Q286" i="1"/>
  <c r="AR294" i="1"/>
  <c r="BC301" i="1"/>
  <c r="O279" i="1"/>
  <c r="O280" i="1"/>
  <c r="O265" i="1"/>
  <c r="O266" i="1"/>
  <c r="O255" i="1"/>
  <c r="O256" i="1"/>
  <c r="J256" i="1"/>
  <c r="J255" i="1"/>
  <c r="O260" i="1"/>
  <c r="O261" i="1"/>
  <c r="O250" i="1"/>
  <c r="O251" i="1"/>
  <c r="J251" i="1"/>
  <c r="J250" i="1"/>
  <c r="J161" i="1"/>
  <c r="O151" i="1"/>
  <c r="O152" i="1"/>
  <c r="O147" i="1"/>
  <c r="J147" i="1"/>
  <c r="O146" i="1"/>
  <c r="J146" i="1"/>
  <c r="O257" i="1"/>
  <c r="O268" i="1"/>
  <c r="O267" i="1"/>
  <c r="AM291" i="1" l="1"/>
  <c r="AS292" i="1" s="1"/>
  <c r="AM294" i="1"/>
  <c r="AS295" i="1" s="1"/>
  <c r="AM295" i="1"/>
  <c r="AS296" i="1" s="1"/>
  <c r="AM288" i="1"/>
  <c r="AS289" i="1" s="1"/>
  <c r="AM289" i="1"/>
  <c r="AS290" i="1" s="1"/>
  <c r="AM293" i="1"/>
  <c r="AS294" i="1" s="1"/>
  <c r="AM290" i="1"/>
  <c r="AS291" i="1" s="1"/>
  <c r="AM296" i="1"/>
  <c r="AS297" i="1" s="1"/>
  <c r="AL297" i="1"/>
  <c r="AM297" i="1" s="1"/>
  <c r="AS298" i="1" s="1"/>
  <c r="AJ298" i="1"/>
  <c r="AV298" i="1" s="1"/>
  <c r="AR297" i="1"/>
  <c r="AV289" i="1"/>
  <c r="AX289" i="1"/>
  <c r="AV290" i="1"/>
  <c r="AX290" i="1"/>
  <c r="AV294" i="1"/>
  <c r="AV295" i="1"/>
  <c r="AX295" i="1"/>
  <c r="AV296" i="1"/>
  <c r="AX296" i="1"/>
  <c r="AR290" i="1"/>
  <c r="AR291" i="1"/>
  <c r="AR296" i="1"/>
  <c r="AC293" i="1"/>
  <c r="J16" i="5"/>
  <c r="M16" i="5" s="1"/>
  <c r="K16" i="5"/>
  <c r="J17" i="5"/>
  <c r="M17" i="5" s="1"/>
  <c r="K17" i="5"/>
  <c r="O4" i="5"/>
  <c r="R4" i="5" s="1"/>
  <c r="P4" i="5"/>
  <c r="J4" i="5"/>
  <c r="M4" i="5" s="1"/>
  <c r="K4" i="5"/>
  <c r="O5" i="5"/>
  <c r="R5" i="5" s="1"/>
  <c r="P5" i="5"/>
  <c r="J5" i="5"/>
  <c r="M5" i="5" s="1"/>
  <c r="K5" i="5"/>
  <c r="N22" i="5"/>
  <c r="P22" i="5" s="1"/>
  <c r="N21" i="5"/>
  <c r="I21" i="5"/>
  <c r="G24" i="5"/>
  <c r="G25" i="5"/>
  <c r="G23" i="5"/>
  <c r="I24" i="5"/>
  <c r="I25" i="5"/>
  <c r="I23" i="5"/>
  <c r="O26" i="5"/>
  <c r="R26" i="5" s="1"/>
  <c r="P26" i="5"/>
  <c r="J26" i="5"/>
  <c r="M26" i="5" s="1"/>
  <c r="K26" i="5"/>
  <c r="J29" i="5"/>
  <c r="M29" i="5" s="1"/>
  <c r="K29" i="5"/>
  <c r="O19" i="5"/>
  <c r="R19" i="5" s="1"/>
  <c r="P19" i="5"/>
  <c r="G19" i="5"/>
  <c r="J19" i="5"/>
  <c r="M19" i="5" s="1"/>
  <c r="K19" i="5"/>
  <c r="O20" i="5"/>
  <c r="R20" i="5" s="1"/>
  <c r="P20" i="5"/>
  <c r="P13" i="5"/>
  <c r="O13" i="5"/>
  <c r="P28" i="5"/>
  <c r="O28" i="5"/>
  <c r="R28" i="5" s="1"/>
  <c r="N51" i="5"/>
  <c r="I69" i="5"/>
  <c r="N69" i="5"/>
  <c r="N68" i="5"/>
  <c r="I68" i="5"/>
  <c r="N50" i="5"/>
  <c r="I50" i="5"/>
  <c r="I51" i="5"/>
  <c r="AX25" i="5" l="1"/>
  <c r="AU23" i="5"/>
  <c r="AY23" i="5" s="1"/>
  <c r="AU24" i="5"/>
  <c r="AY24" i="5" s="1"/>
  <c r="AU21" i="5"/>
  <c r="AY21" i="5" s="1"/>
  <c r="O22" i="5"/>
  <c r="R22" i="5" s="1"/>
  <c r="AK24" i="5"/>
  <c r="AK23" i="5"/>
  <c r="L21" i="5"/>
  <c r="AK21" i="5"/>
  <c r="K24" i="5"/>
  <c r="AK22" i="5"/>
  <c r="Q21" i="5"/>
  <c r="AL21" i="5"/>
  <c r="L25" i="5"/>
  <c r="AK25" i="5"/>
  <c r="Q22" i="5"/>
  <c r="AL22" i="5"/>
  <c r="J25" i="5"/>
  <c r="M25" i="5" s="1"/>
  <c r="J23" i="5"/>
  <c r="M23" i="5" s="1"/>
  <c r="L23" i="5"/>
  <c r="J24" i="5"/>
  <c r="M24" i="5" s="1"/>
  <c r="L24" i="5"/>
  <c r="K23" i="5"/>
  <c r="K25" i="5"/>
  <c r="P21" i="5"/>
  <c r="S66" i="5"/>
  <c r="S45" i="5"/>
  <c r="S67" i="5"/>
  <c r="S49" i="5"/>
  <c r="AC45" i="5"/>
  <c r="N67" i="5"/>
  <c r="N49" i="5"/>
  <c r="N66" i="5"/>
  <c r="N45" i="5"/>
  <c r="P62" i="5"/>
  <c r="P61" i="5"/>
  <c r="P60" i="5"/>
  <c r="O21" i="5"/>
  <c r="R21" i="5" s="1"/>
  <c r="R13" i="5"/>
  <c r="O62" i="5"/>
  <c r="O60" i="5"/>
  <c r="O61" i="5"/>
  <c r="J21" i="5"/>
  <c r="M21" i="5" s="1"/>
  <c r="I67" i="5"/>
  <c r="I49" i="5"/>
  <c r="I66" i="5"/>
  <c r="I45" i="5"/>
  <c r="AW298" i="1"/>
  <c r="K21" i="5"/>
  <c r="O9" i="5"/>
  <c r="R9" i="5" s="1"/>
  <c r="P9" i="5"/>
  <c r="P8" i="5"/>
  <c r="O8" i="5"/>
  <c r="R8" i="5" s="1"/>
  <c r="Q34" i="1"/>
  <c r="Q33" i="1"/>
  <c r="Q35" i="1"/>
  <c r="Q36" i="1"/>
  <c r="Q102" i="1"/>
  <c r="Q97" i="1"/>
  <c r="Q29" i="1"/>
  <c r="Q30" i="1"/>
  <c r="Q28" i="1"/>
  <c r="Q4" i="1"/>
  <c r="Q5" i="1"/>
  <c r="Q6" i="1"/>
  <c r="Q7" i="1"/>
  <c r="Q8" i="1"/>
  <c r="Q10" i="1"/>
  <c r="Q11" i="1"/>
  <c r="Q13" i="1"/>
  <c r="Q12" i="1"/>
  <c r="Q15" i="1"/>
  <c r="Q14" i="1"/>
  <c r="Q16" i="1"/>
  <c r="Q17" i="1"/>
  <c r="Q18" i="1"/>
  <c r="Q19" i="1"/>
  <c r="Q20" i="1"/>
  <c r="Q21" i="1"/>
  <c r="Q84" i="1"/>
  <c r="Q22" i="1"/>
  <c r="Q23" i="1"/>
  <c r="Q24" i="1"/>
  <c r="Q25" i="1"/>
  <c r="Q26" i="1"/>
  <c r="Q3" i="1"/>
  <c r="L4" i="1"/>
  <c r="L5" i="1"/>
  <c r="L6" i="1"/>
  <c r="L7" i="1"/>
  <c r="L8" i="1"/>
  <c r="L10" i="1"/>
  <c r="L11" i="1"/>
  <c r="L13" i="1"/>
  <c r="L12" i="1"/>
  <c r="L15" i="1"/>
  <c r="L14" i="1"/>
  <c r="L16" i="1"/>
  <c r="L17" i="1"/>
  <c r="L18" i="1"/>
  <c r="L19" i="1"/>
  <c r="L20" i="1"/>
  <c r="L21" i="1"/>
  <c r="L84" i="1"/>
  <c r="L22" i="1"/>
  <c r="L23" i="1"/>
  <c r="L24" i="1"/>
  <c r="L25" i="1"/>
  <c r="L26" i="1"/>
  <c r="L27" i="1"/>
  <c r="L28" i="1"/>
  <c r="L97" i="1"/>
  <c r="L29" i="1"/>
  <c r="L30" i="1"/>
  <c r="L31" i="1"/>
  <c r="L32" i="1"/>
  <c r="L102" i="1"/>
  <c r="L34" i="1"/>
  <c r="L33" i="1"/>
  <c r="L35" i="1"/>
  <c r="L36" i="1"/>
  <c r="L37" i="1"/>
  <c r="L38" i="1"/>
  <c r="L39" i="1"/>
  <c r="L40" i="1"/>
  <c r="L41" i="1"/>
  <c r="L42" i="1"/>
  <c r="L45" i="1"/>
  <c r="L43" i="1"/>
  <c r="L44" i="1"/>
  <c r="L46" i="1"/>
  <c r="L47" i="1"/>
  <c r="L48" i="1"/>
  <c r="L49" i="1"/>
  <c r="L50" i="1"/>
  <c r="L51" i="1"/>
  <c r="L52" i="1"/>
  <c r="L53" i="1"/>
  <c r="L54" i="1"/>
  <c r="L55" i="1"/>
  <c r="L56" i="1"/>
  <c r="L57" i="1"/>
  <c r="L9" i="1"/>
  <c r="L62" i="1"/>
  <c r="L64" i="1"/>
  <c r="L58" i="1"/>
  <c r="L63" i="1"/>
  <c r="L60" i="1"/>
  <c r="L61" i="1"/>
  <c r="L65" i="1"/>
  <c r="L67" i="1"/>
  <c r="L68" i="1"/>
  <c r="L69" i="1"/>
  <c r="L70" i="1"/>
  <c r="L71" i="1"/>
  <c r="L74" i="1"/>
  <c r="L72" i="1"/>
  <c r="L73" i="1"/>
  <c r="L75" i="1"/>
  <c r="L76" i="1"/>
  <c r="L77" i="1"/>
  <c r="L78" i="1"/>
  <c r="L79" i="1"/>
  <c r="L80" i="1"/>
  <c r="L81" i="1"/>
  <c r="L82" i="1"/>
  <c r="L85" i="1"/>
  <c r="L86" i="1"/>
  <c r="L87" i="1"/>
  <c r="L88" i="1"/>
  <c r="L89" i="1"/>
  <c r="L90" i="1"/>
  <c r="L91" i="1"/>
  <c r="L92" i="1"/>
  <c r="L93" i="1"/>
  <c r="L94" i="1"/>
  <c r="L95" i="1"/>
  <c r="L96" i="1"/>
  <c r="L98" i="1"/>
  <c r="L99" i="1"/>
  <c r="L100" i="1"/>
  <c r="L101" i="1"/>
  <c r="L103" i="1"/>
  <c r="L104" i="1"/>
  <c r="L105" i="1"/>
  <c r="L106" i="1"/>
  <c r="L107" i="1"/>
  <c r="L108" i="1"/>
  <c r="L109" i="1"/>
  <c r="L110" i="1"/>
  <c r="L111" i="1"/>
  <c r="L112" i="1"/>
  <c r="L113" i="1"/>
  <c r="L114" i="1"/>
  <c r="L115" i="1"/>
  <c r="L116" i="1"/>
  <c r="L83" i="1"/>
  <c r="L117" i="1"/>
  <c r="L118" i="1"/>
  <c r="L119" i="1"/>
  <c r="L120" i="1"/>
  <c r="L121" i="1"/>
  <c r="L122" i="1"/>
  <c r="L123" i="1"/>
  <c r="L124" i="1"/>
  <c r="L125" i="1"/>
  <c r="L126" i="1"/>
  <c r="L127" i="1"/>
  <c r="L128" i="1"/>
  <c r="L3" i="1"/>
  <c r="V278" i="1"/>
  <c r="V277" i="1"/>
  <c r="V276" i="1"/>
  <c r="V275" i="1"/>
  <c r="V270" i="1"/>
  <c r="V269" i="1"/>
  <c r="V268" i="1"/>
  <c r="V267" i="1"/>
  <c r="V265" i="1"/>
  <c r="V264" i="1"/>
  <c r="V263" i="1"/>
  <c r="V262" i="1"/>
  <c r="V260" i="1"/>
  <c r="V259" i="1"/>
  <c r="V258" i="1"/>
  <c r="V257" i="1"/>
  <c r="V255" i="1"/>
  <c r="V254" i="1"/>
  <c r="V253" i="1"/>
  <c r="V252" i="1"/>
  <c r="K52" i="1"/>
  <c r="AX21" i="5" l="1"/>
  <c r="AX24" i="5"/>
  <c r="AX23" i="5"/>
  <c r="L47" i="5"/>
  <c r="AA73" i="5"/>
  <c r="AA75" i="5"/>
  <c r="Q46" i="5"/>
  <c r="Q48" i="5"/>
  <c r="AN48" i="5" s="1"/>
  <c r="AJ45" i="5"/>
  <c r="Q47" i="5"/>
  <c r="L48" i="5"/>
  <c r="L46" i="5"/>
  <c r="AM46" i="5" s="1"/>
  <c r="AK61" i="5"/>
  <c r="AK62" i="5"/>
  <c r="AK60" i="5"/>
  <c r="R62" i="5"/>
  <c r="AA65" i="5" s="1"/>
  <c r="R61" i="5"/>
  <c r="R60" i="5"/>
  <c r="Q62" i="5"/>
  <c r="Y65" i="5" s="1"/>
  <c r="AB77" i="5" s="1"/>
  <c r="Q60" i="5"/>
  <c r="Q61" i="5"/>
  <c r="L162" i="1"/>
  <c r="L161" i="1"/>
  <c r="L147" i="1"/>
  <c r="L146" i="1"/>
  <c r="BO294" i="1"/>
  <c r="BB233" i="1"/>
  <c r="F154" i="1"/>
  <c r="F152" i="1"/>
  <c r="L120" i="2"/>
  <c r="K120" i="2"/>
  <c r="L119" i="2"/>
  <c r="K119" i="2"/>
  <c r="L118" i="2"/>
  <c r="K118" i="2"/>
  <c r="L117" i="2"/>
  <c r="M117" i="2" s="1"/>
  <c r="K117" i="2"/>
  <c r="N117" i="2" s="1"/>
  <c r="J116" i="2"/>
  <c r="L115" i="2"/>
  <c r="M115" i="2" s="1"/>
  <c r="K115" i="2"/>
  <c r="N115" i="2" s="1"/>
  <c r="L114" i="2"/>
  <c r="M114" i="2" s="1"/>
  <c r="K114" i="2"/>
  <c r="N114" i="2" s="1"/>
  <c r="Q113" i="2"/>
  <c r="P113" i="2"/>
  <c r="L113" i="2"/>
  <c r="M113" i="2" s="1"/>
  <c r="K113" i="2"/>
  <c r="N113" i="2" s="1"/>
  <c r="Q112" i="2"/>
  <c r="P112" i="2"/>
  <c r="L112" i="2"/>
  <c r="M112" i="2" s="1"/>
  <c r="K112" i="2"/>
  <c r="N112" i="2" s="1"/>
  <c r="L111" i="2"/>
  <c r="M111" i="2" s="1"/>
  <c r="K111" i="2"/>
  <c r="N111" i="2" s="1"/>
  <c r="L110" i="2"/>
  <c r="K110" i="2"/>
  <c r="L109" i="2"/>
  <c r="M109" i="2" s="1"/>
  <c r="K109" i="2"/>
  <c r="N109" i="2" s="1"/>
  <c r="L108" i="2"/>
  <c r="K108" i="2"/>
  <c r="L106" i="2"/>
  <c r="M106" i="2" s="1"/>
  <c r="K106" i="2"/>
  <c r="N106" i="2" s="1"/>
  <c r="L105" i="2"/>
  <c r="K105" i="2"/>
  <c r="L107" i="2"/>
  <c r="K107" i="2"/>
  <c r="L104" i="2"/>
  <c r="K104" i="2"/>
  <c r="T103" i="2"/>
  <c r="Q103" i="2"/>
  <c r="P103" i="2"/>
  <c r="L103" i="2"/>
  <c r="M103" i="2" s="1"/>
  <c r="K103" i="2"/>
  <c r="N103" i="2" s="1"/>
  <c r="L102" i="2"/>
  <c r="M102" i="2" s="1"/>
  <c r="K102" i="2"/>
  <c r="N102" i="2" s="1"/>
  <c r="X101" i="2"/>
  <c r="L101" i="2"/>
  <c r="M101" i="2" s="1"/>
  <c r="K101" i="2"/>
  <c r="N101" i="2" s="1"/>
  <c r="Q100" i="2"/>
  <c r="R100" i="2" s="1"/>
  <c r="P100" i="2"/>
  <c r="S100" i="2" s="1"/>
  <c r="L100" i="2"/>
  <c r="M100" i="2" s="1"/>
  <c r="K100" i="2"/>
  <c r="N100" i="2" s="1"/>
  <c r="Q99" i="2"/>
  <c r="R99" i="2" s="1"/>
  <c r="P99" i="2"/>
  <c r="S99" i="2" s="1"/>
  <c r="L99" i="2"/>
  <c r="M99" i="2" s="1"/>
  <c r="K99" i="2"/>
  <c r="N99" i="2" s="1"/>
  <c r="T98" i="2"/>
  <c r="U98" i="2" s="1"/>
  <c r="Q98" i="2"/>
  <c r="R98" i="2" s="1"/>
  <c r="P98" i="2"/>
  <c r="S98" i="2" s="1"/>
  <c r="L98" i="2"/>
  <c r="M98" i="2" s="1"/>
  <c r="K98" i="2"/>
  <c r="N98" i="2" s="1"/>
  <c r="Q97" i="2"/>
  <c r="R97" i="2" s="1"/>
  <c r="P97" i="2"/>
  <c r="S97" i="2" s="1"/>
  <c r="L97" i="2"/>
  <c r="M97" i="2" s="1"/>
  <c r="K97" i="2"/>
  <c r="N97" i="2" s="1"/>
  <c r="X96" i="2"/>
  <c r="Q96" i="2"/>
  <c r="R96" i="2" s="1"/>
  <c r="P96" i="2"/>
  <c r="S96" i="2" s="1"/>
  <c r="L96" i="2"/>
  <c r="M96" i="2" s="1"/>
  <c r="K96" i="2"/>
  <c r="N96" i="2" s="1"/>
  <c r="E96" i="2"/>
  <c r="Q95" i="2"/>
  <c r="P95" i="2"/>
  <c r="L95" i="2"/>
  <c r="K95" i="2"/>
  <c r="Q94" i="2"/>
  <c r="P94" i="2"/>
  <c r="L94" i="2"/>
  <c r="K94" i="2"/>
  <c r="L93" i="2"/>
  <c r="K93" i="2"/>
  <c r="L92" i="2"/>
  <c r="M92" i="2" s="1"/>
  <c r="K92" i="2"/>
  <c r="N92" i="2" s="1"/>
  <c r="Q91" i="2"/>
  <c r="P91" i="2"/>
  <c r="L91" i="2"/>
  <c r="M91" i="2" s="1"/>
  <c r="K91" i="2"/>
  <c r="N91" i="2" s="1"/>
  <c r="L90" i="2"/>
  <c r="M90" i="2" s="1"/>
  <c r="K90" i="2"/>
  <c r="N90" i="2" s="1"/>
  <c r="L89" i="2"/>
  <c r="M89" i="2" s="1"/>
  <c r="K89" i="2"/>
  <c r="N89" i="2" s="1"/>
  <c r="L88" i="2"/>
  <c r="M88" i="2" s="1"/>
  <c r="K88" i="2"/>
  <c r="N88" i="2" s="1"/>
  <c r="Q87" i="2"/>
  <c r="R87" i="2" s="1"/>
  <c r="P87" i="2"/>
  <c r="S87" i="2" s="1"/>
  <c r="L87" i="2"/>
  <c r="M87" i="2" s="1"/>
  <c r="K87" i="2"/>
  <c r="N87" i="2" s="1"/>
  <c r="L86" i="2"/>
  <c r="M86" i="2" s="1"/>
  <c r="K86" i="2"/>
  <c r="N86" i="2" s="1"/>
  <c r="Q85" i="2"/>
  <c r="P85" i="2"/>
  <c r="L85" i="2"/>
  <c r="M85" i="2" s="1"/>
  <c r="K85" i="2"/>
  <c r="N85" i="2" s="1"/>
  <c r="Q84" i="2"/>
  <c r="R84" i="2" s="1"/>
  <c r="P84" i="2"/>
  <c r="S84" i="2" s="1"/>
  <c r="L84" i="2"/>
  <c r="M84" i="2" s="1"/>
  <c r="K84" i="2"/>
  <c r="N84" i="2" s="1"/>
  <c r="Q83" i="2"/>
  <c r="P83" i="2"/>
  <c r="L83" i="2"/>
  <c r="M83" i="2" s="1"/>
  <c r="K83" i="2"/>
  <c r="N83" i="2" s="1"/>
  <c r="L82" i="2"/>
  <c r="K82" i="2"/>
  <c r="J145" i="2"/>
  <c r="Q140" i="2"/>
  <c r="Q146" i="2"/>
  <c r="P145" i="2"/>
  <c r="Q131" i="2"/>
  <c r="P130" i="2"/>
  <c r="J146" i="2"/>
  <c r="L141" i="2"/>
  <c r="K135" i="2"/>
  <c r="K130" i="2"/>
  <c r="P136" i="2"/>
  <c r="L130" i="2"/>
  <c r="J150" i="2"/>
  <c r="K141" i="2"/>
  <c r="P172" i="2"/>
  <c r="P140" i="2"/>
  <c r="K131" i="2"/>
  <c r="P135" i="2"/>
  <c r="K140" i="2"/>
  <c r="J173" i="2"/>
  <c r="K136" i="2"/>
  <c r="P146" i="2"/>
  <c r="Q173" i="2"/>
  <c r="P173" i="2"/>
  <c r="L140" i="2"/>
  <c r="L131" i="2"/>
  <c r="L135" i="2"/>
  <c r="Q145" i="2"/>
  <c r="Q135" i="2"/>
  <c r="J172" i="2"/>
  <c r="Q130" i="2"/>
  <c r="Q172" i="2"/>
  <c r="P141" i="2"/>
  <c r="Q141" i="2"/>
  <c r="L136" i="2"/>
  <c r="Q136" i="2"/>
  <c r="P131" i="2"/>
  <c r="AN47" i="5" l="1"/>
  <c r="AN46" i="5"/>
  <c r="AM47" i="5"/>
  <c r="AM48" i="5"/>
  <c r="AP96" i="2"/>
  <c r="AN96" i="2"/>
  <c r="AL96" i="2"/>
  <c r="AP99" i="2"/>
  <c r="AN99" i="2"/>
  <c r="AL99" i="2"/>
  <c r="AP100" i="2"/>
  <c r="AN100" i="2"/>
  <c r="AL100" i="2"/>
  <c r="AP101" i="2"/>
  <c r="AN101" i="2"/>
  <c r="AL101" i="2"/>
  <c r="AP83" i="2"/>
  <c r="AN83" i="2"/>
  <c r="AL83" i="2"/>
  <c r="AN84" i="2"/>
  <c r="AP84" i="2"/>
  <c r="AL84" i="2"/>
  <c r="AP85" i="2"/>
  <c r="AN85" i="2"/>
  <c r="AL85" i="2"/>
  <c r="AN86" i="2"/>
  <c r="AP86" i="2"/>
  <c r="AL86" i="2"/>
  <c r="AP87" i="2"/>
  <c r="AN87" i="2"/>
  <c r="AL87" i="2"/>
  <c r="AN88" i="2"/>
  <c r="AP88" i="2"/>
  <c r="AL88" i="2"/>
  <c r="AP89" i="2"/>
  <c r="AN89" i="2"/>
  <c r="AL89" i="2"/>
  <c r="AN90" i="2"/>
  <c r="AP90" i="2"/>
  <c r="AL90" i="2"/>
  <c r="AP91" i="2"/>
  <c r="AN91" i="2"/>
  <c r="AL91" i="2"/>
  <c r="AN92" i="2"/>
  <c r="AP92" i="2"/>
  <c r="AL92" i="2"/>
  <c r="AP97" i="2"/>
  <c r="AN97" i="2"/>
  <c r="AL97" i="2"/>
  <c r="AP98" i="2"/>
  <c r="AL98" i="2"/>
  <c r="AN98" i="2"/>
  <c r="AP102" i="2"/>
  <c r="AL102" i="2"/>
  <c r="AN102" i="2"/>
  <c r="AP103" i="2"/>
  <c r="AN103" i="2"/>
  <c r="AL103" i="2"/>
  <c r="Q170" i="2"/>
  <c r="Q171" i="2"/>
  <c r="P170" i="2"/>
  <c r="P171" i="2"/>
  <c r="J171" i="2"/>
  <c r="J170" i="2"/>
  <c r="M107" i="2"/>
  <c r="N118" i="2"/>
  <c r="N119" i="2"/>
  <c r="N107" i="2"/>
  <c r="M118" i="2"/>
  <c r="M119" i="2"/>
  <c r="K128" i="2"/>
  <c r="K129" i="2"/>
  <c r="P129" i="2"/>
  <c r="P128" i="2"/>
  <c r="S91" i="2"/>
  <c r="N93" i="2"/>
  <c r="N94" i="2"/>
  <c r="K133" i="2"/>
  <c r="K134" i="2"/>
  <c r="S94" i="2"/>
  <c r="P134" i="2"/>
  <c r="P133" i="2"/>
  <c r="N95" i="2"/>
  <c r="K139" i="2"/>
  <c r="K138" i="2"/>
  <c r="P138" i="2"/>
  <c r="P139" i="2"/>
  <c r="S103" i="2"/>
  <c r="M104" i="2"/>
  <c r="M105" i="2"/>
  <c r="M110" i="2"/>
  <c r="R112" i="2"/>
  <c r="Q143" i="2"/>
  <c r="Q144" i="2"/>
  <c r="R113" i="2"/>
  <c r="N120" i="2"/>
  <c r="L129" i="2"/>
  <c r="L128" i="2"/>
  <c r="Q128" i="2"/>
  <c r="Q129" i="2"/>
  <c r="R91" i="2"/>
  <c r="M93" i="2"/>
  <c r="M94" i="2"/>
  <c r="L134" i="2"/>
  <c r="L133" i="2"/>
  <c r="R94" i="2"/>
  <c r="Q133" i="2"/>
  <c r="Q134" i="2"/>
  <c r="M95" i="2"/>
  <c r="L138" i="2"/>
  <c r="L139" i="2"/>
  <c r="Q138" i="2"/>
  <c r="Q139" i="2"/>
  <c r="R103" i="2"/>
  <c r="N104" i="2"/>
  <c r="N105" i="2"/>
  <c r="N110" i="2"/>
  <c r="S112" i="2"/>
  <c r="P144" i="2"/>
  <c r="P143" i="2"/>
  <c r="S113" i="2"/>
  <c r="K116" i="2"/>
  <c r="K171" i="2" s="1"/>
  <c r="J143" i="2"/>
  <c r="J144" i="2"/>
  <c r="M120" i="2"/>
  <c r="M82" i="2"/>
  <c r="R85" i="2"/>
  <c r="R95" i="2"/>
  <c r="S85" i="2"/>
  <c r="S95" i="2"/>
  <c r="M108" i="2"/>
  <c r="N108" i="2"/>
  <c r="S83" i="2"/>
  <c r="V103" i="2"/>
  <c r="U103" i="2"/>
  <c r="L116" i="2"/>
  <c r="L170" i="2" s="1"/>
  <c r="N82" i="2"/>
  <c r="R83" i="2"/>
  <c r="R130" i="2"/>
  <c r="S131" i="2"/>
  <c r="N136" i="2"/>
  <c r="K146" i="2"/>
  <c r="L173" i="2"/>
  <c r="R172" i="2"/>
  <c r="R140" i="2"/>
  <c r="R173" i="2"/>
  <c r="M136" i="2"/>
  <c r="M135" i="2"/>
  <c r="S172" i="2"/>
  <c r="R145" i="2"/>
  <c r="K173" i="2"/>
  <c r="L172" i="2"/>
  <c r="S141" i="2"/>
  <c r="R136" i="2"/>
  <c r="M141" i="2"/>
  <c r="S146" i="2"/>
  <c r="L145" i="2"/>
  <c r="K145" i="2"/>
  <c r="K172" i="2"/>
  <c r="L146" i="2"/>
  <c r="S130" i="2"/>
  <c r="R135" i="2"/>
  <c r="M140" i="2"/>
  <c r="R146" i="2"/>
  <c r="N135" i="2"/>
  <c r="N131" i="2"/>
  <c r="S140" i="2"/>
  <c r="S145" i="2"/>
  <c r="R141" i="2"/>
  <c r="M130" i="2"/>
  <c r="S173" i="2"/>
  <c r="R131" i="2"/>
  <c r="S136" i="2"/>
  <c r="N141" i="2"/>
  <c r="N140" i="2"/>
  <c r="M131" i="2"/>
  <c r="S135" i="2"/>
  <c r="N130" i="2"/>
  <c r="W133" i="2" l="1"/>
  <c r="Z148" i="2"/>
  <c r="X143" i="2"/>
  <c r="Y132" i="2"/>
  <c r="Y147" i="2"/>
  <c r="W142" i="2"/>
  <c r="X137" i="2"/>
  <c r="Z133" i="2"/>
  <c r="Y143" i="2"/>
  <c r="Z143" i="2"/>
  <c r="X132" i="2"/>
  <c r="Y138" i="2"/>
  <c r="X138" i="2"/>
  <c r="Z176" i="2"/>
  <c r="Y176" i="2"/>
  <c r="Y137" i="2"/>
  <c r="W132" i="2"/>
  <c r="Z147" i="2"/>
  <c r="X142" i="2"/>
  <c r="W137" i="2"/>
  <c r="Y133" i="2"/>
  <c r="Y148" i="2"/>
  <c r="W143" i="2"/>
  <c r="Z132" i="2"/>
  <c r="Y142" i="2"/>
  <c r="Z142" i="2"/>
  <c r="Z137" i="2"/>
  <c r="X133" i="2"/>
  <c r="W138" i="2"/>
  <c r="Z138" i="2"/>
  <c r="Z177" i="2"/>
  <c r="Y177" i="2"/>
  <c r="AP82" i="2"/>
  <c r="AN82" i="2"/>
  <c r="AL82" i="2"/>
  <c r="AP93" i="2"/>
  <c r="AN93" i="2"/>
  <c r="AL93" i="2"/>
  <c r="AP95" i="2"/>
  <c r="AN95" i="2"/>
  <c r="AL95" i="2"/>
  <c r="AP94" i="2"/>
  <c r="AL94" i="2"/>
  <c r="AN94" i="2"/>
  <c r="AP104" i="2"/>
  <c r="AN104" i="2"/>
  <c r="AL104" i="2"/>
  <c r="S170" i="2"/>
  <c r="Z174" i="2" s="1"/>
  <c r="S171" i="2"/>
  <c r="Z175" i="2" s="1"/>
  <c r="R170" i="2"/>
  <c r="Y174" i="2" s="1"/>
  <c r="R171" i="2"/>
  <c r="Y175" i="2" s="1"/>
  <c r="K170" i="2"/>
  <c r="L171" i="2"/>
  <c r="R129" i="2"/>
  <c r="Y131" i="2" s="1"/>
  <c r="R128" i="2"/>
  <c r="Y130" i="2" s="1"/>
  <c r="M116" i="2"/>
  <c r="S138" i="2"/>
  <c r="Z140" i="2" s="1"/>
  <c r="S139" i="2"/>
  <c r="Z141" i="2" s="1"/>
  <c r="R138" i="2"/>
  <c r="Y140" i="2" s="1"/>
  <c r="R139" i="2"/>
  <c r="Y141" i="2" s="1"/>
  <c r="M128" i="2"/>
  <c r="W130" i="2" s="1"/>
  <c r="M129" i="2"/>
  <c r="W131" i="2" s="1"/>
  <c r="N116" i="2"/>
  <c r="N170" i="2" s="1"/>
  <c r="X174" i="2" s="1"/>
  <c r="R134" i="2"/>
  <c r="Y136" i="2" s="1"/>
  <c r="R133" i="2"/>
  <c r="Y135" i="2" s="1"/>
  <c r="N129" i="2"/>
  <c r="X131" i="2" s="1"/>
  <c r="N128" i="2"/>
  <c r="X130" i="2" s="1"/>
  <c r="S128" i="2"/>
  <c r="Z130" i="2" s="1"/>
  <c r="S129" i="2"/>
  <c r="Z131" i="2" s="1"/>
  <c r="M139" i="2"/>
  <c r="W141" i="2" s="1"/>
  <c r="M138" i="2"/>
  <c r="W140" i="2" s="1"/>
  <c r="M133" i="2"/>
  <c r="W135" i="2" s="1"/>
  <c r="M134" i="2"/>
  <c r="W136" i="2" s="1"/>
  <c r="N138" i="2"/>
  <c r="X140" i="2" s="1"/>
  <c r="N139" i="2"/>
  <c r="X141" i="2" s="1"/>
  <c r="N134" i="2"/>
  <c r="X136" i="2" s="1"/>
  <c r="N133" i="2"/>
  <c r="X135" i="2" s="1"/>
  <c r="K144" i="2"/>
  <c r="L144" i="2"/>
  <c r="S143" i="2"/>
  <c r="Z145" i="2" s="1"/>
  <c r="S144" i="2"/>
  <c r="Z146" i="2" s="1"/>
  <c r="R144" i="2"/>
  <c r="Y146" i="2" s="1"/>
  <c r="R143" i="2"/>
  <c r="Y145" i="2" s="1"/>
  <c r="M143" i="2"/>
  <c r="W145" i="2" s="1"/>
  <c r="M144" i="2"/>
  <c r="W146" i="2" s="1"/>
  <c r="S133" i="2"/>
  <c r="Z135" i="2" s="1"/>
  <c r="S134" i="2"/>
  <c r="Z136" i="2" s="1"/>
  <c r="K143" i="2"/>
  <c r="L143" i="2"/>
  <c r="C59" i="2"/>
  <c r="C57" i="2"/>
  <c r="M146" i="2"/>
  <c r="N172" i="2"/>
  <c r="N146" i="2"/>
  <c r="N145" i="2"/>
  <c r="M173" i="2"/>
  <c r="M172" i="2"/>
  <c r="N173" i="2"/>
  <c r="M145" i="2"/>
  <c r="W147" i="2" l="1"/>
  <c r="X147" i="2"/>
  <c r="W176" i="2"/>
  <c r="X176" i="2"/>
  <c r="W148" i="2"/>
  <c r="X148" i="2"/>
  <c r="W177" i="2"/>
  <c r="X177" i="2"/>
  <c r="M171" i="2"/>
  <c r="W175" i="2" s="1"/>
  <c r="M170" i="2"/>
  <c r="W174" i="2" s="1"/>
  <c r="N171" i="2"/>
  <c r="X175" i="2" s="1"/>
  <c r="N144" i="2"/>
  <c r="X146" i="2" s="1"/>
  <c r="N143" i="2"/>
  <c r="X145" i="2" s="1"/>
  <c r="V54" i="2"/>
  <c r="A54" i="2"/>
  <c r="Q47" i="2"/>
  <c r="P47" i="2"/>
  <c r="L47" i="2"/>
  <c r="K47" i="2"/>
  <c r="Q46" i="2"/>
  <c r="R46" i="2" s="1"/>
  <c r="P46" i="2"/>
  <c r="S46" i="2" s="1"/>
  <c r="L46" i="2"/>
  <c r="M46" i="2" s="1"/>
  <c r="K46" i="2"/>
  <c r="N46" i="2" s="1"/>
  <c r="L45" i="2"/>
  <c r="M45" i="2" s="1"/>
  <c r="K45" i="2"/>
  <c r="N45" i="2" s="1"/>
  <c r="Q44" i="2"/>
  <c r="R44" i="2" s="1"/>
  <c r="P44" i="2"/>
  <c r="S44" i="2" s="1"/>
  <c r="L44" i="2"/>
  <c r="M44" i="2" s="1"/>
  <c r="K44" i="2"/>
  <c r="N44" i="2" s="1"/>
  <c r="Q43" i="2"/>
  <c r="P43" i="2"/>
  <c r="L43" i="2"/>
  <c r="K43" i="2"/>
  <c r="D43" i="2"/>
  <c r="Q41" i="2"/>
  <c r="R41" i="2" s="1"/>
  <c r="P41" i="2"/>
  <c r="S41" i="2" s="1"/>
  <c r="L41" i="2"/>
  <c r="M41" i="2" s="1"/>
  <c r="K41" i="2"/>
  <c r="N41" i="2" s="1"/>
  <c r="E41" i="2"/>
  <c r="T40" i="2"/>
  <c r="U40" i="2" s="1"/>
  <c r="Q40" i="2"/>
  <c r="R40" i="2" s="1"/>
  <c r="P40" i="2"/>
  <c r="S40" i="2" s="1"/>
  <c r="L40" i="2"/>
  <c r="M40" i="2" s="1"/>
  <c r="K40" i="2"/>
  <c r="N40" i="2" s="1"/>
  <c r="Q39" i="2"/>
  <c r="R39" i="2" s="1"/>
  <c r="P39" i="2"/>
  <c r="S39" i="2" s="1"/>
  <c r="L39" i="2"/>
  <c r="M39" i="2" s="1"/>
  <c r="K39" i="2"/>
  <c r="N39" i="2" s="1"/>
  <c r="Q42" i="2"/>
  <c r="R42" i="2" s="1"/>
  <c r="P42" i="2"/>
  <c r="S42" i="2" s="1"/>
  <c r="L42" i="2"/>
  <c r="M42" i="2" s="1"/>
  <c r="K42" i="2"/>
  <c r="N42" i="2" s="1"/>
  <c r="T38" i="2"/>
  <c r="U38" i="2" s="1"/>
  <c r="Q38" i="2"/>
  <c r="P38" i="2"/>
  <c r="S38" i="2" s="1"/>
  <c r="L38" i="2"/>
  <c r="M38" i="2" s="1"/>
  <c r="K38" i="2"/>
  <c r="N38" i="2" s="1"/>
  <c r="Q37" i="2"/>
  <c r="R37" i="2" s="1"/>
  <c r="P37" i="2"/>
  <c r="S37" i="2" s="1"/>
  <c r="L37" i="2"/>
  <c r="M37" i="2" s="1"/>
  <c r="K37" i="2"/>
  <c r="N37" i="2" s="1"/>
  <c r="Q36" i="2"/>
  <c r="P36" i="2"/>
  <c r="L36" i="2"/>
  <c r="K36" i="2"/>
  <c r="D36" i="2"/>
  <c r="Q35" i="2"/>
  <c r="P35" i="2"/>
  <c r="S35" i="2" s="1"/>
  <c r="L35" i="2"/>
  <c r="M35" i="2" s="1"/>
  <c r="K35" i="2"/>
  <c r="N35" i="2" s="1"/>
  <c r="T34" i="2"/>
  <c r="Q34" i="2"/>
  <c r="P34" i="2"/>
  <c r="S34" i="2" s="1"/>
  <c r="L34" i="2"/>
  <c r="M34" i="2" s="1"/>
  <c r="K34" i="2"/>
  <c r="N34" i="2" s="1"/>
  <c r="Q33" i="2"/>
  <c r="R33" i="2" s="1"/>
  <c r="P33" i="2"/>
  <c r="S33" i="2" s="1"/>
  <c r="L33" i="2"/>
  <c r="M33" i="2" s="1"/>
  <c r="K33" i="2"/>
  <c r="N33" i="2" s="1"/>
  <c r="T32" i="2"/>
  <c r="Q32" i="2"/>
  <c r="P32" i="2"/>
  <c r="L32" i="2"/>
  <c r="K32" i="2"/>
  <c r="Q31" i="2"/>
  <c r="P31" i="2"/>
  <c r="L31" i="2"/>
  <c r="K31" i="2"/>
  <c r="Q30" i="2"/>
  <c r="P30" i="2"/>
  <c r="L30" i="2"/>
  <c r="K30" i="2"/>
  <c r="L29" i="2"/>
  <c r="K29" i="2"/>
  <c r="L28" i="2"/>
  <c r="M28" i="2" s="1"/>
  <c r="K28" i="2"/>
  <c r="N28" i="2" s="1"/>
  <c r="Q27" i="2"/>
  <c r="P27" i="2"/>
  <c r="L27" i="2"/>
  <c r="M27" i="2" s="1"/>
  <c r="K27" i="2"/>
  <c r="N27" i="2" s="1"/>
  <c r="Q26" i="2"/>
  <c r="P26" i="2"/>
  <c r="S26" i="2" s="1"/>
  <c r="L26" i="2"/>
  <c r="M26" i="2" s="1"/>
  <c r="K26" i="2"/>
  <c r="N26" i="2" s="1"/>
  <c r="Q25" i="2"/>
  <c r="P25" i="2"/>
  <c r="S25" i="2" s="1"/>
  <c r="L25" i="2"/>
  <c r="M25" i="2" s="1"/>
  <c r="K25" i="2"/>
  <c r="N25" i="2" s="1"/>
  <c r="L24" i="2"/>
  <c r="M24" i="2" s="1"/>
  <c r="K24" i="2"/>
  <c r="N24" i="2" s="1"/>
  <c r="Q23" i="2"/>
  <c r="R23" i="2" s="1"/>
  <c r="P23" i="2"/>
  <c r="S23" i="2" s="1"/>
  <c r="L23" i="2"/>
  <c r="M23" i="2" s="1"/>
  <c r="K23" i="2"/>
  <c r="N23" i="2" s="1"/>
  <c r="Q22" i="2"/>
  <c r="R22" i="2" s="1"/>
  <c r="P22" i="2"/>
  <c r="S22" i="2" s="1"/>
  <c r="L22" i="2"/>
  <c r="M22" i="2" s="1"/>
  <c r="K22" i="2"/>
  <c r="N22" i="2" s="1"/>
  <c r="L21" i="2"/>
  <c r="M21" i="2" s="1"/>
  <c r="K21" i="2"/>
  <c r="N21" i="2" s="1"/>
  <c r="Q20" i="2"/>
  <c r="R20" i="2" s="1"/>
  <c r="P20" i="2"/>
  <c r="S20" i="2" s="1"/>
  <c r="L20" i="2"/>
  <c r="M20" i="2" s="1"/>
  <c r="K20" i="2"/>
  <c r="N20" i="2" s="1"/>
  <c r="Q19" i="2"/>
  <c r="R19" i="2" s="1"/>
  <c r="V19" i="2" s="1"/>
  <c r="P19" i="2"/>
  <c r="S19" i="2" s="1"/>
  <c r="L19" i="2"/>
  <c r="M19" i="2" s="1"/>
  <c r="K19" i="2"/>
  <c r="N19" i="2" s="1"/>
  <c r="Q18" i="2"/>
  <c r="R18" i="2" s="1"/>
  <c r="P18" i="2"/>
  <c r="S18" i="2" s="1"/>
  <c r="L18" i="2"/>
  <c r="M18" i="2" s="1"/>
  <c r="K18" i="2"/>
  <c r="N18" i="2" s="1"/>
  <c r="T17" i="2"/>
  <c r="U17" i="2" s="1"/>
  <c r="Q17" i="2"/>
  <c r="R17" i="2" s="1"/>
  <c r="P17" i="2"/>
  <c r="S17" i="2" s="1"/>
  <c r="L17" i="2"/>
  <c r="M17" i="2" s="1"/>
  <c r="K17" i="2"/>
  <c r="N17" i="2" s="1"/>
  <c r="T16" i="2"/>
  <c r="U16" i="2" s="1"/>
  <c r="Q16" i="2"/>
  <c r="R16" i="2" s="1"/>
  <c r="P16" i="2"/>
  <c r="S16" i="2" s="1"/>
  <c r="L16" i="2"/>
  <c r="M16" i="2" s="1"/>
  <c r="K16" i="2"/>
  <c r="N16" i="2" s="1"/>
  <c r="Q15" i="2"/>
  <c r="R15" i="2" s="1"/>
  <c r="P15" i="2"/>
  <c r="S15" i="2" s="1"/>
  <c r="L15" i="2"/>
  <c r="M15" i="2" s="1"/>
  <c r="K15" i="2"/>
  <c r="N15" i="2" s="1"/>
  <c r="Q14" i="2"/>
  <c r="R14" i="2" s="1"/>
  <c r="P14" i="2"/>
  <c r="S14" i="2" s="1"/>
  <c r="L14" i="2"/>
  <c r="M14" i="2" s="1"/>
  <c r="K14" i="2"/>
  <c r="N14" i="2" s="1"/>
  <c r="T13" i="2"/>
  <c r="U13" i="2" s="1"/>
  <c r="Q13" i="2"/>
  <c r="R13" i="2" s="1"/>
  <c r="P13" i="2"/>
  <c r="S13" i="2" s="1"/>
  <c r="L13" i="2"/>
  <c r="M13" i="2" s="1"/>
  <c r="K13" i="2"/>
  <c r="N13" i="2" s="1"/>
  <c r="T12" i="2"/>
  <c r="U12" i="2" s="1"/>
  <c r="Q12" i="2"/>
  <c r="R12" i="2" s="1"/>
  <c r="P12" i="2"/>
  <c r="S12" i="2" s="1"/>
  <c r="L12" i="2"/>
  <c r="M12" i="2" s="1"/>
  <c r="K12" i="2"/>
  <c r="N12" i="2" s="1"/>
  <c r="Q11" i="2"/>
  <c r="R11" i="2" s="1"/>
  <c r="P11" i="2"/>
  <c r="S11" i="2" s="1"/>
  <c r="L11" i="2"/>
  <c r="M11" i="2" s="1"/>
  <c r="K11" i="2"/>
  <c r="N11" i="2" s="1"/>
  <c r="T10" i="2"/>
  <c r="U10" i="2" s="1"/>
  <c r="Q10" i="2"/>
  <c r="P10" i="2"/>
  <c r="S10" i="2" s="1"/>
  <c r="L10" i="2"/>
  <c r="M10" i="2" s="1"/>
  <c r="K10" i="2"/>
  <c r="N10" i="2" s="1"/>
  <c r="T9" i="2"/>
  <c r="U9" i="2" s="1"/>
  <c r="Q9" i="2"/>
  <c r="R9" i="2" s="1"/>
  <c r="P9" i="2"/>
  <c r="S9" i="2" s="1"/>
  <c r="L9" i="2"/>
  <c r="M9" i="2" s="1"/>
  <c r="K9" i="2"/>
  <c r="N9" i="2" s="1"/>
  <c r="Q8" i="2"/>
  <c r="P8" i="2"/>
  <c r="L8" i="2"/>
  <c r="K8" i="2"/>
  <c r="D8" i="2"/>
  <c r="Q7" i="2"/>
  <c r="R7" i="2" s="1"/>
  <c r="P7" i="2"/>
  <c r="S7" i="2" s="1"/>
  <c r="L7" i="2"/>
  <c r="M7" i="2" s="1"/>
  <c r="K7" i="2"/>
  <c r="N7" i="2" s="1"/>
  <c r="T6" i="2"/>
  <c r="U6" i="2" s="1"/>
  <c r="Q6" i="2"/>
  <c r="R6" i="2" s="1"/>
  <c r="P6" i="2"/>
  <c r="S6" i="2" s="1"/>
  <c r="L6" i="2"/>
  <c r="M6" i="2" s="1"/>
  <c r="K6" i="2"/>
  <c r="N6" i="2" s="1"/>
  <c r="T5" i="2"/>
  <c r="U5" i="2" s="1"/>
  <c r="Q5" i="2"/>
  <c r="R5" i="2" s="1"/>
  <c r="P5" i="2"/>
  <c r="S5" i="2" s="1"/>
  <c r="L5" i="2"/>
  <c r="M5" i="2" s="1"/>
  <c r="K5" i="2"/>
  <c r="N5" i="2" s="1"/>
  <c r="T4" i="2"/>
  <c r="U4" i="2" s="1"/>
  <c r="Q4" i="2"/>
  <c r="R4" i="2" s="1"/>
  <c r="P4" i="2"/>
  <c r="S4" i="2" s="1"/>
  <c r="L4" i="2"/>
  <c r="M4" i="2" s="1"/>
  <c r="K4" i="2"/>
  <c r="N4" i="2" s="1"/>
  <c r="T3" i="2"/>
  <c r="U3" i="2" s="1"/>
  <c r="Q3" i="2"/>
  <c r="P3" i="2"/>
  <c r="L3" i="2"/>
  <c r="K3" i="2"/>
  <c r="O56" i="2"/>
  <c r="Q65" i="2"/>
  <c r="K55" i="2"/>
  <c r="L65" i="2"/>
  <c r="P70" i="2"/>
  <c r="J70" i="2"/>
  <c r="K71" i="2"/>
  <c r="O66" i="2"/>
  <c r="Q55" i="2"/>
  <c r="L71" i="2"/>
  <c r="Q71" i="2"/>
  <c r="L56" i="2"/>
  <c r="P61" i="2"/>
  <c r="K60" i="2"/>
  <c r="K65" i="2"/>
  <c r="L66" i="2"/>
  <c r="J151" i="2"/>
  <c r="L61" i="2"/>
  <c r="K61" i="2"/>
  <c r="P56" i="2"/>
  <c r="O55" i="2"/>
  <c r="P65" i="2"/>
  <c r="O70" i="2"/>
  <c r="K66" i="2"/>
  <c r="L55" i="2"/>
  <c r="J65" i="2"/>
  <c r="P66" i="2"/>
  <c r="O151" i="2"/>
  <c r="K56" i="2"/>
  <c r="Q66" i="2"/>
  <c r="Q70" i="2"/>
  <c r="Q61" i="2"/>
  <c r="P55" i="2"/>
  <c r="Q60" i="2"/>
  <c r="J66" i="2"/>
  <c r="L70" i="2"/>
  <c r="P60" i="2"/>
  <c r="Q56" i="2"/>
  <c r="L60" i="2"/>
  <c r="P71" i="2"/>
  <c r="J71" i="2"/>
  <c r="J56" i="2"/>
  <c r="J55" i="2"/>
  <c r="O65" i="2"/>
  <c r="K70" i="2"/>
  <c r="O71" i="2"/>
  <c r="AP5" i="2" l="1"/>
  <c r="AN5" i="2"/>
  <c r="AL5" i="2"/>
  <c r="AP7" i="2"/>
  <c r="AN7" i="2"/>
  <c r="AL7" i="2"/>
  <c r="AP10" i="2"/>
  <c r="AN10" i="2"/>
  <c r="AL10" i="2"/>
  <c r="AP13" i="2"/>
  <c r="AN13" i="2"/>
  <c r="AL13" i="2"/>
  <c r="AP17" i="2"/>
  <c r="AN17" i="2"/>
  <c r="AL17" i="2"/>
  <c r="AP33" i="2"/>
  <c r="AN33" i="2"/>
  <c r="AL33" i="2"/>
  <c r="AP34" i="2"/>
  <c r="AN34" i="2"/>
  <c r="AL34" i="2"/>
  <c r="AP37" i="2"/>
  <c r="AN37" i="2"/>
  <c r="AL37" i="2"/>
  <c r="AP38" i="2"/>
  <c r="AN38" i="2"/>
  <c r="AL38" i="2"/>
  <c r="AD133" i="2"/>
  <c r="AP44" i="2"/>
  <c r="AN44" i="2"/>
  <c r="AL44" i="2"/>
  <c r="AP45" i="2"/>
  <c r="AN45" i="2"/>
  <c r="AL45" i="2"/>
  <c r="AP46" i="2"/>
  <c r="AN46" i="2"/>
  <c r="AL46" i="2"/>
  <c r="AP4" i="2"/>
  <c r="AN4" i="2"/>
  <c r="AL4" i="2"/>
  <c r="AP6" i="2"/>
  <c r="AN6" i="2"/>
  <c r="AL6" i="2"/>
  <c r="AP9" i="2"/>
  <c r="AN9" i="2"/>
  <c r="AL9" i="2"/>
  <c r="AP11" i="2"/>
  <c r="AN11" i="2"/>
  <c r="AL11" i="2"/>
  <c r="AP12" i="2"/>
  <c r="AN12" i="2"/>
  <c r="AL12" i="2"/>
  <c r="AP14" i="2"/>
  <c r="AN14" i="2"/>
  <c r="AL14" i="2"/>
  <c r="AP15" i="2"/>
  <c r="AN15" i="2"/>
  <c r="AL15" i="2"/>
  <c r="AP16" i="2"/>
  <c r="AN16" i="2"/>
  <c r="AL16" i="2"/>
  <c r="AP18" i="2"/>
  <c r="AN18" i="2"/>
  <c r="AL18" i="2"/>
  <c r="AP19" i="2"/>
  <c r="AN19" i="2"/>
  <c r="AL19" i="2"/>
  <c r="AP20" i="2"/>
  <c r="AN20" i="2"/>
  <c r="AL20" i="2"/>
  <c r="AP21" i="2"/>
  <c r="AN21" i="2"/>
  <c r="AL21" i="2"/>
  <c r="AP22" i="2"/>
  <c r="AN22" i="2"/>
  <c r="AL22" i="2"/>
  <c r="AP23" i="2"/>
  <c r="AN23" i="2"/>
  <c r="AL23" i="2"/>
  <c r="AP24" i="2"/>
  <c r="AN24" i="2"/>
  <c r="AL24" i="2"/>
  <c r="AP25" i="2"/>
  <c r="AN25" i="2"/>
  <c r="AL25" i="2"/>
  <c r="AP26" i="2"/>
  <c r="AN26" i="2"/>
  <c r="AL26" i="2"/>
  <c r="AP27" i="2"/>
  <c r="AN27" i="2"/>
  <c r="AL27" i="2"/>
  <c r="AP28" i="2"/>
  <c r="AN28" i="2"/>
  <c r="AL28" i="2"/>
  <c r="AP35" i="2"/>
  <c r="AN35" i="2"/>
  <c r="AL35" i="2"/>
  <c r="AP42" i="2"/>
  <c r="AN42" i="2"/>
  <c r="AL42" i="2"/>
  <c r="AP39" i="2"/>
  <c r="AN39" i="2"/>
  <c r="AL39" i="2"/>
  <c r="AP40" i="2"/>
  <c r="AN40" i="2"/>
  <c r="AL40" i="2"/>
  <c r="AP41" i="2"/>
  <c r="AN41" i="2"/>
  <c r="AL41" i="2"/>
  <c r="O166" i="2"/>
  <c r="O161" i="2"/>
  <c r="O155" i="2"/>
  <c r="O165" i="2"/>
  <c r="O160" i="2"/>
  <c r="O156" i="2"/>
  <c r="J166" i="2"/>
  <c r="J160" i="2"/>
  <c r="J156" i="2"/>
  <c r="J165" i="2"/>
  <c r="J161" i="2"/>
  <c r="J155" i="2"/>
  <c r="T55" i="2"/>
  <c r="T70" i="2"/>
  <c r="T65" i="2"/>
  <c r="N3" i="2"/>
  <c r="K69" i="2"/>
  <c r="K68" i="2"/>
  <c r="K54" i="2"/>
  <c r="K53" i="2"/>
  <c r="L68" i="2"/>
  <c r="L69" i="2"/>
  <c r="L53" i="2"/>
  <c r="L54" i="2"/>
  <c r="Q69" i="2"/>
  <c r="Q68" i="2"/>
  <c r="Q54" i="2"/>
  <c r="Q53" i="2"/>
  <c r="R27" i="2"/>
  <c r="M29" i="2"/>
  <c r="M30" i="2"/>
  <c r="L58" i="2"/>
  <c r="L59" i="2"/>
  <c r="Q59" i="2"/>
  <c r="Q58" i="2"/>
  <c r="M31" i="2"/>
  <c r="R31" i="2"/>
  <c r="N32" i="2"/>
  <c r="K64" i="2"/>
  <c r="K63" i="2"/>
  <c r="S32" i="2"/>
  <c r="P63" i="2"/>
  <c r="P64" i="2"/>
  <c r="S3" i="2"/>
  <c r="P68" i="2"/>
  <c r="P69" i="2"/>
  <c r="P53" i="2"/>
  <c r="P54" i="2"/>
  <c r="S27" i="2"/>
  <c r="N29" i="2"/>
  <c r="N30" i="2"/>
  <c r="K59" i="2"/>
  <c r="K58" i="2"/>
  <c r="S30" i="2"/>
  <c r="P58" i="2"/>
  <c r="P59" i="2"/>
  <c r="N31" i="2"/>
  <c r="S31" i="2"/>
  <c r="M32" i="2"/>
  <c r="L63" i="2"/>
  <c r="L64" i="2"/>
  <c r="R32" i="2"/>
  <c r="V32" i="2" s="1"/>
  <c r="Q64" i="2"/>
  <c r="Q63" i="2"/>
  <c r="N47" i="2"/>
  <c r="S47" i="2"/>
  <c r="V13" i="2"/>
  <c r="V17" i="2"/>
  <c r="N8" i="2"/>
  <c r="V6" i="2"/>
  <c r="R34" i="2"/>
  <c r="M43" i="2"/>
  <c r="R43" i="2"/>
  <c r="AD135" i="2"/>
  <c r="R26" i="2"/>
  <c r="S36" i="2"/>
  <c r="M36" i="2"/>
  <c r="R10" i="2"/>
  <c r="V10" i="2" s="1"/>
  <c r="R36" i="2"/>
  <c r="S43" i="2"/>
  <c r="O175" i="2"/>
  <c r="O148" i="2"/>
  <c r="O176" i="2"/>
  <c r="O149" i="2"/>
  <c r="J149" i="2"/>
  <c r="J148" i="2"/>
  <c r="A158" i="2"/>
  <c r="A161" i="2" s="1"/>
  <c r="R25" i="2"/>
  <c r="V34" i="2"/>
  <c r="V5" i="2"/>
  <c r="R30" i="2"/>
  <c r="V4" i="2"/>
  <c r="M8" i="2"/>
  <c r="S8" i="2"/>
  <c r="M3" i="2"/>
  <c r="R3" i="2"/>
  <c r="R8" i="2"/>
  <c r="V9" i="2"/>
  <c r="V12" i="2"/>
  <c r="V16" i="2"/>
  <c r="J176" i="2"/>
  <c r="J175" i="2"/>
  <c r="AD130" i="2"/>
  <c r="U32" i="2"/>
  <c r="U34" i="2"/>
  <c r="R35" i="2"/>
  <c r="N36" i="2"/>
  <c r="R38" i="2"/>
  <c r="V38" i="2" s="1"/>
  <c r="M47" i="2"/>
  <c r="R47" i="2"/>
  <c r="N43" i="2"/>
  <c r="N65" i="2"/>
  <c r="P151" i="2"/>
  <c r="S70" i="2"/>
  <c r="N60" i="2"/>
  <c r="S60" i="2"/>
  <c r="M65" i="2"/>
  <c r="N70" i="2"/>
  <c r="R61" i="2"/>
  <c r="R65" i="2"/>
  <c r="S56" i="2"/>
  <c r="M61" i="2"/>
  <c r="N55" i="2"/>
  <c r="S55" i="2"/>
  <c r="S61" i="2"/>
  <c r="K151" i="2"/>
  <c r="M70" i="2"/>
  <c r="R60" i="2"/>
  <c r="N61" i="2"/>
  <c r="N56" i="2"/>
  <c r="S66" i="2"/>
  <c r="M60" i="2"/>
  <c r="R55" i="2"/>
  <c r="M66" i="2"/>
  <c r="M55" i="2"/>
  <c r="M56" i="2"/>
  <c r="R71" i="2"/>
  <c r="N71" i="2"/>
  <c r="M71" i="2"/>
  <c r="Q151" i="2"/>
  <c r="R66" i="2"/>
  <c r="N66" i="2"/>
  <c r="L151" i="2"/>
  <c r="R70" i="2"/>
  <c r="R56" i="2"/>
  <c r="S65" i="2"/>
  <c r="S71" i="2"/>
  <c r="AP47" i="2" l="1"/>
  <c r="AN47" i="2"/>
  <c r="AL47" i="2"/>
  <c r="AP3" i="2"/>
  <c r="AN3" i="2"/>
  <c r="AL3" i="2"/>
  <c r="AP8" i="2"/>
  <c r="AN8" i="2"/>
  <c r="AL8" i="2"/>
  <c r="AP36" i="2"/>
  <c r="AN36" i="2"/>
  <c r="AL36" i="2"/>
  <c r="AP32" i="2"/>
  <c r="AN32" i="2"/>
  <c r="AL32" i="2"/>
  <c r="AP30" i="2"/>
  <c r="AN30" i="2"/>
  <c r="AL30" i="2"/>
  <c r="AP43" i="2"/>
  <c r="AN43" i="2"/>
  <c r="AL43" i="2"/>
  <c r="AP31" i="2"/>
  <c r="AN31" i="2"/>
  <c r="AL31" i="2"/>
  <c r="AP29" i="2"/>
  <c r="AN29" i="2"/>
  <c r="AL29" i="2"/>
  <c r="Q155" i="2"/>
  <c r="L165" i="2"/>
  <c r="K155" i="2"/>
  <c r="P156" i="2"/>
  <c r="L160" i="2"/>
  <c r="Q166" i="2"/>
  <c r="L166" i="2"/>
  <c r="P161" i="2"/>
  <c r="K160" i="2"/>
  <c r="L155" i="2"/>
  <c r="P166" i="2"/>
  <c r="K165" i="2"/>
  <c r="Q160" i="2"/>
  <c r="L161" i="2"/>
  <c r="P155" i="2"/>
  <c r="K156" i="2"/>
  <c r="Q156" i="2"/>
  <c r="Q165" i="2"/>
  <c r="P160" i="2"/>
  <c r="K161" i="2"/>
  <c r="L156" i="2"/>
  <c r="P165" i="2"/>
  <c r="K166" i="2"/>
  <c r="Q161" i="2"/>
  <c r="Z72" i="2"/>
  <c r="Z73" i="2"/>
  <c r="Z67" i="2"/>
  <c r="Z68" i="2"/>
  <c r="Z62" i="2"/>
  <c r="Z63" i="2"/>
  <c r="X57" i="2"/>
  <c r="X58" i="2"/>
  <c r="W62" i="2"/>
  <c r="W63" i="2"/>
  <c r="W57" i="2"/>
  <c r="W58" i="2"/>
  <c r="Y72" i="2"/>
  <c r="Y73" i="2"/>
  <c r="Y67" i="2"/>
  <c r="Y68" i="2"/>
  <c r="W72" i="2"/>
  <c r="W73" i="2"/>
  <c r="W67" i="2"/>
  <c r="W68" i="2"/>
  <c r="X72" i="2"/>
  <c r="X73" i="2"/>
  <c r="X67" i="2"/>
  <c r="X68" i="2"/>
  <c r="X62" i="2"/>
  <c r="X63" i="2"/>
  <c r="Z57" i="2"/>
  <c r="Z58" i="2"/>
  <c r="Y62" i="2"/>
  <c r="Y63" i="2"/>
  <c r="Y57" i="2"/>
  <c r="Y58" i="2"/>
  <c r="R63" i="2"/>
  <c r="Y65" i="2" s="1"/>
  <c r="R64" i="2"/>
  <c r="Y66" i="2" s="1"/>
  <c r="S59" i="2"/>
  <c r="Z61" i="2" s="1"/>
  <c r="S58" i="2"/>
  <c r="Z60" i="2" s="1"/>
  <c r="S69" i="2"/>
  <c r="S68" i="2"/>
  <c r="Z70" i="2" s="1"/>
  <c r="S54" i="2"/>
  <c r="Z56" i="2" s="1"/>
  <c r="S53" i="2"/>
  <c r="N63" i="2"/>
  <c r="X65" i="2" s="1"/>
  <c r="N64" i="2"/>
  <c r="X66" i="2" s="1"/>
  <c r="N68" i="2"/>
  <c r="X70" i="2" s="1"/>
  <c r="N69" i="2"/>
  <c r="N53" i="2"/>
  <c r="N54" i="2"/>
  <c r="X56" i="2" s="1"/>
  <c r="R68" i="2"/>
  <c r="Y70" i="2" s="1"/>
  <c r="R69" i="2"/>
  <c r="R53" i="2"/>
  <c r="R54" i="2"/>
  <c r="Y56" i="2" s="1"/>
  <c r="M69" i="2"/>
  <c r="M68" i="2"/>
  <c r="W70" i="2" s="1"/>
  <c r="M54" i="2"/>
  <c r="W56" i="2" s="1"/>
  <c r="M53" i="2"/>
  <c r="R58" i="2"/>
  <c r="Y60" i="2" s="1"/>
  <c r="R59" i="2"/>
  <c r="Y61" i="2" s="1"/>
  <c r="M64" i="2"/>
  <c r="W66" i="2" s="1"/>
  <c r="M63" i="2"/>
  <c r="W65" i="2" s="1"/>
  <c r="N58" i="2"/>
  <c r="X60" i="2" s="1"/>
  <c r="N59" i="2"/>
  <c r="X61" i="2" s="1"/>
  <c r="S64" i="2"/>
  <c r="Z66" i="2" s="1"/>
  <c r="S63" i="2"/>
  <c r="Z65" i="2" s="1"/>
  <c r="M59" i="2"/>
  <c r="W61" i="2" s="1"/>
  <c r="M58" i="2"/>
  <c r="W60" i="2" s="1"/>
  <c r="L175" i="2"/>
  <c r="P176" i="2"/>
  <c r="K175" i="2"/>
  <c r="Q176" i="2"/>
  <c r="P148" i="2"/>
  <c r="P149" i="2"/>
  <c r="K148" i="2"/>
  <c r="K149" i="2"/>
  <c r="Q148" i="2"/>
  <c r="Q149" i="2"/>
  <c r="L148" i="2"/>
  <c r="L149" i="2"/>
  <c r="P175" i="2"/>
  <c r="K176" i="2"/>
  <c r="Q175" i="2"/>
  <c r="L176" i="2"/>
  <c r="R176" i="2"/>
  <c r="Y180" i="2" s="1"/>
  <c r="V3" i="2"/>
  <c r="V149" i="1"/>
  <c r="V150" i="1"/>
  <c r="V151" i="1"/>
  <c r="V153" i="1"/>
  <c r="V154" i="1"/>
  <c r="V155" i="1"/>
  <c r="V156" i="1"/>
  <c r="V158" i="1"/>
  <c r="V159" i="1"/>
  <c r="V160" i="1"/>
  <c r="V161" i="1"/>
  <c r="V162" i="1"/>
  <c r="V163" i="1"/>
  <c r="V164" i="1"/>
  <c r="V165" i="1"/>
  <c r="V166" i="1"/>
  <c r="V170" i="1"/>
  <c r="V171" i="1"/>
  <c r="V172" i="1"/>
  <c r="V173" i="1"/>
  <c r="V174" i="1"/>
  <c r="V147" i="1"/>
  <c r="V148" i="1"/>
  <c r="K65" i="9"/>
  <c r="Q65" i="9"/>
  <c r="R65" i="9"/>
  <c r="K66" i="9"/>
  <c r="L66" i="9"/>
  <c r="P66" i="9"/>
  <c r="Q66" i="9"/>
  <c r="R66" i="9"/>
  <c r="K67" i="9"/>
  <c r="Q67" i="9"/>
  <c r="R67" i="9"/>
  <c r="K68" i="9"/>
  <c r="Q68" i="9"/>
  <c r="R68" i="9"/>
  <c r="K57" i="9"/>
  <c r="L57" i="9"/>
  <c r="P57" i="9"/>
  <c r="Q57" i="9"/>
  <c r="R57" i="9"/>
  <c r="K58" i="9"/>
  <c r="Q58" i="9"/>
  <c r="R58" i="9"/>
  <c r="K59" i="9"/>
  <c r="L59" i="9"/>
  <c r="P59" i="9"/>
  <c r="Q59" i="9"/>
  <c r="R59" i="9"/>
  <c r="K60" i="9"/>
  <c r="L60" i="9"/>
  <c r="P60" i="9"/>
  <c r="Q60" i="9"/>
  <c r="R60" i="9"/>
  <c r="K61" i="9"/>
  <c r="L61" i="9"/>
  <c r="P61" i="9"/>
  <c r="Q61" i="9"/>
  <c r="R61" i="9"/>
  <c r="K62" i="9"/>
  <c r="Q62" i="9"/>
  <c r="R62" i="9"/>
  <c r="K63" i="9"/>
  <c r="L63" i="9"/>
  <c r="P63" i="9"/>
  <c r="Q63" i="9"/>
  <c r="R63" i="9"/>
  <c r="K64" i="9"/>
  <c r="Q64" i="9"/>
  <c r="R64" i="9"/>
  <c r="K53" i="9"/>
  <c r="L53" i="9"/>
  <c r="P53" i="9"/>
  <c r="K54" i="9"/>
  <c r="Q54" i="9"/>
  <c r="R54" i="9"/>
  <c r="K55" i="9"/>
  <c r="Q55" i="9"/>
  <c r="R55" i="9"/>
  <c r="K56" i="9"/>
  <c r="L56" i="9"/>
  <c r="P56" i="9"/>
  <c r="Q56" i="9"/>
  <c r="R56" i="9"/>
  <c r="K5" i="9"/>
  <c r="L5" i="9"/>
  <c r="P5" i="9"/>
  <c r="K6" i="9"/>
  <c r="L6" i="9"/>
  <c r="P6" i="9"/>
  <c r="K7" i="9"/>
  <c r="Q7" i="9"/>
  <c r="R7" i="9"/>
  <c r="K8" i="9"/>
  <c r="L8" i="9"/>
  <c r="P8" i="9"/>
  <c r="Q8" i="9"/>
  <c r="R8" i="9"/>
  <c r="K9" i="9"/>
  <c r="L9" i="9"/>
  <c r="P9" i="9"/>
  <c r="K10" i="9"/>
  <c r="L10" i="9"/>
  <c r="P10" i="9"/>
  <c r="Q10" i="9"/>
  <c r="R10" i="9"/>
  <c r="K11" i="9"/>
  <c r="L11" i="9"/>
  <c r="P11" i="9"/>
  <c r="Q11" i="9"/>
  <c r="R11" i="9"/>
  <c r="K12" i="9"/>
  <c r="Q12" i="9"/>
  <c r="R12" i="9"/>
  <c r="K13" i="9"/>
  <c r="Q13" i="9"/>
  <c r="R13" i="9"/>
  <c r="K14" i="9"/>
  <c r="L14" i="9"/>
  <c r="P14" i="9"/>
  <c r="Q14" i="9"/>
  <c r="R14" i="9"/>
  <c r="K15" i="9"/>
  <c r="L15" i="9"/>
  <c r="P15" i="9"/>
  <c r="K16" i="9"/>
  <c r="L16" i="9"/>
  <c r="P16" i="9"/>
  <c r="Q16" i="9"/>
  <c r="R16" i="9"/>
  <c r="K17" i="9"/>
  <c r="K18" i="9"/>
  <c r="L18" i="9"/>
  <c r="P18" i="9"/>
  <c r="Q18" i="9"/>
  <c r="R18" i="9"/>
  <c r="K19" i="9"/>
  <c r="L19" i="9"/>
  <c r="P19" i="9"/>
  <c r="K20" i="9"/>
  <c r="Q20" i="9"/>
  <c r="R20" i="9"/>
  <c r="K21" i="9"/>
  <c r="Q21" i="9"/>
  <c r="R21" i="9"/>
  <c r="K22" i="9"/>
  <c r="L22" i="9"/>
  <c r="P22" i="9"/>
  <c r="K23" i="9"/>
  <c r="Q23" i="9"/>
  <c r="R23" i="9"/>
  <c r="K24" i="9"/>
  <c r="L24" i="9"/>
  <c r="P24" i="9"/>
  <c r="K25" i="9"/>
  <c r="L25" i="9"/>
  <c r="P25" i="9"/>
  <c r="K26" i="9"/>
  <c r="L26" i="9"/>
  <c r="P26" i="9"/>
  <c r="K27" i="9"/>
  <c r="Q27" i="9"/>
  <c r="R27" i="9"/>
  <c r="K28" i="9"/>
  <c r="K29" i="9"/>
  <c r="L29" i="9"/>
  <c r="P29" i="9"/>
  <c r="K30" i="9"/>
  <c r="L30" i="9"/>
  <c r="P30" i="9"/>
  <c r="K31" i="9"/>
  <c r="Q31" i="9"/>
  <c r="R31" i="9"/>
  <c r="K32" i="9"/>
  <c r="L32" i="9"/>
  <c r="P32" i="9"/>
  <c r="Q32" i="9"/>
  <c r="R32" i="9"/>
  <c r="K33" i="9"/>
  <c r="L33" i="9"/>
  <c r="P33" i="9"/>
  <c r="Q33" i="9"/>
  <c r="R33" i="9"/>
  <c r="K34" i="9"/>
  <c r="L34" i="9"/>
  <c r="P34" i="9"/>
  <c r="K35" i="9"/>
  <c r="L35" i="9"/>
  <c r="P35" i="9"/>
  <c r="Q35" i="9"/>
  <c r="R35" i="9"/>
  <c r="K36" i="9"/>
  <c r="Q36" i="9"/>
  <c r="R36" i="9"/>
  <c r="K37" i="9"/>
  <c r="L37" i="9"/>
  <c r="P37" i="9"/>
  <c r="Q37" i="9"/>
  <c r="R37" i="9"/>
  <c r="K38" i="9"/>
  <c r="L38" i="9"/>
  <c r="P38" i="9"/>
  <c r="Q38" i="9"/>
  <c r="R38" i="9"/>
  <c r="K39" i="9"/>
  <c r="L39" i="9"/>
  <c r="P39" i="9"/>
  <c r="Q39" i="9"/>
  <c r="R39" i="9"/>
  <c r="K40" i="9"/>
  <c r="L40" i="9"/>
  <c r="P40" i="9"/>
  <c r="Q40" i="9"/>
  <c r="R40" i="9"/>
  <c r="K41" i="9"/>
  <c r="L41" i="9"/>
  <c r="P41" i="9"/>
  <c r="Q41" i="9"/>
  <c r="R41" i="9"/>
  <c r="K42" i="9"/>
  <c r="L42" i="9"/>
  <c r="P42" i="9"/>
  <c r="Q42" i="9"/>
  <c r="R42" i="9"/>
  <c r="K43" i="9"/>
  <c r="Q43" i="9"/>
  <c r="R43" i="9"/>
  <c r="K44" i="9"/>
  <c r="Q44" i="9"/>
  <c r="R44" i="9"/>
  <c r="K45" i="9"/>
  <c r="Q45" i="9"/>
  <c r="R45" i="9"/>
  <c r="K46" i="9"/>
  <c r="Q46" i="9"/>
  <c r="R46" i="9"/>
  <c r="K47" i="9"/>
  <c r="Q47" i="9"/>
  <c r="R47" i="9"/>
  <c r="K48" i="9"/>
  <c r="L48" i="9"/>
  <c r="P48" i="9"/>
  <c r="Q48" i="9"/>
  <c r="R48" i="9"/>
  <c r="K49" i="9"/>
  <c r="L49" i="9"/>
  <c r="P49" i="9"/>
  <c r="K50" i="9"/>
  <c r="Q50" i="9"/>
  <c r="R50" i="9"/>
  <c r="K51" i="9"/>
  <c r="Q51" i="9"/>
  <c r="R51" i="9"/>
  <c r="K52" i="9"/>
  <c r="Q52" i="9"/>
  <c r="R52" i="9"/>
  <c r="A4" i="9"/>
  <c r="B4" i="9"/>
  <c r="A5" i="9"/>
  <c r="B5" i="9"/>
  <c r="A6" i="9"/>
  <c r="B6" i="9"/>
  <c r="A7" i="9"/>
  <c r="B7" i="9"/>
  <c r="A8" i="9"/>
  <c r="A9" i="9"/>
  <c r="A10" i="9"/>
  <c r="A11" i="9"/>
  <c r="B11" i="9"/>
  <c r="A12" i="9"/>
  <c r="A13" i="9"/>
  <c r="B13" i="9"/>
  <c r="A14" i="9"/>
  <c r="A15" i="9"/>
  <c r="B15" i="9"/>
  <c r="A16" i="9"/>
  <c r="B16" i="9"/>
  <c r="A17" i="9"/>
  <c r="B17" i="9"/>
  <c r="A18" i="9"/>
  <c r="B18" i="9"/>
  <c r="A19" i="9"/>
  <c r="B19" i="9"/>
  <c r="A20" i="9"/>
  <c r="B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B48" i="9"/>
  <c r="A49" i="9"/>
  <c r="B49" i="9"/>
  <c r="A50" i="9"/>
  <c r="A51" i="9"/>
  <c r="A52" i="9"/>
  <c r="A53" i="9"/>
  <c r="B53" i="9"/>
  <c r="A54" i="9"/>
  <c r="A55" i="9"/>
  <c r="A56" i="9"/>
  <c r="B56" i="9"/>
  <c r="A57" i="9"/>
  <c r="B57" i="9"/>
  <c r="A58" i="9"/>
  <c r="B58" i="9"/>
  <c r="A59" i="9"/>
  <c r="B59" i="9"/>
  <c r="A60" i="9"/>
  <c r="A61" i="9"/>
  <c r="A62" i="9"/>
  <c r="A63" i="9"/>
  <c r="A64" i="9"/>
  <c r="A65" i="9"/>
  <c r="A66" i="9"/>
  <c r="A67" i="9"/>
  <c r="A68" i="9"/>
  <c r="B68" i="9"/>
  <c r="A69" i="9"/>
  <c r="A70" i="9"/>
  <c r="A71" i="9"/>
  <c r="B71" i="9"/>
  <c r="A72" i="9"/>
  <c r="B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B102" i="9"/>
  <c r="A103" i="9"/>
  <c r="B103" i="9"/>
  <c r="A104" i="9"/>
  <c r="A105" i="9"/>
  <c r="A106" i="9"/>
  <c r="B106" i="9"/>
  <c r="A107" i="9"/>
  <c r="B107" i="9"/>
  <c r="A108" i="9"/>
  <c r="B108" i="9"/>
  <c r="A109" i="9"/>
  <c r="B109" i="9"/>
  <c r="A110" i="9"/>
  <c r="A111" i="9"/>
  <c r="B111" i="9"/>
  <c r="A112" i="9"/>
  <c r="A113" i="9"/>
  <c r="A114" i="9"/>
  <c r="B114" i="9"/>
  <c r="A115" i="9"/>
  <c r="B115" i="9"/>
  <c r="A116" i="9"/>
  <c r="B116" i="9"/>
  <c r="A117" i="9"/>
  <c r="A118" i="9"/>
  <c r="A119" i="9"/>
  <c r="A120" i="9"/>
  <c r="A121" i="9"/>
  <c r="A122" i="9"/>
  <c r="A123" i="9"/>
  <c r="A124" i="9"/>
  <c r="A125" i="9"/>
  <c r="A126" i="9"/>
  <c r="A127" i="9"/>
  <c r="A128" i="9"/>
  <c r="A43" i="6"/>
  <c r="A48" i="6"/>
  <c r="A45" i="6"/>
  <c r="A46" i="6"/>
  <c r="A47" i="6"/>
  <c r="A44" i="6"/>
  <c r="A25" i="6"/>
  <c r="A15" i="6"/>
  <c r="A18" i="6"/>
  <c r="A19" i="6"/>
  <c r="A20" i="6"/>
  <c r="A21" i="6"/>
  <c r="A22" i="6"/>
  <c r="A23" i="6"/>
  <c r="A16" i="6"/>
  <c r="A11" i="6"/>
  <c r="A6" i="6"/>
  <c r="A7" i="6"/>
  <c r="A8" i="6"/>
  <c r="A9" i="6"/>
  <c r="A10" i="6"/>
  <c r="A5" i="6"/>
  <c r="A4" i="6"/>
  <c r="A3" i="6"/>
  <c r="A33" i="6"/>
  <c r="A34" i="6"/>
  <c r="A35" i="6"/>
  <c r="A32" i="6"/>
  <c r="A31" i="6"/>
  <c r="AI147" i="1"/>
  <c r="AH147" i="1"/>
  <c r="D46" i="10"/>
  <c r="D47" i="10"/>
  <c r="D48" i="10"/>
  <c r="D49" i="10"/>
  <c r="D45" i="10"/>
  <c r="D40" i="10"/>
  <c r="D41" i="10"/>
  <c r="D43" i="10"/>
  <c r="D52" i="10"/>
  <c r="D50" i="10"/>
  <c r="D36" i="10"/>
  <c r="B42" i="10"/>
  <c r="D42" i="10" s="1"/>
  <c r="A30" i="10"/>
  <c r="A21" i="10"/>
  <c r="A6" i="10"/>
  <c r="G13" i="12"/>
  <c r="D13" i="12"/>
  <c r="G12" i="12"/>
  <c r="D12" i="12"/>
  <c r="G11" i="12"/>
  <c r="D11" i="12"/>
  <c r="J242" i="1"/>
  <c r="L239" i="1"/>
  <c r="K239" i="1"/>
  <c r="L238" i="1"/>
  <c r="K238" i="1"/>
  <c r="L235" i="1"/>
  <c r="M61" i="9" s="1"/>
  <c r="N61" i="9" s="1"/>
  <c r="K235" i="1"/>
  <c r="N235" i="1" s="1"/>
  <c r="L234" i="1"/>
  <c r="M60" i="9" s="1"/>
  <c r="N60" i="9" s="1"/>
  <c r="K234" i="1"/>
  <c r="N234" i="1" s="1"/>
  <c r="J233" i="1"/>
  <c r="M233" i="1" s="1"/>
  <c r="L232" i="1"/>
  <c r="K232" i="1"/>
  <c r="L231" i="1"/>
  <c r="M57" i="9" s="1"/>
  <c r="N57" i="9" s="1"/>
  <c r="K231" i="1"/>
  <c r="N231" i="1" s="1"/>
  <c r="L229" i="1"/>
  <c r="K229" i="1"/>
  <c r="L228" i="1"/>
  <c r="K228" i="1"/>
  <c r="Q227" i="1"/>
  <c r="P227" i="1"/>
  <c r="L227" i="1"/>
  <c r="M53" i="9" s="1"/>
  <c r="N53" i="9" s="1"/>
  <c r="K227" i="1"/>
  <c r="N227" i="1" s="1"/>
  <c r="L226" i="1"/>
  <c r="K226" i="1"/>
  <c r="L224" i="1"/>
  <c r="K224" i="1"/>
  <c r="Q223" i="1"/>
  <c r="P223" i="1"/>
  <c r="L223" i="1"/>
  <c r="M49" i="9" s="1"/>
  <c r="N49" i="9" s="1"/>
  <c r="K223" i="1"/>
  <c r="N223" i="1" s="1"/>
  <c r="L222" i="1"/>
  <c r="M48" i="9" s="1"/>
  <c r="N48" i="9" s="1"/>
  <c r="K222" i="1"/>
  <c r="N222" i="1" s="1"/>
  <c r="L221" i="1"/>
  <c r="K221" i="1"/>
  <c r="L220" i="1"/>
  <c r="K220" i="1"/>
  <c r="L219" i="1"/>
  <c r="K219" i="1"/>
  <c r="L218" i="1"/>
  <c r="K218" i="1"/>
  <c r="L217" i="1"/>
  <c r="K217" i="1"/>
  <c r="L215" i="1"/>
  <c r="M41" i="9" s="1"/>
  <c r="N41" i="9" s="1"/>
  <c r="K215" i="1"/>
  <c r="N215" i="1" s="1"/>
  <c r="L214" i="1"/>
  <c r="M40" i="9" s="1"/>
  <c r="N40" i="9" s="1"/>
  <c r="K214" i="1"/>
  <c r="N214" i="1" s="1"/>
  <c r="L213" i="1"/>
  <c r="M39" i="9" s="1"/>
  <c r="N39" i="9" s="1"/>
  <c r="K213" i="1"/>
  <c r="N213" i="1" s="1"/>
  <c r="L212" i="1"/>
  <c r="M38" i="9" s="1"/>
  <c r="N38" i="9" s="1"/>
  <c r="K212" i="1"/>
  <c r="N212" i="1" s="1"/>
  <c r="L211" i="1"/>
  <c r="M37" i="9" s="1"/>
  <c r="N37" i="9" s="1"/>
  <c r="K211" i="1"/>
  <c r="N211" i="1" s="1"/>
  <c r="K128" i="1"/>
  <c r="Q114" i="1"/>
  <c r="P114" i="1"/>
  <c r="K114" i="1"/>
  <c r="K127" i="1"/>
  <c r="K126" i="1"/>
  <c r="K125" i="1"/>
  <c r="K124" i="1"/>
  <c r="L207" i="1"/>
  <c r="K207" i="1"/>
  <c r="N207" i="1" s="1"/>
  <c r="Q116" i="1"/>
  <c r="P116" i="1"/>
  <c r="K116" i="1"/>
  <c r="K115" i="1"/>
  <c r="N115" i="1" s="1"/>
  <c r="D114" i="9" s="1"/>
  <c r="K106" i="1"/>
  <c r="Q103" i="1"/>
  <c r="P103" i="1"/>
  <c r="S103" i="1" s="1"/>
  <c r="K103" i="1"/>
  <c r="N103" i="1" s="1"/>
  <c r="D102" i="9" s="1"/>
  <c r="L195" i="1"/>
  <c r="K195" i="1"/>
  <c r="Q194" i="1"/>
  <c r="P194" i="1"/>
  <c r="L194" i="1"/>
  <c r="K194" i="1"/>
  <c r="L193" i="1"/>
  <c r="K193" i="1"/>
  <c r="L188" i="1"/>
  <c r="K188" i="1"/>
  <c r="L187" i="1"/>
  <c r="K187" i="1"/>
  <c r="L185" i="1"/>
  <c r="K185" i="1"/>
  <c r="N185" i="1" s="1"/>
  <c r="L183" i="1"/>
  <c r="K183" i="1"/>
  <c r="N183" i="1" s="1"/>
  <c r="L182" i="1"/>
  <c r="K182" i="1"/>
  <c r="Q181" i="1"/>
  <c r="P181" i="1"/>
  <c r="S181" i="1" s="1"/>
  <c r="R6" i="9" s="1"/>
  <c r="L181" i="1"/>
  <c r="K181" i="1"/>
  <c r="N181" i="1" s="1"/>
  <c r="K57" i="1"/>
  <c r="N57" i="1" s="1"/>
  <c r="K56" i="1"/>
  <c r="N56" i="1" s="1"/>
  <c r="Q54" i="1"/>
  <c r="P54" i="1"/>
  <c r="S54" i="1" s="1"/>
  <c r="K54" i="1"/>
  <c r="N54" i="1" s="1"/>
  <c r="Q53" i="1"/>
  <c r="P53" i="1"/>
  <c r="S53" i="1" s="1"/>
  <c r="K53" i="1"/>
  <c r="N53" i="1" s="1"/>
  <c r="K51" i="1"/>
  <c r="N51" i="1" s="1"/>
  <c r="K48" i="1"/>
  <c r="K46" i="1"/>
  <c r="N46" i="1" s="1"/>
  <c r="Q45" i="1"/>
  <c r="P45" i="1"/>
  <c r="S45" i="1" s="1"/>
  <c r="K45" i="1"/>
  <c r="N45" i="1" s="1"/>
  <c r="K40" i="1"/>
  <c r="K39" i="1"/>
  <c r="K37" i="1"/>
  <c r="P34" i="1"/>
  <c r="S34" i="1" s="1"/>
  <c r="K34" i="1"/>
  <c r="N34" i="1" s="1"/>
  <c r="K31" i="1"/>
  <c r="P30" i="1"/>
  <c r="K30" i="1"/>
  <c r="D6" i="12"/>
  <c r="D5" i="12"/>
  <c r="P4" i="12"/>
  <c r="Q4" i="12" s="1"/>
  <c r="O4" i="12"/>
  <c r="R4" i="12" s="1"/>
  <c r="J4" i="12"/>
  <c r="K4" i="12"/>
  <c r="L4" i="12" s="1"/>
  <c r="M4" i="12"/>
  <c r="P76" i="1"/>
  <c r="Q76" i="1"/>
  <c r="P64" i="1"/>
  <c r="Q64" i="1"/>
  <c r="P83" i="1"/>
  <c r="Q83" i="1"/>
  <c r="P180" i="1"/>
  <c r="S180" i="1" s="1"/>
  <c r="R5" i="9" s="1"/>
  <c r="Q180" i="1"/>
  <c r="AN180" i="1" s="1"/>
  <c r="Q179" i="1"/>
  <c r="P179" i="1"/>
  <c r="P117" i="1"/>
  <c r="Q117" i="1"/>
  <c r="P99" i="1"/>
  <c r="Q99" i="1"/>
  <c r="P101" i="1"/>
  <c r="Q101" i="1"/>
  <c r="P80" i="1"/>
  <c r="P91" i="1"/>
  <c r="S91" i="1" s="1"/>
  <c r="Q91" i="1"/>
  <c r="P88" i="1"/>
  <c r="Q88" i="1"/>
  <c r="P70" i="1"/>
  <c r="Q70" i="1"/>
  <c r="P44" i="1"/>
  <c r="Q44" i="1"/>
  <c r="P65" i="1"/>
  <c r="S65" i="1" s="1"/>
  <c r="Q65" i="1"/>
  <c r="Q43" i="1"/>
  <c r="P43" i="1"/>
  <c r="P35" i="1"/>
  <c r="P33" i="1"/>
  <c r="P97" i="1"/>
  <c r="P23" i="1"/>
  <c r="P84" i="1"/>
  <c r="BC212" i="1"/>
  <c r="X3" i="9"/>
  <c r="X4" i="9"/>
  <c r="X5" i="9"/>
  <c r="X6" i="9"/>
  <c r="X7" i="9"/>
  <c r="X8" i="9"/>
  <c r="P4" i="9"/>
  <c r="L4" i="9"/>
  <c r="K4" i="9"/>
  <c r="F4" i="9"/>
  <c r="F5" i="9"/>
  <c r="F6" i="9"/>
  <c r="F84" i="9"/>
  <c r="F87" i="9"/>
  <c r="F88" i="9"/>
  <c r="F89" i="9"/>
  <c r="F3" i="9"/>
  <c r="H95" i="9"/>
  <c r="H96" i="9"/>
  <c r="H97" i="9"/>
  <c r="H98" i="9"/>
  <c r="H99" i="9"/>
  <c r="H100" i="9"/>
  <c r="H101" i="9"/>
  <c r="H102" i="9"/>
  <c r="H103" i="9"/>
  <c r="K3"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4" i="9"/>
  <c r="H5" i="9"/>
  <c r="H6" i="9"/>
  <c r="H7" i="9"/>
  <c r="H8" i="9"/>
  <c r="H9" i="9"/>
  <c r="H10" i="9"/>
  <c r="H11" i="9"/>
  <c r="H12" i="9"/>
  <c r="H13" i="9"/>
  <c r="H14" i="9"/>
  <c r="H15" i="9"/>
  <c r="H16" i="9"/>
  <c r="H17" i="9"/>
  <c r="H18" i="9"/>
  <c r="H19" i="9"/>
  <c r="H20" i="9"/>
  <c r="H3" i="9"/>
  <c r="A3" i="9"/>
  <c r="B3" i="9"/>
  <c r="J66" i="1"/>
  <c r="J59" i="1"/>
  <c r="K123" i="1"/>
  <c r="K122" i="1"/>
  <c r="U100" i="1"/>
  <c r="Q100" i="1"/>
  <c r="P100" i="1"/>
  <c r="K100" i="1"/>
  <c r="Q120" i="1"/>
  <c r="P120" i="1"/>
  <c r="K120" i="1"/>
  <c r="K119" i="1"/>
  <c r="K118" i="1"/>
  <c r="Q89" i="1"/>
  <c r="P89" i="1"/>
  <c r="K89" i="1"/>
  <c r="K83" i="1"/>
  <c r="Q81" i="1"/>
  <c r="P81" i="1"/>
  <c r="K81" i="1"/>
  <c r="K121" i="1"/>
  <c r="K117" i="1"/>
  <c r="Q113" i="1"/>
  <c r="P113" i="1"/>
  <c r="K113" i="1"/>
  <c r="Q112" i="1"/>
  <c r="P112" i="1"/>
  <c r="S112" i="1" s="1"/>
  <c r="K112" i="1"/>
  <c r="N112" i="1" s="1"/>
  <c r="D111" i="9" s="1"/>
  <c r="Q111" i="1"/>
  <c r="P111" i="1"/>
  <c r="K111" i="1"/>
  <c r="E111" i="1"/>
  <c r="Q110" i="1"/>
  <c r="P110" i="1"/>
  <c r="S110" i="1" s="1"/>
  <c r="K110" i="1"/>
  <c r="N110" i="1" s="1"/>
  <c r="D109" i="9" s="1"/>
  <c r="F110" i="1"/>
  <c r="U109" i="1"/>
  <c r="Q109" i="1"/>
  <c r="P109" i="1"/>
  <c r="S109" i="1" s="1"/>
  <c r="K109" i="1"/>
  <c r="N109" i="1" s="1"/>
  <c r="D108" i="9" s="1"/>
  <c r="Q108" i="1"/>
  <c r="P108" i="1"/>
  <c r="S108" i="1" s="1"/>
  <c r="K108" i="1"/>
  <c r="N108" i="1" s="1"/>
  <c r="D107" i="9" s="1"/>
  <c r="Q107" i="1"/>
  <c r="P107" i="1"/>
  <c r="K107" i="1"/>
  <c r="Q105" i="1"/>
  <c r="P105" i="1"/>
  <c r="K105" i="1"/>
  <c r="Q104" i="1"/>
  <c r="P104" i="1"/>
  <c r="S104" i="1" s="1"/>
  <c r="K104" i="1"/>
  <c r="N104" i="1" s="1"/>
  <c r="D103" i="9" s="1"/>
  <c r="K101" i="1"/>
  <c r="K99" i="1"/>
  <c r="K98" i="1"/>
  <c r="Q96" i="1"/>
  <c r="P96" i="1"/>
  <c r="K96" i="1"/>
  <c r="K80" i="1"/>
  <c r="K95" i="1"/>
  <c r="Q94" i="1"/>
  <c r="P94" i="1"/>
  <c r="K94" i="1"/>
  <c r="Q93" i="1"/>
  <c r="P93" i="1"/>
  <c r="K93" i="1"/>
  <c r="Q92" i="1"/>
  <c r="P92" i="1"/>
  <c r="K92" i="1"/>
  <c r="E92" i="1"/>
  <c r="K91" i="1"/>
  <c r="N91" i="1" s="1"/>
  <c r="AB90" i="1"/>
  <c r="Q90" i="1"/>
  <c r="P90" i="1"/>
  <c r="K90" i="1"/>
  <c r="K88" i="1"/>
  <c r="Q87" i="1"/>
  <c r="P87" i="1"/>
  <c r="K87" i="1"/>
  <c r="Q86" i="1"/>
  <c r="P86" i="1"/>
  <c r="K86" i="1"/>
  <c r="K85" i="1"/>
  <c r="K82" i="1"/>
  <c r="Q79" i="1"/>
  <c r="P79" i="1"/>
  <c r="K79" i="1"/>
  <c r="Q78" i="1"/>
  <c r="P78" i="1"/>
  <c r="K78" i="1"/>
  <c r="T74" i="1"/>
  <c r="U74" i="1" s="1"/>
  <c r="Q74" i="1"/>
  <c r="P74" i="1"/>
  <c r="S74" i="1" s="1"/>
  <c r="K74" i="1"/>
  <c r="N74" i="1" s="1"/>
  <c r="K77" i="1"/>
  <c r="K76" i="1"/>
  <c r="Q75" i="1"/>
  <c r="P75" i="1"/>
  <c r="K75" i="1"/>
  <c r="K73" i="1"/>
  <c r="Q72" i="1"/>
  <c r="P72" i="1"/>
  <c r="K72" i="1"/>
  <c r="Q71" i="1"/>
  <c r="P71" i="1"/>
  <c r="K71" i="1"/>
  <c r="K70" i="1"/>
  <c r="Q69" i="1"/>
  <c r="P69" i="1"/>
  <c r="S69" i="1" s="1"/>
  <c r="K69" i="1"/>
  <c r="N69" i="1" s="1"/>
  <c r="D72" i="9" s="1"/>
  <c r="U68" i="1"/>
  <c r="Q68" i="1"/>
  <c r="P68" i="1"/>
  <c r="S68" i="1" s="1"/>
  <c r="K68" i="1"/>
  <c r="N68" i="1" s="1"/>
  <c r="D71" i="9" s="1"/>
  <c r="K67" i="1"/>
  <c r="U66" i="1"/>
  <c r="Q66" i="1"/>
  <c r="P66" i="1"/>
  <c r="K65" i="1"/>
  <c r="Q63" i="1"/>
  <c r="P63" i="1"/>
  <c r="K63" i="1"/>
  <c r="K64" i="1"/>
  <c r="Q59" i="1"/>
  <c r="P59" i="1"/>
  <c r="Q62" i="1"/>
  <c r="P62" i="1"/>
  <c r="K62" i="1"/>
  <c r="Q61" i="1"/>
  <c r="P61" i="1"/>
  <c r="K61" i="1"/>
  <c r="Q60" i="1"/>
  <c r="P60" i="1"/>
  <c r="K60" i="1"/>
  <c r="Q58" i="1"/>
  <c r="P58" i="1"/>
  <c r="K58" i="1"/>
  <c r="Q9" i="1"/>
  <c r="P9" i="1"/>
  <c r="K9" i="1"/>
  <c r="Q55" i="1"/>
  <c r="P55" i="1"/>
  <c r="S55" i="1" s="1"/>
  <c r="I44" i="9" s="1"/>
  <c r="K55" i="1"/>
  <c r="N55" i="1" s="1"/>
  <c r="K49" i="1"/>
  <c r="Q50" i="1"/>
  <c r="P50" i="1"/>
  <c r="S50" i="1" s="1"/>
  <c r="K50" i="1"/>
  <c r="N50" i="1" s="1"/>
  <c r="K44" i="1"/>
  <c r="H44" i="1"/>
  <c r="K43" i="1"/>
  <c r="H43" i="1"/>
  <c r="K42" i="1"/>
  <c r="Q47" i="1"/>
  <c r="P47" i="1"/>
  <c r="K47" i="1"/>
  <c r="Q41" i="1"/>
  <c r="P41" i="1"/>
  <c r="K41" i="1"/>
  <c r="T38" i="1"/>
  <c r="U38" i="1" s="1"/>
  <c r="Q38" i="1"/>
  <c r="P38" i="1"/>
  <c r="P102" i="1"/>
  <c r="S102" i="1" s="1"/>
  <c r="K102" i="1"/>
  <c r="N102" i="1" s="1"/>
  <c r="P36" i="1"/>
  <c r="K36" i="1"/>
  <c r="K35" i="1"/>
  <c r="K33" i="1"/>
  <c r="K32" i="1"/>
  <c r="P29" i="1"/>
  <c r="K29" i="1"/>
  <c r="K97" i="1"/>
  <c r="T28" i="1"/>
  <c r="P28" i="1"/>
  <c r="K28" i="1"/>
  <c r="K27" i="1"/>
  <c r="P26" i="1"/>
  <c r="K26" i="1"/>
  <c r="P25" i="1"/>
  <c r="K25" i="1"/>
  <c r="P24" i="1"/>
  <c r="K24" i="1"/>
  <c r="K23" i="1"/>
  <c r="P22" i="1"/>
  <c r="K22" i="1"/>
  <c r="T21" i="1"/>
  <c r="P21" i="1"/>
  <c r="S21" i="1" s="1"/>
  <c r="K21" i="1"/>
  <c r="N21" i="1" s="1"/>
  <c r="K84" i="1"/>
  <c r="P18" i="1"/>
  <c r="S18" i="1" s="1"/>
  <c r="K18" i="1"/>
  <c r="N18" i="1" s="1"/>
  <c r="P19" i="1"/>
  <c r="S19" i="1" s="1"/>
  <c r="I18" i="9" s="1"/>
  <c r="K19" i="1"/>
  <c r="N19" i="1" s="1"/>
  <c r="T20" i="1"/>
  <c r="P20" i="1"/>
  <c r="S20" i="1" s="1"/>
  <c r="K20" i="1"/>
  <c r="N20" i="1" s="1"/>
  <c r="T17" i="1"/>
  <c r="U17" i="1" s="1"/>
  <c r="P17" i="1"/>
  <c r="S17" i="1" s="1"/>
  <c r="K17" i="1"/>
  <c r="N17" i="1" s="1"/>
  <c r="T16" i="1"/>
  <c r="P16" i="1"/>
  <c r="S16" i="1" s="1"/>
  <c r="K16" i="1"/>
  <c r="N16" i="1" s="1"/>
  <c r="P15" i="1"/>
  <c r="S15" i="1" s="1"/>
  <c r="K15" i="1"/>
  <c r="N15" i="1" s="1"/>
  <c r="P14" i="1"/>
  <c r="K14" i="1"/>
  <c r="T13" i="1"/>
  <c r="P13" i="1"/>
  <c r="S13" i="1" s="1"/>
  <c r="K13" i="1"/>
  <c r="N13" i="1" s="1"/>
  <c r="T11" i="1"/>
  <c r="U11" i="1" s="1"/>
  <c r="P11" i="1"/>
  <c r="S11" i="1" s="1"/>
  <c r="K11" i="1"/>
  <c r="N11" i="1" s="1"/>
  <c r="P12" i="1"/>
  <c r="K12" i="1"/>
  <c r="P10" i="1"/>
  <c r="K10" i="1"/>
  <c r="E10" i="1"/>
  <c r="P8" i="1"/>
  <c r="K8" i="1"/>
  <c r="P7" i="1"/>
  <c r="S7" i="1" s="1"/>
  <c r="K7" i="1"/>
  <c r="N7" i="1" s="1"/>
  <c r="D7" i="9" s="1"/>
  <c r="T6" i="1"/>
  <c r="U6" i="1" s="1"/>
  <c r="P6" i="1"/>
  <c r="S6" i="1" s="1"/>
  <c r="I6" i="9" s="1"/>
  <c r="K6" i="1"/>
  <c r="N6" i="1" s="1"/>
  <c r="D6" i="9" s="1"/>
  <c r="T5" i="1"/>
  <c r="P5" i="1"/>
  <c r="S5" i="1" s="1"/>
  <c r="K5" i="1"/>
  <c r="N5" i="1" s="1"/>
  <c r="D5" i="9" s="1"/>
  <c r="T4" i="1"/>
  <c r="U4" i="1" s="1"/>
  <c r="P4" i="1"/>
  <c r="S4" i="1" s="1"/>
  <c r="I4" i="9" s="1"/>
  <c r="K4" i="1"/>
  <c r="N4" i="1" s="1"/>
  <c r="D4" i="9" s="1"/>
  <c r="T3" i="1"/>
  <c r="P3" i="1"/>
  <c r="K3" i="1"/>
  <c r="S150" i="2"/>
  <c r="Q268" i="1"/>
  <c r="N150" i="2"/>
  <c r="N151" i="2"/>
  <c r="R150" i="2"/>
  <c r="R151" i="2"/>
  <c r="Q257" i="1"/>
  <c r="P267" i="1"/>
  <c r="M150" i="2"/>
  <c r="S151" i="2"/>
  <c r="M151" i="2"/>
  <c r="Q267" i="1"/>
  <c r="P268" i="1"/>
  <c r="P257" i="1"/>
  <c r="M111" i="1" l="1"/>
  <c r="R111" i="1"/>
  <c r="D19" i="9"/>
  <c r="T132" i="1"/>
  <c r="B92" i="9"/>
  <c r="M92" i="1"/>
  <c r="R92" i="1"/>
  <c r="B10" i="9"/>
  <c r="M10" i="1"/>
  <c r="R10" i="1"/>
  <c r="P170" i="1"/>
  <c r="P166" i="1"/>
  <c r="Q170" i="1"/>
  <c r="Q166" i="1"/>
  <c r="J170" i="1"/>
  <c r="J166" i="1"/>
  <c r="W153" i="2"/>
  <c r="X152" i="2"/>
  <c r="W152" i="2"/>
  <c r="X153" i="2"/>
  <c r="Y153" i="2"/>
  <c r="Z152" i="2"/>
  <c r="Y152" i="2"/>
  <c r="Z153" i="2"/>
  <c r="Q6" i="9"/>
  <c r="AN181" i="1"/>
  <c r="Q5" i="9"/>
  <c r="V180" i="1"/>
  <c r="D57" i="9"/>
  <c r="V109" i="1"/>
  <c r="AM4" i="1"/>
  <c r="AP4" i="1"/>
  <c r="AR4" i="1"/>
  <c r="AM5" i="1"/>
  <c r="AP5" i="1"/>
  <c r="AR5" i="1"/>
  <c r="AM6" i="1"/>
  <c r="AP6" i="1"/>
  <c r="AR6" i="1"/>
  <c r="AM7" i="1"/>
  <c r="AP7" i="1"/>
  <c r="AR7" i="1"/>
  <c r="AM11" i="1"/>
  <c r="AP11" i="1"/>
  <c r="AR11" i="1"/>
  <c r="AM13" i="1"/>
  <c r="AP13" i="1"/>
  <c r="AR13" i="1"/>
  <c r="AM15" i="1"/>
  <c r="AP15" i="1"/>
  <c r="AR15" i="1"/>
  <c r="AM18" i="1"/>
  <c r="AP18" i="1"/>
  <c r="AR18" i="1"/>
  <c r="AM21" i="1"/>
  <c r="AP21" i="1"/>
  <c r="AR21" i="1"/>
  <c r="C57" i="9"/>
  <c r="AM55" i="1"/>
  <c r="AP55" i="1"/>
  <c r="AR55" i="1"/>
  <c r="AM65" i="1"/>
  <c r="AR65" i="1"/>
  <c r="C71" i="9"/>
  <c r="AM68" i="1"/>
  <c r="AR68" i="1"/>
  <c r="AP68" i="1"/>
  <c r="AM104" i="1"/>
  <c r="AP104" i="1"/>
  <c r="AR104" i="1"/>
  <c r="AM34" i="1"/>
  <c r="AP34" i="1"/>
  <c r="AR34" i="1"/>
  <c r="AM45" i="1"/>
  <c r="AP45" i="1"/>
  <c r="AR45" i="1"/>
  <c r="AM46" i="1"/>
  <c r="AP46" i="1"/>
  <c r="AR46" i="1"/>
  <c r="C114" i="9"/>
  <c r="AM115" i="1"/>
  <c r="AP115" i="1"/>
  <c r="AR115" i="1"/>
  <c r="AM16" i="1"/>
  <c r="AP16" i="1"/>
  <c r="AR16" i="1"/>
  <c r="AM17" i="1"/>
  <c r="AP17" i="1"/>
  <c r="AR17" i="1"/>
  <c r="C19" i="9"/>
  <c r="AM20" i="1"/>
  <c r="AP20" i="1"/>
  <c r="AR20" i="1"/>
  <c r="AM19" i="1"/>
  <c r="AP19" i="1"/>
  <c r="AR19" i="1"/>
  <c r="AM102" i="1"/>
  <c r="AP102" i="1"/>
  <c r="AR102" i="1"/>
  <c r="C49" i="9"/>
  <c r="AM47" i="1"/>
  <c r="AP47" i="1"/>
  <c r="AR47" i="1"/>
  <c r="AM50" i="1"/>
  <c r="AP50" i="1"/>
  <c r="AR50" i="1"/>
  <c r="C72" i="9"/>
  <c r="AM69" i="1"/>
  <c r="AP69" i="1"/>
  <c r="AR69" i="1"/>
  <c r="AM74" i="1"/>
  <c r="AR74" i="1"/>
  <c r="AP74" i="1"/>
  <c r="AM91" i="1"/>
  <c r="AR91" i="1"/>
  <c r="AP91" i="1"/>
  <c r="AM108" i="1"/>
  <c r="AP108" i="1"/>
  <c r="AR108" i="1"/>
  <c r="AM109" i="1"/>
  <c r="AP109" i="1"/>
  <c r="AR109" i="1"/>
  <c r="C109" i="9"/>
  <c r="AM110" i="1"/>
  <c r="AP110" i="1"/>
  <c r="AR110" i="1"/>
  <c r="AM112" i="1"/>
  <c r="AP112" i="1"/>
  <c r="AR112" i="1"/>
  <c r="AM83" i="1"/>
  <c r="AR83" i="1"/>
  <c r="AP83" i="1"/>
  <c r="AM51" i="1"/>
  <c r="AP51" i="1"/>
  <c r="AR51" i="1"/>
  <c r="AM53" i="1"/>
  <c r="AP53" i="1"/>
  <c r="AR53" i="1"/>
  <c r="AM54" i="1"/>
  <c r="AP54" i="1"/>
  <c r="AR54" i="1"/>
  <c r="AM56" i="1"/>
  <c r="AP56" i="1"/>
  <c r="AR56" i="1"/>
  <c r="AM57" i="1"/>
  <c r="AP57" i="1"/>
  <c r="AR57" i="1"/>
  <c r="M6" i="9"/>
  <c r="N6" i="9" s="1"/>
  <c r="AM181" i="1"/>
  <c r="AR181" i="1"/>
  <c r="AP181" i="1"/>
  <c r="M8" i="9"/>
  <c r="N8" i="9" s="1"/>
  <c r="AM183" i="1"/>
  <c r="AP183" i="1"/>
  <c r="AR183" i="1"/>
  <c r="M10" i="9"/>
  <c r="N10" i="9" s="1"/>
  <c r="AM185" i="1"/>
  <c r="AP185" i="1"/>
  <c r="AR185" i="1"/>
  <c r="AM103" i="1"/>
  <c r="AP103" i="1"/>
  <c r="AR103" i="1"/>
  <c r="M33" i="9"/>
  <c r="N33" i="9" s="1"/>
  <c r="AM207" i="1"/>
  <c r="AP207" i="1"/>
  <c r="AR207" i="1"/>
  <c r="R156" i="2"/>
  <c r="Y160" i="2" s="1"/>
  <c r="N160" i="2"/>
  <c r="X164" i="2" s="1"/>
  <c r="M155" i="2"/>
  <c r="W159" i="2" s="1"/>
  <c r="S166" i="2"/>
  <c r="Z170" i="2" s="1"/>
  <c r="Y71" i="2"/>
  <c r="X71" i="2"/>
  <c r="N155" i="2"/>
  <c r="X159" i="2" s="1"/>
  <c r="N166" i="2"/>
  <c r="X170" i="2" s="1"/>
  <c r="S156" i="2"/>
  <c r="Z160" i="2" s="1"/>
  <c r="S160" i="2"/>
  <c r="Z164" i="2" s="1"/>
  <c r="R166" i="2"/>
  <c r="Y170" i="2" s="1"/>
  <c r="M160" i="2"/>
  <c r="W164" i="2" s="1"/>
  <c r="S165" i="2"/>
  <c r="Z169" i="2" s="1"/>
  <c r="N161" i="2"/>
  <c r="X165" i="2" s="1"/>
  <c r="M165" i="2"/>
  <c r="W169" i="2" s="1"/>
  <c r="R161" i="2"/>
  <c r="Y165" i="2" s="1"/>
  <c r="M156" i="2"/>
  <c r="W160" i="2" s="1"/>
  <c r="R155" i="2"/>
  <c r="Y159" i="2" s="1"/>
  <c r="W71" i="2"/>
  <c r="Z71" i="2"/>
  <c r="N156" i="2"/>
  <c r="X160" i="2" s="1"/>
  <c r="N165" i="2"/>
  <c r="X169" i="2" s="1"/>
  <c r="S155" i="2"/>
  <c r="Z159" i="2" s="1"/>
  <c r="S161" i="2"/>
  <c r="Z165" i="2" s="1"/>
  <c r="R165" i="2"/>
  <c r="Y169" i="2" s="1"/>
  <c r="M161" i="2"/>
  <c r="W165" i="2" s="1"/>
  <c r="M166" i="2"/>
  <c r="W170" i="2" s="1"/>
  <c r="R160" i="2"/>
  <c r="Y164" i="2" s="1"/>
  <c r="Q156" i="1"/>
  <c r="Q157" i="1"/>
  <c r="K161" i="1"/>
  <c r="K162" i="1"/>
  <c r="P162" i="1"/>
  <c r="P161" i="1"/>
  <c r="P157" i="1"/>
  <c r="P156" i="1"/>
  <c r="Q161" i="1"/>
  <c r="Q162" i="1"/>
  <c r="C18" i="9"/>
  <c r="D17" i="9"/>
  <c r="D20" i="9"/>
  <c r="D11" i="9"/>
  <c r="D48" i="9"/>
  <c r="C58" i="9"/>
  <c r="C59" i="9"/>
  <c r="D13" i="9"/>
  <c r="D15" i="9"/>
  <c r="D16" i="9"/>
  <c r="D18" i="9"/>
  <c r="C20" i="9"/>
  <c r="C48" i="9"/>
  <c r="D53" i="9"/>
  <c r="D56" i="9"/>
  <c r="D58" i="9"/>
  <c r="D59" i="9"/>
  <c r="BB211" i="1"/>
  <c r="X286" i="1"/>
  <c r="T286" i="1"/>
  <c r="R286" i="1"/>
  <c r="V286" i="1"/>
  <c r="D56" i="6"/>
  <c r="P147" i="1"/>
  <c r="P146" i="1"/>
  <c r="Q146" i="1"/>
  <c r="Q147" i="1"/>
  <c r="P152" i="1"/>
  <c r="P151" i="1"/>
  <c r="N83" i="1"/>
  <c r="L66" i="1"/>
  <c r="J157" i="1"/>
  <c r="J156" i="1"/>
  <c r="S83" i="1"/>
  <c r="N194" i="1"/>
  <c r="K255" i="1"/>
  <c r="K256" i="1"/>
  <c r="S194" i="1"/>
  <c r="P256" i="1"/>
  <c r="P255" i="1"/>
  <c r="S223" i="1"/>
  <c r="P266" i="1"/>
  <c r="P265" i="1"/>
  <c r="S227" i="1"/>
  <c r="L233" i="1"/>
  <c r="M59" i="9" s="1"/>
  <c r="N59" i="9" s="1"/>
  <c r="J266" i="1"/>
  <c r="J265" i="1"/>
  <c r="Q151" i="1"/>
  <c r="Q152" i="1"/>
  <c r="N65" i="1"/>
  <c r="C116" i="9"/>
  <c r="L59" i="1"/>
  <c r="J152" i="1"/>
  <c r="J151" i="1"/>
  <c r="L256" i="1"/>
  <c r="L255" i="1"/>
  <c r="Q255" i="1"/>
  <c r="Q256" i="1"/>
  <c r="Q265" i="1"/>
  <c r="Q266" i="1"/>
  <c r="L242" i="1"/>
  <c r="S3" i="1"/>
  <c r="C103" i="9"/>
  <c r="B110" i="9"/>
  <c r="C111" i="9"/>
  <c r="C53" i="9"/>
  <c r="C56" i="9"/>
  <c r="C102" i="9"/>
  <c r="N3" i="1"/>
  <c r="AM3" i="1"/>
  <c r="C107" i="9"/>
  <c r="C108" i="9"/>
  <c r="N193" i="1"/>
  <c r="C4" i="9"/>
  <c r="C6" i="9"/>
  <c r="C15" i="9"/>
  <c r="C13" i="9"/>
  <c r="C5" i="9"/>
  <c r="C7" i="9"/>
  <c r="C11" i="9"/>
  <c r="C16" i="9"/>
  <c r="C17" i="9"/>
  <c r="C68" i="9"/>
  <c r="X55" i="2"/>
  <c r="N149" i="2"/>
  <c r="X151" i="2" s="1"/>
  <c r="N148" i="2"/>
  <c r="X150" i="2" s="1"/>
  <c r="Z55" i="2"/>
  <c r="S149" i="2"/>
  <c r="Z151" i="2" s="1"/>
  <c r="S148" i="2"/>
  <c r="Z150" i="2" s="1"/>
  <c r="R175" i="2"/>
  <c r="Y179" i="2" s="1"/>
  <c r="N175" i="2"/>
  <c r="X179" i="2" s="1"/>
  <c r="S176" i="2"/>
  <c r="Z180" i="2" s="1"/>
  <c r="Y55" i="2"/>
  <c r="R148" i="2"/>
  <c r="Y150" i="2" s="1"/>
  <c r="R149" i="2"/>
  <c r="Y151" i="2" s="1"/>
  <c r="W55" i="2"/>
  <c r="M148" i="2"/>
  <c r="W150" i="2" s="1"/>
  <c r="M149" i="2"/>
  <c r="W151" i="2" s="1"/>
  <c r="N176" i="2"/>
  <c r="X180" i="2" s="1"/>
  <c r="S175" i="2"/>
  <c r="Z179" i="2" s="1"/>
  <c r="M175" i="2"/>
  <c r="W179" i="2" s="1"/>
  <c r="M176" i="2"/>
  <c r="W180" i="2" s="1"/>
  <c r="AN11" i="1"/>
  <c r="AN16" i="1"/>
  <c r="AN55" i="1"/>
  <c r="AN68" i="1"/>
  <c r="AN74" i="1"/>
  <c r="AN104" i="1"/>
  <c r="AN112" i="1"/>
  <c r="AN83" i="1"/>
  <c r="G4" i="9"/>
  <c r="AN3" i="1"/>
  <c r="AN7" i="1"/>
  <c r="AN17" i="1"/>
  <c r="AN19" i="1"/>
  <c r="AN18" i="1"/>
  <c r="AN108" i="1"/>
  <c r="AN110" i="1"/>
  <c r="K59" i="1"/>
  <c r="K151" i="1" s="1"/>
  <c r="AN116" i="1"/>
  <c r="N116" i="1"/>
  <c r="S116" i="1"/>
  <c r="I89" i="9"/>
  <c r="G18" i="9"/>
  <c r="F91" i="9"/>
  <c r="F53" i="9"/>
  <c r="F42" i="9"/>
  <c r="F56" i="9"/>
  <c r="I5" i="9"/>
  <c r="K233" i="1"/>
  <c r="N233" i="1" s="1"/>
  <c r="K242" i="1"/>
  <c r="BC211" i="1"/>
  <c r="G43" i="9"/>
  <c r="S10" i="1"/>
  <c r="S47" i="1"/>
  <c r="I38" i="9" s="1"/>
  <c r="F38" i="9"/>
  <c r="F43" i="9"/>
  <c r="S92" i="1"/>
  <c r="F83" i="9"/>
  <c r="S107" i="1"/>
  <c r="I86" i="9" s="1"/>
  <c r="S111" i="1"/>
  <c r="I91" i="9" s="1"/>
  <c r="F90" i="9"/>
  <c r="F95" i="9"/>
  <c r="V16" i="1"/>
  <c r="F33" i="9"/>
  <c r="F34" i="9"/>
  <c r="F41" i="9"/>
  <c r="F73" i="9"/>
  <c r="F92" i="9"/>
  <c r="V17" i="1"/>
  <c r="V68" i="1"/>
  <c r="V74" i="1"/>
  <c r="U3" i="1"/>
  <c r="U5" i="1"/>
  <c r="N10" i="1"/>
  <c r="U13" i="1"/>
  <c r="U16" i="1"/>
  <c r="U20" i="1"/>
  <c r="U21" i="1"/>
  <c r="U28" i="1"/>
  <c r="K38" i="1"/>
  <c r="N47" i="1"/>
  <c r="D49" i="9" s="1"/>
  <c r="U59" i="1"/>
  <c r="K66" i="1"/>
  <c r="N92" i="1"/>
  <c r="D92" i="9" s="1"/>
  <c r="U89" i="1"/>
  <c r="N107" i="1"/>
  <c r="D106" i="9" s="1"/>
  <c r="N111" i="1"/>
  <c r="D110" i="9" s="1"/>
  <c r="L22" i="8"/>
  <c r="L23" i="8"/>
  <c r="L21" i="8"/>
  <c r="R267" i="1"/>
  <c r="R268" i="1"/>
  <c r="S257" i="1"/>
  <c r="S268" i="1"/>
  <c r="S267" i="1"/>
  <c r="K170" i="1" l="1"/>
  <c r="L170" i="1"/>
  <c r="L166" i="1"/>
  <c r="K166" i="1"/>
  <c r="V11" i="1"/>
  <c r="V3" i="1"/>
  <c r="G91" i="9"/>
  <c r="AN111" i="1"/>
  <c r="G86" i="9"/>
  <c r="AN107" i="1"/>
  <c r="G38" i="9"/>
  <c r="AN47" i="1"/>
  <c r="V92" i="1"/>
  <c r="AN92" i="1"/>
  <c r="V10" i="1"/>
  <c r="AN10" i="1"/>
  <c r="V91" i="1"/>
  <c r="AN91" i="1"/>
  <c r="G89" i="9"/>
  <c r="AN109" i="1"/>
  <c r="V69" i="1"/>
  <c r="AN69" i="1"/>
  <c r="V102" i="1"/>
  <c r="AN102" i="1"/>
  <c r="V21" i="1"/>
  <c r="AN21" i="1"/>
  <c r="V13" i="1"/>
  <c r="AN13" i="1"/>
  <c r="G5" i="9"/>
  <c r="AN5" i="1"/>
  <c r="G6" i="9"/>
  <c r="AN6" i="1"/>
  <c r="V4" i="1"/>
  <c r="AN4" i="1"/>
  <c r="V103" i="1"/>
  <c r="AN103" i="1"/>
  <c r="V54" i="1"/>
  <c r="AN54" i="1"/>
  <c r="V53" i="1"/>
  <c r="AN53" i="1"/>
  <c r="V45" i="1"/>
  <c r="AN45" i="1"/>
  <c r="V34" i="1"/>
  <c r="AN34" i="1"/>
  <c r="V65" i="1"/>
  <c r="AN65" i="1"/>
  <c r="V50" i="1"/>
  <c r="AN50" i="1"/>
  <c r="V20" i="1"/>
  <c r="AN20" i="1"/>
  <c r="V15" i="1"/>
  <c r="AN15" i="1"/>
  <c r="V194" i="1"/>
  <c r="AN194" i="1"/>
  <c r="G44" i="9"/>
  <c r="V55" i="1"/>
  <c r="AB259" i="1"/>
  <c r="Z259" i="1"/>
  <c r="AA259" i="1" s="1"/>
  <c r="C110" i="9"/>
  <c r="AM111" i="1"/>
  <c r="AP111" i="1"/>
  <c r="AR111" i="1"/>
  <c r="C106" i="9"/>
  <c r="AM107" i="1"/>
  <c r="AP107" i="1"/>
  <c r="AR107" i="1"/>
  <c r="C92" i="9"/>
  <c r="AM92" i="1"/>
  <c r="AR92" i="1"/>
  <c r="AP92" i="1"/>
  <c r="AM10" i="1"/>
  <c r="AP10" i="1"/>
  <c r="AR10" i="1"/>
  <c r="AR3" i="1"/>
  <c r="AP3" i="1"/>
  <c r="AM194" i="1"/>
  <c r="AP194" i="1"/>
  <c r="AR194" i="1"/>
  <c r="AM116" i="1"/>
  <c r="AP116" i="1"/>
  <c r="AR116" i="1"/>
  <c r="AM193" i="1"/>
  <c r="AR193" i="1"/>
  <c r="AP193" i="1"/>
  <c r="L157" i="1"/>
  <c r="L156" i="1"/>
  <c r="K156" i="1"/>
  <c r="K157" i="1"/>
  <c r="C10" i="9"/>
  <c r="I35" i="9"/>
  <c r="D10" i="9"/>
  <c r="V6" i="1"/>
  <c r="V5" i="1"/>
  <c r="Z270" i="1"/>
  <c r="AA270" i="1" s="1"/>
  <c r="Z269" i="1"/>
  <c r="AA269" i="1" s="1"/>
  <c r="AB269" i="1"/>
  <c r="AB270" i="1"/>
  <c r="D115" i="9"/>
  <c r="C115" i="9"/>
  <c r="Q49" i="9"/>
  <c r="R266" i="1"/>
  <c r="R265" i="1"/>
  <c r="M19" i="9"/>
  <c r="N19" i="9" s="1"/>
  <c r="R49" i="9"/>
  <c r="S265" i="1"/>
  <c r="S266" i="1"/>
  <c r="D116" i="9"/>
  <c r="K152" i="1"/>
  <c r="K147" i="1"/>
  <c r="Q53" i="9"/>
  <c r="Q19" i="9"/>
  <c r="R256" i="1"/>
  <c r="R255" i="1"/>
  <c r="L151" i="1"/>
  <c r="L152" i="1"/>
  <c r="D68" i="9"/>
  <c r="R53" i="9"/>
  <c r="R19" i="9"/>
  <c r="S255" i="1"/>
  <c r="AB257" i="1" s="1"/>
  <c r="S256" i="1"/>
  <c r="AB258" i="1" s="1"/>
  <c r="K146" i="1"/>
  <c r="C3" i="9"/>
  <c r="M18" i="9"/>
  <c r="N18" i="9" s="1"/>
  <c r="G3" i="9"/>
  <c r="I3" i="9"/>
  <c r="D3" i="9"/>
  <c r="G87" i="9"/>
  <c r="I87" i="9"/>
  <c r="I36" i="9"/>
  <c r="G36" i="9"/>
  <c r="I42" i="9"/>
  <c r="I56" i="9"/>
  <c r="G42" i="9"/>
  <c r="G37" i="9"/>
  <c r="I37" i="9"/>
  <c r="I43" i="9"/>
  <c r="G73" i="9"/>
  <c r="G90" i="9"/>
  <c r="I90" i="9"/>
  <c r="I88" i="9"/>
  <c r="I84" i="9"/>
  <c r="G88" i="9"/>
  <c r="G84" i="9"/>
  <c r="G7" i="9"/>
  <c r="I7" i="9"/>
  <c r="I92" i="9"/>
  <c r="I101" i="9"/>
  <c r="G92" i="9"/>
  <c r="G101" i="9"/>
  <c r="A281" i="1"/>
  <c r="Q208" i="1"/>
  <c r="P208" i="1"/>
  <c r="AN253" i="1"/>
  <c r="AN251" i="1" l="1"/>
  <c r="AN250" i="1"/>
  <c r="Z258" i="1"/>
  <c r="AA258" i="1" s="1"/>
  <c r="Z257" i="1"/>
  <c r="AA257" i="1" s="1"/>
  <c r="BB212" i="1"/>
  <c r="AM286" i="1"/>
  <c r="AK287" i="1"/>
  <c r="AO286" i="1"/>
  <c r="AQ286" i="1"/>
  <c r="S208" i="1"/>
  <c r="AN208" i="1"/>
  <c r="D4" i="10"/>
  <c r="D27" i="10"/>
  <c r="D18" i="10"/>
  <c r="D5" i="10"/>
  <c r="D2" i="10"/>
  <c r="D34" i="10"/>
  <c r="D26" i="10"/>
  <c r="D51" i="10"/>
  <c r="D35" i="10"/>
  <c r="D38" i="10"/>
  <c r="D44" i="10"/>
  <c r="D33" i="10"/>
  <c r="D7" i="10"/>
  <c r="D21" i="10"/>
  <c r="D37" i="10"/>
  <c r="D6" i="10"/>
  <c r="D9" i="10"/>
  <c r="D15" i="10"/>
  <c r="D17" i="10"/>
  <c r="D22" i="10"/>
  <c r="D12" i="10"/>
  <c r="D14" i="10"/>
  <c r="D31" i="10"/>
  <c r="D3" i="10"/>
  <c r="D13" i="10"/>
  <c r="D32" i="10"/>
  <c r="D30" i="10"/>
  <c r="D29" i="10"/>
  <c r="D20" i="10"/>
  <c r="D8" i="10"/>
  <c r="D11" i="10"/>
  <c r="D19" i="10"/>
  <c r="D10" i="10"/>
  <c r="D25" i="10"/>
  <c r="D16" i="10"/>
  <c r="D24" i="10"/>
  <c r="D1" i="10"/>
  <c r="D23" i="10"/>
  <c r="D39" i="10"/>
  <c r="D28" i="10"/>
  <c r="AN252" i="1"/>
  <c r="H49" i="10"/>
  <c r="H11" i="10"/>
  <c r="H25" i="10"/>
  <c r="H13" i="10"/>
  <c r="H47" i="10"/>
  <c r="H27" i="10"/>
  <c r="Q14" i="19" l="1"/>
  <c r="R14" i="19" s="1"/>
  <c r="E14" i="19"/>
  <c r="A292" i="15"/>
  <c r="F286" i="1"/>
  <c r="F287" i="1"/>
  <c r="G27" i="10"/>
  <c r="G21" i="10"/>
  <c r="G25" i="10"/>
  <c r="G23" i="10"/>
  <c r="G13" i="10"/>
  <c r="G9" i="10"/>
  <c r="G11" i="10"/>
  <c r="G7" i="10"/>
  <c r="I186" i="2"/>
  <c r="E22" i="2" s="1"/>
  <c r="F22" i="2" s="1"/>
  <c r="G43" i="10"/>
  <c r="G49" i="10"/>
  <c r="G45" i="10"/>
  <c r="G47" i="10"/>
  <c r="R34" i="9"/>
  <c r="Q34" i="9"/>
  <c r="F289" i="1"/>
  <c r="K209" i="1"/>
  <c r="L209" i="1"/>
  <c r="J205" i="1"/>
  <c r="K202" i="1"/>
  <c r="L202" i="1"/>
  <c r="K216" i="1"/>
  <c r="N216" i="1" s="1"/>
  <c r="L216" i="1"/>
  <c r="M42" i="9" s="1"/>
  <c r="N42" i="9" s="1"/>
  <c r="K180" i="1"/>
  <c r="N180" i="1" s="1"/>
  <c r="L180" i="1"/>
  <c r="K179" i="1"/>
  <c r="L179" i="1"/>
  <c r="Q197" i="1"/>
  <c r="P197" i="1"/>
  <c r="K197" i="1"/>
  <c r="N197" i="1" s="1"/>
  <c r="L197" i="1"/>
  <c r="P200" i="1"/>
  <c r="S200" i="1" s="1"/>
  <c r="R25" i="9" s="1"/>
  <c r="Q200" i="1"/>
  <c r="AN200" i="1" s="1"/>
  <c r="Q204" i="1"/>
  <c r="P204" i="1"/>
  <c r="P199" i="1"/>
  <c r="S199" i="1" s="1"/>
  <c r="R24" i="9" s="1"/>
  <c r="Q199" i="1"/>
  <c r="AN199" i="1" s="1"/>
  <c r="P203" i="1"/>
  <c r="S203" i="1" s="1"/>
  <c r="R29" i="9" s="1"/>
  <c r="Q203" i="1"/>
  <c r="K230" i="1"/>
  <c r="N230" i="1" s="1"/>
  <c r="L230" i="1"/>
  <c r="M56" i="9" s="1"/>
  <c r="N56" i="9" s="1"/>
  <c r="K241" i="1"/>
  <c r="L241" i="1"/>
  <c r="K203" i="1"/>
  <c r="N203" i="1" s="1"/>
  <c r="L203" i="1"/>
  <c r="K186" i="1"/>
  <c r="N186" i="1" s="1"/>
  <c r="L186" i="1"/>
  <c r="K178" i="1"/>
  <c r="L178" i="1"/>
  <c r="X199" i="1"/>
  <c r="K191" i="1"/>
  <c r="L191" i="1"/>
  <c r="K206" i="1"/>
  <c r="N206" i="1" s="1"/>
  <c r="L206" i="1"/>
  <c r="X206" i="1"/>
  <c r="J35" i="5"/>
  <c r="M35" i="5" s="1"/>
  <c r="K35" i="5"/>
  <c r="O12" i="5"/>
  <c r="R12" i="5" s="1"/>
  <c r="AA67" i="5" s="1"/>
  <c r="P12" i="5"/>
  <c r="J12" i="5"/>
  <c r="M12" i="5" s="1"/>
  <c r="X67" i="5" s="1"/>
  <c r="K12" i="5"/>
  <c r="C32" i="19" l="1"/>
  <c r="E73" i="19"/>
  <c r="J270" i="1"/>
  <c r="J274" i="1"/>
  <c r="E241" i="1"/>
  <c r="M241" i="1" s="1"/>
  <c r="M67" i="9" s="1"/>
  <c r="N67" i="9" s="1"/>
  <c r="E466" i="1"/>
  <c r="E177" i="15"/>
  <c r="F186" i="15"/>
  <c r="E168" i="15"/>
  <c r="F148" i="15"/>
  <c r="E66" i="15"/>
  <c r="F64" i="15"/>
  <c r="E61" i="15"/>
  <c r="F60" i="15"/>
  <c r="F59" i="15"/>
  <c r="E159" i="15"/>
  <c r="E133" i="15"/>
  <c r="E116" i="15"/>
  <c r="E105" i="15"/>
  <c r="E83" i="15"/>
  <c r="E41" i="15"/>
  <c r="E33" i="15"/>
  <c r="E115" i="15"/>
  <c r="E23" i="15"/>
  <c r="E13" i="15"/>
  <c r="E8" i="15"/>
  <c r="F188" i="15"/>
  <c r="F173" i="15"/>
  <c r="F163" i="15"/>
  <c r="E79" i="15"/>
  <c r="F58" i="15"/>
  <c r="E156" i="15"/>
  <c r="F127" i="15"/>
  <c r="E112" i="15"/>
  <c r="E96" i="15"/>
  <c r="E88" i="15"/>
  <c r="E77" i="15"/>
  <c r="E39" i="15"/>
  <c r="E27" i="15"/>
  <c r="F178" i="15"/>
  <c r="E147" i="15"/>
  <c r="E136" i="15"/>
  <c r="F135" i="15"/>
  <c r="E104" i="15"/>
  <c r="E91" i="15"/>
  <c r="E30" i="15"/>
  <c r="E22" i="15"/>
  <c r="E193" i="15"/>
  <c r="E183" i="15"/>
  <c r="E170" i="15"/>
  <c r="E139" i="15"/>
  <c r="F68" i="15"/>
  <c r="E154" i="15"/>
  <c r="E152" i="15"/>
  <c r="E106" i="15"/>
  <c r="F137" i="15"/>
  <c r="E125" i="15"/>
  <c r="E119" i="15"/>
  <c r="E117" i="15"/>
  <c r="E107" i="15"/>
  <c r="E102" i="15"/>
  <c r="E94" i="15"/>
  <c r="E80" i="15"/>
  <c r="E51" i="15"/>
  <c r="E48" i="15"/>
  <c r="E37" i="15"/>
  <c r="E34" i="15"/>
  <c r="E24" i="15"/>
  <c r="E126" i="15"/>
  <c r="E103" i="15"/>
  <c r="E92" i="15"/>
  <c r="E38" i="15"/>
  <c r="E192" i="15"/>
  <c r="F174" i="15"/>
  <c r="F72" i="15"/>
  <c r="F62" i="15"/>
  <c r="E101" i="15"/>
  <c r="E97" i="15"/>
  <c r="F78" i="15"/>
  <c r="F46" i="15"/>
  <c r="E36" i="15"/>
  <c r="F182" i="15"/>
  <c r="E143" i="15"/>
  <c r="E157" i="15"/>
  <c r="E114" i="15"/>
  <c r="E43" i="15"/>
  <c r="E28" i="15"/>
  <c r="E176" i="15"/>
  <c r="F150" i="15"/>
  <c r="E71" i="15"/>
  <c r="E158" i="15"/>
  <c r="E134" i="15"/>
  <c r="E100" i="15"/>
  <c r="E113" i="15"/>
  <c r="E90" i="15"/>
  <c r="E84" i="15"/>
  <c r="E73" i="15"/>
  <c r="E35" i="15"/>
  <c r="E31" i="15"/>
  <c r="E29" i="15"/>
  <c r="E15" i="15"/>
  <c r="E9" i="15"/>
  <c r="E187" i="15"/>
  <c r="M187" i="15" s="1"/>
  <c r="F185" i="15"/>
  <c r="E180" i="15"/>
  <c r="E172" i="15"/>
  <c r="F149" i="15"/>
  <c r="E121" i="15"/>
  <c r="E120" i="15"/>
  <c r="E76" i="15"/>
  <c r="E189" i="15"/>
  <c r="E169" i="15"/>
  <c r="F164" i="15"/>
  <c r="E67" i="15"/>
  <c r="E161" i="15"/>
  <c r="E151" i="15"/>
  <c r="E110" i="15"/>
  <c r="E74" i="15"/>
  <c r="E47" i="15"/>
  <c r="E42" i="15"/>
  <c r="E25" i="15"/>
  <c r="E175" i="15"/>
  <c r="F141" i="15"/>
  <c r="E98" i="15"/>
  <c r="E75" i="15"/>
  <c r="E40" i="15"/>
  <c r="F184" i="15"/>
  <c r="E93" i="15"/>
  <c r="E95" i="15"/>
  <c r="E160" i="15"/>
  <c r="E118" i="15"/>
  <c r="E179" i="15"/>
  <c r="E26" i="15"/>
  <c r="F70" i="15"/>
  <c r="E153" i="15"/>
  <c r="E111" i="15"/>
  <c r="E87" i="15"/>
  <c r="E171" i="15"/>
  <c r="E155" i="15"/>
  <c r="E190" i="15"/>
  <c r="Q29" i="9"/>
  <c r="AN203" i="1"/>
  <c r="Y67" i="5"/>
  <c r="AB76" i="5" s="1"/>
  <c r="V67" i="5"/>
  <c r="Q24" i="9"/>
  <c r="V199" i="1"/>
  <c r="Q25" i="9"/>
  <c r="V200" i="1"/>
  <c r="M32" i="9"/>
  <c r="N32" i="9" s="1"/>
  <c r="AM206" i="1"/>
  <c r="AR206" i="1"/>
  <c r="AP206" i="1"/>
  <c r="M29" i="9"/>
  <c r="N29" i="9" s="1"/>
  <c r="AM203" i="1"/>
  <c r="AR203" i="1"/>
  <c r="AP203" i="1"/>
  <c r="M22" i="9"/>
  <c r="N22" i="9" s="1"/>
  <c r="AM197" i="1"/>
  <c r="AR197" i="1"/>
  <c r="AP197" i="1"/>
  <c r="M5" i="9"/>
  <c r="N5" i="9" s="1"/>
  <c r="AM180" i="1"/>
  <c r="AP180" i="1"/>
  <c r="AR180" i="1"/>
  <c r="N241" i="1"/>
  <c r="E105" i="2"/>
  <c r="F105" i="2" s="1"/>
  <c r="E117" i="2"/>
  <c r="F117" i="2" s="1"/>
  <c r="E112" i="2"/>
  <c r="F112" i="2" s="1"/>
  <c r="E104" i="2"/>
  <c r="F104" i="2" s="1"/>
  <c r="E102" i="2"/>
  <c r="F102" i="2" s="1"/>
  <c r="E97" i="2"/>
  <c r="F97" i="2" s="1"/>
  <c r="E92" i="2"/>
  <c r="F92" i="2" s="1"/>
  <c r="E83" i="2"/>
  <c r="F83" i="2" s="1"/>
  <c r="E94" i="2"/>
  <c r="F94" i="2" s="1"/>
  <c r="E88" i="2"/>
  <c r="F88" i="2" s="1"/>
  <c r="E84" i="2"/>
  <c r="F84" i="2" s="1"/>
  <c r="E86" i="2"/>
  <c r="F86" i="2" s="1"/>
  <c r="E93" i="2"/>
  <c r="F93" i="2" s="1"/>
  <c r="E106" i="2"/>
  <c r="F106" i="2" s="1"/>
  <c r="E113" i="2"/>
  <c r="F113" i="2" s="1"/>
  <c r="E116" i="2"/>
  <c r="F116" i="2" s="1"/>
  <c r="E119" i="2"/>
  <c r="F119" i="2" s="1"/>
  <c r="E85" i="2"/>
  <c r="F85" i="2" s="1"/>
  <c r="E90" i="2"/>
  <c r="F90" i="2" s="1"/>
  <c r="E103" i="2"/>
  <c r="F103" i="2" s="1"/>
  <c r="E111" i="2"/>
  <c r="F111" i="2" s="1"/>
  <c r="E115" i="2"/>
  <c r="F115" i="2" s="1"/>
  <c r="E118" i="2"/>
  <c r="F118" i="2" s="1"/>
  <c r="E46" i="2"/>
  <c r="F46" i="2" s="1"/>
  <c r="E45" i="2"/>
  <c r="F45" i="2" s="1"/>
  <c r="E42" i="2"/>
  <c r="F42" i="2" s="1"/>
  <c r="E30" i="2"/>
  <c r="F30" i="2" s="1"/>
  <c r="S204" i="1"/>
  <c r="AN204" i="1"/>
  <c r="J280" i="1"/>
  <c r="J260" i="1"/>
  <c r="J279" i="1"/>
  <c r="J261" i="1"/>
  <c r="N209" i="1"/>
  <c r="F64" i="1"/>
  <c r="F47" i="1"/>
  <c r="F116" i="1"/>
  <c r="F237" i="1"/>
  <c r="F234" i="1"/>
  <c r="F231" i="1"/>
  <c r="F223" i="1"/>
  <c r="F213" i="1"/>
  <c r="F209" i="1"/>
  <c r="F207" i="1"/>
  <c r="F193" i="1"/>
  <c r="F189" i="1"/>
  <c r="F183" i="1"/>
  <c r="F180" i="1"/>
  <c r="F115" i="1"/>
  <c r="F107" i="1"/>
  <c r="F235" i="1"/>
  <c r="F233" i="1"/>
  <c r="F227" i="1"/>
  <c r="F222" i="1"/>
  <c r="F212" i="1"/>
  <c r="F208" i="1"/>
  <c r="F191" i="1"/>
  <c r="F185" i="1"/>
  <c r="F181" i="1"/>
  <c r="F179" i="1"/>
  <c r="E242" i="1"/>
  <c r="M242" i="1" s="1"/>
  <c r="E238" i="1"/>
  <c r="M238" i="1" s="1"/>
  <c r="E229" i="1"/>
  <c r="M229" i="1" s="1"/>
  <c r="E226" i="1"/>
  <c r="M226" i="1" s="1"/>
  <c r="E221" i="1"/>
  <c r="M221" i="1" s="1"/>
  <c r="E219" i="1"/>
  <c r="M219" i="1" s="1"/>
  <c r="E217" i="1"/>
  <c r="M217" i="1" s="1"/>
  <c r="E188" i="1"/>
  <c r="M188" i="1" s="1"/>
  <c r="E182" i="1"/>
  <c r="M182" i="1" s="1"/>
  <c r="E23" i="1"/>
  <c r="E25" i="1"/>
  <c r="E27" i="1"/>
  <c r="M27" i="1" s="1"/>
  <c r="E97" i="1"/>
  <c r="E30" i="1"/>
  <c r="E32" i="1"/>
  <c r="M32" i="1" s="1"/>
  <c r="E36" i="1"/>
  <c r="E38" i="1"/>
  <c r="E40" i="1"/>
  <c r="M40" i="1" s="1"/>
  <c r="E42" i="1"/>
  <c r="M42" i="1" s="1"/>
  <c r="E43" i="1"/>
  <c r="E48" i="1"/>
  <c r="M48" i="1" s="1"/>
  <c r="E59" i="1"/>
  <c r="E60" i="1"/>
  <c r="E73" i="1"/>
  <c r="M73" i="1" s="1"/>
  <c r="E76" i="1"/>
  <c r="E78" i="1"/>
  <c r="E80" i="1"/>
  <c r="E82" i="1"/>
  <c r="M82" i="1" s="1"/>
  <c r="E86" i="1"/>
  <c r="E88" i="1"/>
  <c r="E90" i="1"/>
  <c r="E95" i="1"/>
  <c r="M95" i="1" s="1"/>
  <c r="E98" i="1"/>
  <c r="M98" i="1" s="1"/>
  <c r="E100" i="1"/>
  <c r="E118" i="1"/>
  <c r="E120" i="1"/>
  <c r="E122" i="1"/>
  <c r="E124" i="1"/>
  <c r="E126" i="1"/>
  <c r="E128" i="1"/>
  <c r="M128" i="1" s="1"/>
  <c r="E114" i="1"/>
  <c r="E239" i="1"/>
  <c r="M239" i="1" s="1"/>
  <c r="E232" i="1"/>
  <c r="M232" i="1" s="1"/>
  <c r="E228" i="1"/>
  <c r="M228" i="1" s="1"/>
  <c r="E224" i="1"/>
  <c r="M224" i="1" s="1"/>
  <c r="E220" i="1"/>
  <c r="M220" i="1" s="1"/>
  <c r="E218" i="1"/>
  <c r="M218" i="1" s="1"/>
  <c r="E195" i="1"/>
  <c r="M195" i="1" s="1"/>
  <c r="E187" i="1"/>
  <c r="M187" i="1" s="1"/>
  <c r="E22" i="1"/>
  <c r="E24" i="1"/>
  <c r="E26" i="1"/>
  <c r="E28" i="1"/>
  <c r="E29" i="1"/>
  <c r="E31" i="1"/>
  <c r="M31" i="1" s="1"/>
  <c r="E35" i="1"/>
  <c r="E37" i="1"/>
  <c r="M37" i="1" s="1"/>
  <c r="E39" i="1"/>
  <c r="M39" i="1" s="1"/>
  <c r="E41" i="1"/>
  <c r="E44" i="1"/>
  <c r="E52" i="1"/>
  <c r="M52" i="1" s="1"/>
  <c r="E62" i="1"/>
  <c r="E58" i="1"/>
  <c r="E63" i="1"/>
  <c r="E61" i="1"/>
  <c r="E75" i="1"/>
  <c r="E77" i="1"/>
  <c r="M77" i="1" s="1"/>
  <c r="E79" i="1"/>
  <c r="E81" i="1"/>
  <c r="E85" i="1"/>
  <c r="M85" i="1" s="1"/>
  <c r="E87" i="1"/>
  <c r="E89" i="1"/>
  <c r="E94" i="1"/>
  <c r="E96" i="1"/>
  <c r="E99" i="1"/>
  <c r="E101" i="1"/>
  <c r="E119" i="1"/>
  <c r="E121" i="1"/>
  <c r="M121" i="1" s="1"/>
  <c r="E123" i="1"/>
  <c r="E125" i="1"/>
  <c r="E127" i="1"/>
  <c r="E106" i="1"/>
  <c r="M106" i="1" s="1"/>
  <c r="F200" i="1"/>
  <c r="E202" i="1"/>
  <c r="M202" i="1" s="1"/>
  <c r="E205" i="1"/>
  <c r="M205" i="1" s="1"/>
  <c r="D7" i="12"/>
  <c r="D9" i="12"/>
  <c r="E113" i="1"/>
  <c r="E105" i="1"/>
  <c r="E93" i="1"/>
  <c r="E72" i="1"/>
  <c r="E71" i="1"/>
  <c r="E9" i="1"/>
  <c r="E33" i="1"/>
  <c r="E12" i="1"/>
  <c r="E8" i="1"/>
  <c r="D10" i="12"/>
  <c r="E117" i="1"/>
  <c r="E70" i="1"/>
  <c r="E67" i="1"/>
  <c r="M67" i="1" s="1"/>
  <c r="E66" i="1"/>
  <c r="E49" i="1"/>
  <c r="M49" i="1" s="1"/>
  <c r="E84" i="1"/>
  <c r="E14" i="1"/>
  <c r="D8" i="12"/>
  <c r="S179" i="1"/>
  <c r="L205" i="1"/>
  <c r="S197" i="1"/>
  <c r="N191" i="1"/>
  <c r="K205" i="1"/>
  <c r="N179" i="1"/>
  <c r="N178" i="1"/>
  <c r="AM178" i="1"/>
  <c r="P164" i="1"/>
  <c r="Q164" i="1"/>
  <c r="AQ153" i="1"/>
  <c r="K258" i="1"/>
  <c r="K163" i="1"/>
  <c r="AO164" i="1"/>
  <c r="Q153" i="1"/>
  <c r="AL253" i="1"/>
  <c r="P153" i="1"/>
  <c r="J148" i="1"/>
  <c r="AQ252" i="1"/>
  <c r="J258" i="1"/>
  <c r="AQ148" i="1"/>
  <c r="K149" i="1"/>
  <c r="AO172" i="1"/>
  <c r="AO171" i="1"/>
  <c r="AL171" i="1"/>
  <c r="AL159" i="1"/>
  <c r="AK153" i="1"/>
  <c r="AO253" i="1"/>
  <c r="K159" i="1"/>
  <c r="Q172" i="1"/>
  <c r="L163" i="1"/>
  <c r="Q159" i="1"/>
  <c r="J163" i="1"/>
  <c r="AL158" i="1"/>
  <c r="J164" i="1"/>
  <c r="AL172" i="1"/>
  <c r="AO148" i="1"/>
  <c r="AQ172" i="1"/>
  <c r="K171" i="1"/>
  <c r="J158" i="1"/>
  <c r="P172" i="1"/>
  <c r="O172" i="1"/>
  <c r="AQ164" i="1"/>
  <c r="P148" i="1"/>
  <c r="AO153" i="1"/>
  <c r="AQ154" i="1"/>
  <c r="J149" i="1"/>
  <c r="Q171" i="1"/>
  <c r="K153" i="1"/>
  <c r="Q158" i="1"/>
  <c r="AO159" i="1"/>
  <c r="O154" i="1"/>
  <c r="AO154" i="1"/>
  <c r="AL154" i="1"/>
  <c r="AQ159" i="1"/>
  <c r="P171" i="1"/>
  <c r="AK159" i="1"/>
  <c r="O163" i="1"/>
  <c r="Q163" i="1"/>
  <c r="AQ163" i="1"/>
  <c r="AQ253" i="1"/>
  <c r="P159" i="1"/>
  <c r="AL149" i="1"/>
  <c r="AL163" i="1"/>
  <c r="AK149" i="1"/>
  <c r="J153" i="1"/>
  <c r="L172" i="1"/>
  <c r="AL153" i="1"/>
  <c r="O171" i="1"/>
  <c r="O149" i="1"/>
  <c r="O159" i="1"/>
  <c r="AL164" i="1"/>
  <c r="P149" i="1"/>
  <c r="K148" i="1"/>
  <c r="L258" i="1"/>
  <c r="AK164" i="1"/>
  <c r="AQ149" i="1"/>
  <c r="L159" i="1"/>
  <c r="O158" i="1"/>
  <c r="J171" i="1"/>
  <c r="L158" i="1"/>
  <c r="Q148" i="1"/>
  <c r="K154" i="1"/>
  <c r="AO163" i="1"/>
  <c r="L154" i="1"/>
  <c r="AQ158" i="1"/>
  <c r="J172" i="1"/>
  <c r="AQ171" i="1"/>
  <c r="L148" i="1"/>
  <c r="AO149" i="1"/>
  <c r="P158" i="1"/>
  <c r="L153" i="1"/>
  <c r="AL252" i="1"/>
  <c r="P154" i="1"/>
  <c r="P163" i="1"/>
  <c r="J154" i="1"/>
  <c r="AK158" i="1"/>
  <c r="O164" i="1"/>
  <c r="O148" i="1"/>
  <c r="L171" i="1"/>
  <c r="AK148" i="1"/>
  <c r="K158" i="1"/>
  <c r="J159" i="1"/>
  <c r="AO158" i="1"/>
  <c r="AO252" i="1"/>
  <c r="K172" i="1"/>
  <c r="AK154" i="1"/>
  <c r="L149" i="1"/>
  <c r="L164" i="1"/>
  <c r="AK172" i="1"/>
  <c r="Q154" i="1"/>
  <c r="AL148" i="1"/>
  <c r="O153" i="1"/>
  <c r="Q149" i="1"/>
  <c r="J257" i="1"/>
  <c r="AK171" i="1"/>
  <c r="L257" i="1"/>
  <c r="K164" i="1"/>
  <c r="AK163" i="1"/>
  <c r="K257" i="1"/>
  <c r="G14" i="19" l="1"/>
  <c r="C59" i="19" s="1"/>
  <c r="F14" i="19"/>
  <c r="B59" i="19" s="1"/>
  <c r="F48" i="2"/>
  <c r="S466" i="1"/>
  <c r="M466" i="1"/>
  <c r="R466" i="1"/>
  <c r="N466" i="1"/>
  <c r="L67" i="9"/>
  <c r="P67" i="9"/>
  <c r="F121" i="2"/>
  <c r="F122" i="2"/>
  <c r="F49" i="2"/>
  <c r="M78" i="1"/>
  <c r="R78" i="1"/>
  <c r="M110" i="15"/>
  <c r="N110" i="15"/>
  <c r="R110" i="15"/>
  <c r="S110" i="15"/>
  <c r="R100" i="15"/>
  <c r="N100" i="15"/>
  <c r="M100" i="15"/>
  <c r="S100" i="15"/>
  <c r="S103" i="15"/>
  <c r="M103" i="15"/>
  <c r="R103" i="15"/>
  <c r="N103" i="15"/>
  <c r="M152" i="15"/>
  <c r="N152" i="15"/>
  <c r="R33" i="15"/>
  <c r="AN33" i="15" s="1"/>
  <c r="S33" i="15"/>
  <c r="N33" i="15"/>
  <c r="M33" i="15"/>
  <c r="B127" i="9"/>
  <c r="M127" i="1"/>
  <c r="C127" i="9" s="1"/>
  <c r="M98" i="15"/>
  <c r="N98" i="15"/>
  <c r="N134" i="15"/>
  <c r="M134" i="15"/>
  <c r="R134" i="15"/>
  <c r="AN134" i="15" s="1"/>
  <c r="S134" i="15"/>
  <c r="M126" i="15"/>
  <c r="N126" i="15"/>
  <c r="M91" i="15"/>
  <c r="N91" i="15"/>
  <c r="S77" i="15"/>
  <c r="R77" i="15"/>
  <c r="M77" i="15"/>
  <c r="N77" i="15"/>
  <c r="W293" i="1"/>
  <c r="AF293" i="1" s="1"/>
  <c r="R113" i="1"/>
  <c r="AN113" i="1" s="1"/>
  <c r="M113" i="1"/>
  <c r="B125" i="9"/>
  <c r="M125" i="1"/>
  <c r="B37" i="9"/>
  <c r="R35" i="1"/>
  <c r="AN35" i="1" s="1"/>
  <c r="M35" i="1"/>
  <c r="M36" i="1"/>
  <c r="R36" i="1"/>
  <c r="M155" i="15"/>
  <c r="N155" i="15"/>
  <c r="R118" i="15"/>
  <c r="AN118" i="15" s="1"/>
  <c r="S118" i="15"/>
  <c r="M118" i="15"/>
  <c r="N118" i="15"/>
  <c r="M161" i="15"/>
  <c r="N161" i="15"/>
  <c r="M31" i="15"/>
  <c r="N31" i="15"/>
  <c r="M158" i="15"/>
  <c r="N158" i="15"/>
  <c r="M157" i="15"/>
  <c r="N157" i="15"/>
  <c r="N24" i="15"/>
  <c r="M24" i="15"/>
  <c r="S24" i="15"/>
  <c r="R24" i="15"/>
  <c r="AN24" i="15" s="1"/>
  <c r="S107" i="15"/>
  <c r="N107" i="15"/>
  <c r="M107" i="15"/>
  <c r="R107" i="15"/>
  <c r="AN107" i="15" s="1"/>
  <c r="M104" i="15"/>
  <c r="N104" i="15"/>
  <c r="S104" i="15"/>
  <c r="R104" i="15"/>
  <c r="N88" i="15"/>
  <c r="S88" i="15"/>
  <c r="R88" i="15"/>
  <c r="M88" i="15"/>
  <c r="R83" i="15"/>
  <c r="M83" i="15"/>
  <c r="S83" i="15"/>
  <c r="N83" i="15"/>
  <c r="N205" i="1"/>
  <c r="B21" i="9"/>
  <c r="M84" i="1"/>
  <c r="R84" i="1"/>
  <c r="M12" i="1"/>
  <c r="R12" i="1"/>
  <c r="AN12" i="1" s="1"/>
  <c r="B123" i="9"/>
  <c r="M123" i="1"/>
  <c r="C123" i="9" s="1"/>
  <c r="M87" i="1"/>
  <c r="R87" i="1"/>
  <c r="B126" i="9"/>
  <c r="M126" i="1"/>
  <c r="C126" i="9" s="1"/>
  <c r="R90" i="1"/>
  <c r="AN90" i="1" s="1"/>
  <c r="M90" i="1"/>
  <c r="M171" i="15"/>
  <c r="N171" i="15"/>
  <c r="N160" i="15"/>
  <c r="M160" i="15"/>
  <c r="M175" i="15"/>
  <c r="N175" i="15"/>
  <c r="N67" i="15"/>
  <c r="M67" i="15"/>
  <c r="M172" i="15"/>
  <c r="N172" i="15"/>
  <c r="R35" i="15"/>
  <c r="S35" i="15"/>
  <c r="N35" i="15"/>
  <c r="M35" i="15"/>
  <c r="N71" i="15"/>
  <c r="R71" i="15"/>
  <c r="AN71" i="15" s="1"/>
  <c r="S71" i="15"/>
  <c r="M71" i="15"/>
  <c r="N143" i="15"/>
  <c r="M143" i="15"/>
  <c r="M34" i="15"/>
  <c r="S34" i="15"/>
  <c r="N34" i="15"/>
  <c r="R34" i="15"/>
  <c r="M117" i="15"/>
  <c r="N117" i="15"/>
  <c r="M139" i="15"/>
  <c r="N139" i="15"/>
  <c r="M96" i="15"/>
  <c r="N96" i="15"/>
  <c r="R96" i="15"/>
  <c r="S96" i="15"/>
  <c r="M105" i="15"/>
  <c r="R105" i="15"/>
  <c r="S105" i="15"/>
  <c r="N105" i="15"/>
  <c r="N66" i="15"/>
  <c r="M66" i="15"/>
  <c r="M93" i="1"/>
  <c r="R93" i="1"/>
  <c r="M100" i="1"/>
  <c r="R100" i="1"/>
  <c r="R23" i="1"/>
  <c r="M23" i="1"/>
  <c r="N120" i="15"/>
  <c r="R120" i="15"/>
  <c r="S120" i="15"/>
  <c r="M120" i="15"/>
  <c r="R43" i="15"/>
  <c r="N43" i="15"/>
  <c r="S43" i="15"/>
  <c r="M43" i="15"/>
  <c r="M94" i="15"/>
  <c r="N94" i="15"/>
  <c r="R94" i="1"/>
  <c r="M94" i="1"/>
  <c r="M38" i="1"/>
  <c r="R38" i="1"/>
  <c r="M190" i="15"/>
  <c r="N190" i="15"/>
  <c r="M121" i="15"/>
  <c r="N121" i="15"/>
  <c r="M114" i="15"/>
  <c r="S114" i="15"/>
  <c r="R114" i="15"/>
  <c r="N114" i="15"/>
  <c r="R102" i="15"/>
  <c r="S102" i="15"/>
  <c r="M102" i="15"/>
  <c r="N102" i="15"/>
  <c r="R87" i="15"/>
  <c r="N87" i="15"/>
  <c r="S87" i="15"/>
  <c r="M87" i="15"/>
  <c r="AN144" i="15"/>
  <c r="S119" i="15"/>
  <c r="N119" i="15"/>
  <c r="M119" i="15"/>
  <c r="R119" i="15"/>
  <c r="M170" i="15"/>
  <c r="N170" i="15"/>
  <c r="M136" i="15"/>
  <c r="N136" i="15"/>
  <c r="M112" i="15"/>
  <c r="N112" i="15"/>
  <c r="B78" i="9"/>
  <c r="R75" i="1"/>
  <c r="M75" i="1"/>
  <c r="S75" i="15"/>
  <c r="R75" i="15"/>
  <c r="M75" i="15"/>
  <c r="N75" i="15"/>
  <c r="N39" i="15"/>
  <c r="M39" i="15"/>
  <c r="M151" i="15"/>
  <c r="N151" i="15"/>
  <c r="N41" i="15"/>
  <c r="M41" i="15"/>
  <c r="R8" i="1"/>
  <c r="M8" i="1"/>
  <c r="M88" i="1"/>
  <c r="R88" i="1"/>
  <c r="M30" i="1"/>
  <c r="R30" i="1"/>
  <c r="AN30" i="1" s="1"/>
  <c r="M95" i="15"/>
  <c r="S95" i="15"/>
  <c r="R95" i="15"/>
  <c r="N95" i="15"/>
  <c r="N8" i="15"/>
  <c r="M8" i="15"/>
  <c r="S8" i="15"/>
  <c r="R8" i="15"/>
  <c r="AN8" i="15" s="1"/>
  <c r="R66" i="1"/>
  <c r="M66" i="1"/>
  <c r="R81" i="1"/>
  <c r="M81" i="1"/>
  <c r="M97" i="1"/>
  <c r="R97" i="1"/>
  <c r="R93" i="15"/>
  <c r="AN93" i="15" s="1"/>
  <c r="N93" i="15"/>
  <c r="S93" i="15"/>
  <c r="M93" i="15"/>
  <c r="N169" i="15"/>
  <c r="M169" i="15"/>
  <c r="M192" i="15"/>
  <c r="N192" i="15"/>
  <c r="M125" i="15"/>
  <c r="R125" i="15"/>
  <c r="N125" i="15"/>
  <c r="S125" i="15"/>
  <c r="M147" i="15"/>
  <c r="N147" i="15"/>
  <c r="N133" i="15"/>
  <c r="R133" i="15"/>
  <c r="AN133" i="15" s="1"/>
  <c r="M133" i="15"/>
  <c r="S133" i="15"/>
  <c r="M71" i="1"/>
  <c r="R71" i="1"/>
  <c r="R101" i="1"/>
  <c r="M101" i="1"/>
  <c r="B82" i="9"/>
  <c r="M79" i="1"/>
  <c r="R79" i="1"/>
  <c r="B47" i="9"/>
  <c r="R44" i="1"/>
  <c r="M44" i="1"/>
  <c r="M26" i="1"/>
  <c r="R26" i="1"/>
  <c r="AN26" i="1" s="1"/>
  <c r="R120" i="1"/>
  <c r="M120" i="1"/>
  <c r="C120" i="9" s="1"/>
  <c r="B46" i="9"/>
  <c r="M43" i="1"/>
  <c r="R43" i="1"/>
  <c r="M193" i="15"/>
  <c r="N193" i="15"/>
  <c r="M117" i="1"/>
  <c r="R117" i="1"/>
  <c r="R96" i="1"/>
  <c r="M96" i="1"/>
  <c r="R22" i="1"/>
  <c r="M22" i="1"/>
  <c r="N26" i="15"/>
  <c r="R26" i="15"/>
  <c r="M26" i="15"/>
  <c r="S26" i="15"/>
  <c r="S15" i="15"/>
  <c r="N15" i="15"/>
  <c r="M15" i="15"/>
  <c r="R15" i="15"/>
  <c r="M97" i="15"/>
  <c r="R97" i="15"/>
  <c r="AN97" i="15" s="1"/>
  <c r="N97" i="15"/>
  <c r="S97" i="15"/>
  <c r="N30" i="15"/>
  <c r="M30" i="15"/>
  <c r="M79" i="15"/>
  <c r="N79" i="15"/>
  <c r="R105" i="1"/>
  <c r="M105" i="1"/>
  <c r="R114" i="1"/>
  <c r="AN114" i="1" s="1"/>
  <c r="M114" i="1"/>
  <c r="B79" i="9"/>
  <c r="M76" i="1"/>
  <c r="R76" i="1"/>
  <c r="AN76" i="1" s="1"/>
  <c r="M179" i="15"/>
  <c r="N179" i="15"/>
  <c r="R29" i="15"/>
  <c r="AN29" i="15" s="1"/>
  <c r="M29" i="15"/>
  <c r="S29" i="15"/>
  <c r="N29" i="15"/>
  <c r="N101" i="15"/>
  <c r="M101" i="15"/>
  <c r="M154" i="15"/>
  <c r="N154" i="15"/>
  <c r="M61" i="15"/>
  <c r="N61" i="15"/>
  <c r="R14" i="1"/>
  <c r="M14" i="1"/>
  <c r="R89" i="1"/>
  <c r="AN89" i="1" s="1"/>
  <c r="M89" i="1"/>
  <c r="B36" i="9"/>
  <c r="R33" i="1"/>
  <c r="M33" i="1"/>
  <c r="R29" i="1"/>
  <c r="AN29" i="1" s="1"/>
  <c r="M29" i="1"/>
  <c r="B124" i="9"/>
  <c r="M124" i="1"/>
  <c r="C124" i="9" s="1"/>
  <c r="S25" i="15"/>
  <c r="M25" i="15"/>
  <c r="N25" i="15"/>
  <c r="R25" i="15"/>
  <c r="M180" i="15"/>
  <c r="N180" i="15"/>
  <c r="N73" i="15"/>
  <c r="M73" i="15"/>
  <c r="S73" i="15"/>
  <c r="R73" i="15"/>
  <c r="N37" i="15"/>
  <c r="M37" i="15"/>
  <c r="R37" i="15"/>
  <c r="S37" i="15"/>
  <c r="R116" i="15"/>
  <c r="N116" i="15"/>
  <c r="S116" i="15"/>
  <c r="M116" i="15"/>
  <c r="R9" i="1"/>
  <c r="M9" i="1"/>
  <c r="B119" i="9"/>
  <c r="M119" i="1"/>
  <c r="R28" i="1"/>
  <c r="AN28" i="1" s="1"/>
  <c r="M28" i="1"/>
  <c r="B122" i="9"/>
  <c r="M122" i="1"/>
  <c r="C122" i="9" s="1"/>
  <c r="M86" i="1"/>
  <c r="R86" i="1"/>
  <c r="AN86" i="1" s="1"/>
  <c r="S111" i="15"/>
  <c r="M111" i="15"/>
  <c r="N111" i="15"/>
  <c r="R111" i="15"/>
  <c r="S42" i="15"/>
  <c r="M42" i="15"/>
  <c r="R42" i="15"/>
  <c r="N42" i="15"/>
  <c r="M84" i="15"/>
  <c r="N84" i="15"/>
  <c r="M36" i="15"/>
  <c r="N36" i="15"/>
  <c r="M48" i="15"/>
  <c r="N48" i="15"/>
  <c r="M183" i="15"/>
  <c r="N183" i="15"/>
  <c r="N13" i="15"/>
  <c r="S13" i="15"/>
  <c r="R13" i="15"/>
  <c r="AN13" i="15" s="1"/>
  <c r="M13" i="15"/>
  <c r="M168" i="15"/>
  <c r="N168" i="15"/>
  <c r="R153" i="15"/>
  <c r="S153" i="15"/>
  <c r="N153" i="15"/>
  <c r="M153" i="15"/>
  <c r="N47" i="15"/>
  <c r="M47" i="15"/>
  <c r="N189" i="15"/>
  <c r="M189" i="15"/>
  <c r="R90" i="15"/>
  <c r="S90" i="15"/>
  <c r="M90" i="15"/>
  <c r="N90" i="15"/>
  <c r="M176" i="15"/>
  <c r="N176" i="15"/>
  <c r="N38" i="15"/>
  <c r="M38" i="15"/>
  <c r="N51" i="15"/>
  <c r="M51" i="15"/>
  <c r="N156" i="15"/>
  <c r="M156" i="15"/>
  <c r="N23" i="15"/>
  <c r="M23" i="15"/>
  <c r="R23" i="15"/>
  <c r="S23" i="15"/>
  <c r="M159" i="15"/>
  <c r="N159" i="15"/>
  <c r="N202" i="1"/>
  <c r="M70" i="1"/>
  <c r="R70" i="1"/>
  <c r="B75" i="9"/>
  <c r="M72" i="1"/>
  <c r="R72" i="1"/>
  <c r="R99" i="1"/>
  <c r="AN99" i="1" s="1"/>
  <c r="M99" i="1"/>
  <c r="M41" i="1"/>
  <c r="R41" i="1"/>
  <c r="AN41" i="1" s="1"/>
  <c r="R24" i="1"/>
  <c r="AN24" i="1" s="1"/>
  <c r="M24" i="1"/>
  <c r="B118" i="9"/>
  <c r="M118" i="1"/>
  <c r="C118" i="9" s="1"/>
  <c r="B83" i="9"/>
  <c r="R80" i="1"/>
  <c r="M80" i="1"/>
  <c r="R25" i="1"/>
  <c r="M25" i="1"/>
  <c r="R40" i="15"/>
  <c r="N40" i="15"/>
  <c r="M40" i="15"/>
  <c r="S40" i="15"/>
  <c r="R74" i="15"/>
  <c r="S74" i="15"/>
  <c r="M74" i="15"/>
  <c r="N74" i="15"/>
  <c r="R76" i="15"/>
  <c r="S76" i="15"/>
  <c r="M76" i="15"/>
  <c r="N76" i="15"/>
  <c r="N9" i="15"/>
  <c r="R9" i="15"/>
  <c r="M9" i="15"/>
  <c r="S9" i="15"/>
  <c r="R113" i="15"/>
  <c r="N113" i="15"/>
  <c r="M113" i="15"/>
  <c r="S113" i="15"/>
  <c r="R28" i="15"/>
  <c r="N28" i="15"/>
  <c r="S28" i="15"/>
  <c r="M28" i="15"/>
  <c r="R92" i="15"/>
  <c r="AN92" i="15" s="1"/>
  <c r="N92" i="15"/>
  <c r="M92" i="15"/>
  <c r="S92" i="15"/>
  <c r="S80" i="15"/>
  <c r="M80" i="15"/>
  <c r="R80" i="15"/>
  <c r="N80" i="15"/>
  <c r="R106" i="15"/>
  <c r="M106" i="15"/>
  <c r="S106" i="15"/>
  <c r="N106" i="15"/>
  <c r="R22" i="15"/>
  <c r="N22" i="15"/>
  <c r="S22" i="15"/>
  <c r="M22" i="15"/>
  <c r="M27" i="15"/>
  <c r="N27" i="15"/>
  <c r="R115" i="15"/>
  <c r="AN115" i="15" s="1"/>
  <c r="N115" i="15"/>
  <c r="M115" i="15"/>
  <c r="S115" i="15"/>
  <c r="N177" i="15"/>
  <c r="M177" i="15"/>
  <c r="W67" i="5"/>
  <c r="X76" i="5"/>
  <c r="M62" i="1"/>
  <c r="R62" i="1"/>
  <c r="R59" i="1"/>
  <c r="AN59" i="1" s="1"/>
  <c r="M59" i="1"/>
  <c r="M61" i="1"/>
  <c r="R61" i="1"/>
  <c r="R63" i="1"/>
  <c r="M63" i="1"/>
  <c r="B62" i="9"/>
  <c r="R58" i="1"/>
  <c r="M58" i="1"/>
  <c r="M60" i="1"/>
  <c r="R60" i="1"/>
  <c r="AN60" i="1" s="1"/>
  <c r="E152" i="1"/>
  <c r="E156" i="1"/>
  <c r="C42" i="19" s="1"/>
  <c r="E154" i="1"/>
  <c r="C43" i="19" s="1"/>
  <c r="S295" i="1"/>
  <c r="AD295" i="1" s="1"/>
  <c r="V197" i="1"/>
  <c r="AN197" i="1"/>
  <c r="V179" i="1"/>
  <c r="AN179" i="1"/>
  <c r="U295" i="1"/>
  <c r="AE295" i="1" s="1"/>
  <c r="U289" i="1"/>
  <c r="AE289" i="1" s="1"/>
  <c r="B41" i="9"/>
  <c r="BL220" i="1"/>
  <c r="BL218" i="1"/>
  <c r="BL216" i="1"/>
  <c r="BL215" i="1"/>
  <c r="AR178" i="1"/>
  <c r="AP178" i="1"/>
  <c r="M11" i="9"/>
  <c r="N11" i="9" s="1"/>
  <c r="AM186" i="1"/>
  <c r="AR186" i="1"/>
  <c r="AP186" i="1"/>
  <c r="M16" i="9"/>
  <c r="N16" i="9" s="1"/>
  <c r="AM191" i="1"/>
  <c r="AP191" i="1"/>
  <c r="AR191" i="1"/>
  <c r="AM179" i="1"/>
  <c r="AR179" i="1"/>
  <c r="AP179" i="1"/>
  <c r="B9" i="9"/>
  <c r="BL217" i="1"/>
  <c r="AM209" i="1"/>
  <c r="AP209" i="1"/>
  <c r="AR209" i="1"/>
  <c r="BG217" i="1"/>
  <c r="M27" i="9"/>
  <c r="N27" i="9" s="1"/>
  <c r="AM202" i="1"/>
  <c r="AR202" i="1"/>
  <c r="AP202" i="1"/>
  <c r="U291" i="1"/>
  <c r="AE291" i="1" s="1"/>
  <c r="BG236" i="1"/>
  <c r="AP289" i="1"/>
  <c r="AY290" i="1" s="1"/>
  <c r="BL234" i="1"/>
  <c r="BG233" i="1"/>
  <c r="BG234" i="1"/>
  <c r="BG235" i="1"/>
  <c r="D151" i="2"/>
  <c r="D153" i="2"/>
  <c r="W291" i="1"/>
  <c r="AF291" i="1" s="1"/>
  <c r="C61" i="2"/>
  <c r="C63" i="2" s="1"/>
  <c r="B39" i="9"/>
  <c r="B28" i="9"/>
  <c r="B24" i="9"/>
  <c r="D149" i="2"/>
  <c r="B51" i="9"/>
  <c r="B52" i="9"/>
  <c r="F37" i="9"/>
  <c r="B38" i="9"/>
  <c r="B23" i="9"/>
  <c r="B55" i="9"/>
  <c r="F40" i="9"/>
  <c r="B45" i="9"/>
  <c r="F30" i="9"/>
  <c r="B35" i="9"/>
  <c r="F20" i="9"/>
  <c r="B25" i="9"/>
  <c r="B93" i="9"/>
  <c r="F74" i="9"/>
  <c r="B84" i="9"/>
  <c r="B34" i="9"/>
  <c r="F19" i="9"/>
  <c r="B29" i="9"/>
  <c r="A286" i="1"/>
  <c r="S296" i="1"/>
  <c r="S287" i="1"/>
  <c r="S288" i="1"/>
  <c r="U293" i="1"/>
  <c r="S293" i="1"/>
  <c r="BC303" i="1"/>
  <c r="Q295" i="1"/>
  <c r="W296" i="1"/>
  <c r="W287" i="1"/>
  <c r="W288" i="1"/>
  <c r="W294" i="1"/>
  <c r="U290" i="1"/>
  <c r="Q289" i="1"/>
  <c r="Q296" i="1"/>
  <c r="Q288" i="1"/>
  <c r="Q287" i="1"/>
  <c r="U296" i="1"/>
  <c r="U287" i="1"/>
  <c r="U288" i="1"/>
  <c r="Q290" i="1"/>
  <c r="W290" i="1"/>
  <c r="S290" i="1"/>
  <c r="S294" i="1"/>
  <c r="S289" i="1"/>
  <c r="Q294" i="1"/>
  <c r="BC302" i="1"/>
  <c r="U294" i="1"/>
  <c r="W295" i="1"/>
  <c r="AP295" i="1"/>
  <c r="R22" i="9"/>
  <c r="B128" i="9"/>
  <c r="B120" i="9"/>
  <c r="Q30" i="9"/>
  <c r="R30" i="9"/>
  <c r="Q22" i="9"/>
  <c r="M35" i="9"/>
  <c r="N35" i="9" s="1"/>
  <c r="M4" i="9"/>
  <c r="N4" i="9" s="1"/>
  <c r="B94" i="9"/>
  <c r="B105" i="9"/>
  <c r="B101" i="9"/>
  <c r="B97" i="9"/>
  <c r="B86" i="9"/>
  <c r="B100" i="9"/>
  <c r="B96" i="9"/>
  <c r="B89" i="9"/>
  <c r="B85" i="9"/>
  <c r="B77" i="9"/>
  <c r="B99" i="9"/>
  <c r="B95" i="9"/>
  <c r="B80" i="9"/>
  <c r="B54" i="9"/>
  <c r="N52" i="1"/>
  <c r="B113" i="9"/>
  <c r="B98" i="9"/>
  <c r="B91" i="9"/>
  <c r="B87" i="9"/>
  <c r="B50" i="9"/>
  <c r="BE301" i="1"/>
  <c r="BP294" i="1" s="1"/>
  <c r="B42" i="9"/>
  <c r="BB234" i="1"/>
  <c r="BB235" i="1" s="1"/>
  <c r="BC234" i="1" s="1"/>
  <c r="B12" i="9"/>
  <c r="B60" i="9"/>
  <c r="B104" i="9"/>
  <c r="B88" i="9"/>
  <c r="B67" i="9"/>
  <c r="B43" i="9"/>
  <c r="B66" i="9"/>
  <c r="B44" i="9"/>
  <c r="B33" i="9"/>
  <c r="B74" i="9"/>
  <c r="BG303" i="1"/>
  <c r="B112" i="9"/>
  <c r="B121" i="9"/>
  <c r="B90" i="9"/>
  <c r="B65" i="9"/>
  <c r="B22" i="9"/>
  <c r="B73" i="9"/>
  <c r="B76" i="9"/>
  <c r="B63" i="9"/>
  <c r="BE302" i="1"/>
  <c r="B32" i="9"/>
  <c r="BI303" i="1"/>
  <c r="B40" i="9"/>
  <c r="B14" i="9"/>
  <c r="BE303" i="1"/>
  <c r="B70" i="9"/>
  <c r="B30" i="9"/>
  <c r="BG302" i="1"/>
  <c r="B26" i="9"/>
  <c r="B64" i="9"/>
  <c r="B31" i="9"/>
  <c r="BI302" i="1"/>
  <c r="B27" i="9"/>
  <c r="F156" i="1"/>
  <c r="F158" i="1" s="1"/>
  <c r="BB237" i="1"/>
  <c r="F274" i="1"/>
  <c r="BB238" i="1"/>
  <c r="B69" i="9"/>
  <c r="L12" i="9"/>
  <c r="P12" i="9"/>
  <c r="L58" i="9"/>
  <c r="P58" i="9"/>
  <c r="B117" i="9"/>
  <c r="B8" i="9"/>
  <c r="L27" i="9"/>
  <c r="P27" i="9"/>
  <c r="B61" i="9"/>
  <c r="L20" i="9"/>
  <c r="P20" i="9"/>
  <c r="L46" i="9"/>
  <c r="P46" i="9"/>
  <c r="L54" i="9"/>
  <c r="P54" i="9"/>
  <c r="L65" i="9"/>
  <c r="P65" i="9"/>
  <c r="B81" i="9"/>
  <c r="L13" i="9"/>
  <c r="P13" i="9"/>
  <c r="L45" i="9"/>
  <c r="P45" i="9"/>
  <c r="L52" i="9"/>
  <c r="P52" i="9"/>
  <c r="L64" i="9"/>
  <c r="P64" i="9"/>
  <c r="L31" i="9"/>
  <c r="P31" i="9"/>
  <c r="L44" i="9"/>
  <c r="P44" i="9"/>
  <c r="L50" i="9"/>
  <c r="P50" i="9"/>
  <c r="L7" i="9"/>
  <c r="P7" i="9"/>
  <c r="L43" i="9"/>
  <c r="P43" i="9"/>
  <c r="L47" i="9"/>
  <c r="P47" i="9"/>
  <c r="L55" i="9"/>
  <c r="P55" i="9"/>
  <c r="L68" i="9"/>
  <c r="P68" i="9"/>
  <c r="F276" i="1"/>
  <c r="BB217" i="1"/>
  <c r="N106" i="1"/>
  <c r="D105" i="9" s="1"/>
  <c r="F86" i="9"/>
  <c r="S101" i="1"/>
  <c r="N101" i="1"/>
  <c r="D101" i="9" s="1"/>
  <c r="F82" i="9"/>
  <c r="C125" i="9"/>
  <c r="N125" i="1"/>
  <c r="D125" i="9" s="1"/>
  <c r="F100" i="9"/>
  <c r="N62" i="1"/>
  <c r="F46" i="9"/>
  <c r="S62" i="1"/>
  <c r="S44" i="1"/>
  <c r="F32" i="9"/>
  <c r="N44" i="1"/>
  <c r="D47" i="9" s="1"/>
  <c r="N39" i="1"/>
  <c r="F26" i="9"/>
  <c r="N195" i="1"/>
  <c r="N220" i="1"/>
  <c r="M46" i="9"/>
  <c r="N46" i="9" s="1"/>
  <c r="M54" i="9"/>
  <c r="N54" i="9" s="1"/>
  <c r="N228" i="1"/>
  <c r="N239" i="1"/>
  <c r="M65" i="9"/>
  <c r="N65" i="9" s="1"/>
  <c r="N128" i="1"/>
  <c r="F103" i="9"/>
  <c r="N124" i="1"/>
  <c r="D124" i="9" s="1"/>
  <c r="F99" i="9"/>
  <c r="N48" i="1"/>
  <c r="D50" i="9" s="1"/>
  <c r="F35" i="9"/>
  <c r="N182" i="1"/>
  <c r="M43" i="9"/>
  <c r="N43" i="9" s="1"/>
  <c r="N217" i="1"/>
  <c r="M47" i="9"/>
  <c r="N47" i="9" s="1"/>
  <c r="N221" i="1"/>
  <c r="N229" i="1"/>
  <c r="M55" i="9"/>
  <c r="N55" i="9" s="1"/>
  <c r="N242" i="1"/>
  <c r="F102" i="9"/>
  <c r="N127" i="1"/>
  <c r="D127" i="9" s="1"/>
  <c r="F39" i="9"/>
  <c r="N37" i="1"/>
  <c r="F24" i="9"/>
  <c r="F17" i="9"/>
  <c r="N31" i="1"/>
  <c r="N187" i="1"/>
  <c r="M44" i="9"/>
  <c r="N44" i="9" s="1"/>
  <c r="N218" i="1"/>
  <c r="N224" i="1"/>
  <c r="M50" i="9"/>
  <c r="N50" i="9" s="1"/>
  <c r="M58" i="9"/>
  <c r="N58" i="9" s="1"/>
  <c r="N232" i="1"/>
  <c r="F94" i="9"/>
  <c r="S114" i="1"/>
  <c r="N114" i="1"/>
  <c r="N126" i="1"/>
  <c r="D126" i="9" s="1"/>
  <c r="F101" i="9"/>
  <c r="S43" i="1"/>
  <c r="N43" i="1"/>
  <c r="D46" i="9" s="1"/>
  <c r="F31" i="9"/>
  <c r="N40" i="1"/>
  <c r="F27" i="9"/>
  <c r="S30" i="1"/>
  <c r="N30" i="1"/>
  <c r="N188" i="1"/>
  <c r="N219" i="1"/>
  <c r="M45" i="9"/>
  <c r="N45" i="9" s="1"/>
  <c r="M52" i="9"/>
  <c r="N52" i="9" s="1"/>
  <c r="N226" i="1"/>
  <c r="N238" i="1"/>
  <c r="M64" i="9"/>
  <c r="N64" i="9" s="1"/>
  <c r="Q4" i="9"/>
  <c r="R4" i="9"/>
  <c r="S14" i="1"/>
  <c r="N14" i="1"/>
  <c r="D14" i="9" s="1"/>
  <c r="S22" i="1"/>
  <c r="N22" i="1"/>
  <c r="D22" i="9" s="1"/>
  <c r="F12" i="9"/>
  <c r="F11" i="9"/>
  <c r="S26" i="1"/>
  <c r="I12" i="9" s="1"/>
  <c r="N26" i="1"/>
  <c r="F15" i="9"/>
  <c r="S97" i="1"/>
  <c r="I14" i="9" s="1"/>
  <c r="N97" i="1"/>
  <c r="F21" i="9"/>
  <c r="S35" i="1"/>
  <c r="F22" i="9"/>
  <c r="N35" i="1"/>
  <c r="D37" i="9" s="1"/>
  <c r="N49" i="1"/>
  <c r="F36" i="9"/>
  <c r="F52" i="9"/>
  <c r="N61" i="1"/>
  <c r="S61" i="1"/>
  <c r="F54" i="9"/>
  <c r="S66" i="1"/>
  <c r="N66" i="1"/>
  <c r="S70" i="1"/>
  <c r="N70" i="1"/>
  <c r="D73" i="9" s="1"/>
  <c r="S76" i="1"/>
  <c r="F60" i="9"/>
  <c r="N76" i="1"/>
  <c r="D79" i="9" s="1"/>
  <c r="F67" i="9"/>
  <c r="N85" i="1"/>
  <c r="S90" i="1"/>
  <c r="I73" i="9" s="1"/>
  <c r="F72" i="9"/>
  <c r="N90" i="1"/>
  <c r="D91" i="9" s="1"/>
  <c r="N80" i="1"/>
  <c r="D83" i="9" s="1"/>
  <c r="S80" i="1"/>
  <c r="F64" i="9"/>
  <c r="S117" i="1"/>
  <c r="N117" i="1"/>
  <c r="N119" i="1"/>
  <c r="N122" i="1"/>
  <c r="D122" i="9" s="1"/>
  <c r="F97" i="9"/>
  <c r="F7" i="9"/>
  <c r="S8" i="1"/>
  <c r="N8" i="1"/>
  <c r="F8" i="9"/>
  <c r="S23" i="1"/>
  <c r="N23" i="1"/>
  <c r="AN23" i="1"/>
  <c r="N27" i="1"/>
  <c r="N33" i="1"/>
  <c r="D36" i="9" s="1"/>
  <c r="S33" i="1"/>
  <c r="I21" i="9" s="1"/>
  <c r="F28" i="9"/>
  <c r="S41" i="1"/>
  <c r="I28" i="9" s="1"/>
  <c r="N41" i="1"/>
  <c r="F45" i="9"/>
  <c r="N9" i="1"/>
  <c r="D9" i="9" s="1"/>
  <c r="S9" i="1"/>
  <c r="F49" i="9"/>
  <c r="S59" i="1"/>
  <c r="N59" i="1"/>
  <c r="N71" i="1"/>
  <c r="D74" i="9" s="1"/>
  <c r="S71" i="1"/>
  <c r="F59" i="9"/>
  <c r="S75" i="1"/>
  <c r="I59" i="9" s="1"/>
  <c r="N75" i="1"/>
  <c r="D78" i="9" s="1"/>
  <c r="N78" i="1"/>
  <c r="D81" i="9" s="1"/>
  <c r="F62" i="9"/>
  <c r="S78" i="1"/>
  <c r="N86" i="1"/>
  <c r="S86" i="1"/>
  <c r="I67" i="9" s="1"/>
  <c r="F68" i="9"/>
  <c r="F75" i="9"/>
  <c r="N93" i="1"/>
  <c r="S93" i="1"/>
  <c r="S96" i="1"/>
  <c r="F78" i="9"/>
  <c r="N96" i="1"/>
  <c r="F85" i="9"/>
  <c r="S105" i="1"/>
  <c r="N105" i="1"/>
  <c r="D104" i="9" s="1"/>
  <c r="C121" i="9"/>
  <c r="N121" i="1"/>
  <c r="D121" i="9" s="1"/>
  <c r="F44" i="9"/>
  <c r="N118" i="1"/>
  <c r="D118" i="9" s="1"/>
  <c r="F98" i="9"/>
  <c r="N123" i="1"/>
  <c r="D123" i="9" s="1"/>
  <c r="S84" i="1"/>
  <c r="N84" i="1"/>
  <c r="S24" i="1"/>
  <c r="N24" i="1"/>
  <c r="F9" i="9"/>
  <c r="F14" i="9"/>
  <c r="S28" i="1"/>
  <c r="I13" i="9" s="1"/>
  <c r="N28" i="1"/>
  <c r="F13" i="9"/>
  <c r="F18" i="9"/>
  <c r="N32" i="1"/>
  <c r="F25" i="9"/>
  <c r="S38" i="1"/>
  <c r="I25" i="9" s="1"/>
  <c r="N38" i="1"/>
  <c r="S58" i="1"/>
  <c r="F48" i="9"/>
  <c r="N58" i="1"/>
  <c r="S64" i="1"/>
  <c r="N64" i="1"/>
  <c r="F47" i="9"/>
  <c r="N67" i="1"/>
  <c r="D70" i="9" s="1"/>
  <c r="F55" i="9"/>
  <c r="N73" i="1"/>
  <c r="D77" i="9" s="1"/>
  <c r="F58" i="9"/>
  <c r="F63" i="9"/>
  <c r="N79" i="1"/>
  <c r="D82" i="9" s="1"/>
  <c r="S79" i="1"/>
  <c r="N87" i="1"/>
  <c r="F69" i="9"/>
  <c r="S87" i="1"/>
  <c r="S94" i="1"/>
  <c r="F76" i="9"/>
  <c r="N94" i="1"/>
  <c r="S99" i="1"/>
  <c r="F80" i="9"/>
  <c r="N99" i="1"/>
  <c r="S81" i="1"/>
  <c r="I19" i="9" s="1"/>
  <c r="N81" i="1"/>
  <c r="S100" i="1"/>
  <c r="F81" i="9"/>
  <c r="N100" i="1"/>
  <c r="S12" i="1"/>
  <c r="N12" i="1"/>
  <c r="D12" i="9" s="1"/>
  <c r="F10" i="9"/>
  <c r="N25" i="1"/>
  <c r="S25" i="1"/>
  <c r="F16" i="9"/>
  <c r="S29" i="1"/>
  <c r="N29" i="1"/>
  <c r="BB216" i="1"/>
  <c r="S36" i="1"/>
  <c r="N36" i="1"/>
  <c r="F23" i="9"/>
  <c r="F29" i="9"/>
  <c r="N42" i="1"/>
  <c r="S60" i="1"/>
  <c r="N60" i="1"/>
  <c r="F51" i="9"/>
  <c r="F50" i="9"/>
  <c r="N63" i="1"/>
  <c r="S63" i="1"/>
  <c r="S72" i="1"/>
  <c r="F57" i="9"/>
  <c r="N72" i="1"/>
  <c r="N77" i="1"/>
  <c r="D80" i="9" s="1"/>
  <c r="F61" i="9"/>
  <c r="F65" i="9"/>
  <c r="F66" i="9"/>
  <c r="N82" i="1"/>
  <c r="S88" i="1"/>
  <c r="F70" i="9"/>
  <c r="N88" i="1"/>
  <c r="N95" i="1"/>
  <c r="F77" i="9"/>
  <c r="F79" i="9"/>
  <c r="N98" i="1"/>
  <c r="F93" i="9"/>
  <c r="N113" i="1"/>
  <c r="D112" i="9" s="1"/>
  <c r="S113" i="1"/>
  <c r="F96" i="9"/>
  <c r="F71" i="9"/>
  <c r="N89" i="1"/>
  <c r="S89" i="1"/>
  <c r="N120" i="1"/>
  <c r="D120" i="9" s="1"/>
  <c r="S120" i="1"/>
  <c r="H149" i="6"/>
  <c r="F151" i="6"/>
  <c r="Q201" i="1"/>
  <c r="P201" i="1"/>
  <c r="K201" i="1"/>
  <c r="N201" i="1" s="1"/>
  <c r="L201" i="1"/>
  <c r="M148" i="1"/>
  <c r="R163" i="1"/>
  <c r="N164" i="1"/>
  <c r="S164" i="1"/>
  <c r="S163" i="1"/>
  <c r="M153" i="1"/>
  <c r="F153" i="6"/>
  <c r="M257" i="1"/>
  <c r="D9" i="19"/>
  <c r="S149" i="1"/>
  <c r="R153" i="1"/>
  <c r="R148" i="1"/>
  <c r="N149" i="1"/>
  <c r="S158" i="1"/>
  <c r="D8" i="19"/>
  <c r="M163" i="1"/>
  <c r="H9" i="19"/>
  <c r="S159" i="1"/>
  <c r="M172" i="1"/>
  <c r="M149" i="1"/>
  <c r="R172" i="1"/>
  <c r="O8" i="19" a="1"/>
  <c r="H8" i="19"/>
  <c r="R159" i="1"/>
  <c r="S154" i="1"/>
  <c r="M158" i="1"/>
  <c r="M164" i="1"/>
  <c r="M258" i="1"/>
  <c r="R171" i="1"/>
  <c r="N158" i="1"/>
  <c r="N159" i="1"/>
  <c r="S172" i="1"/>
  <c r="N163" i="1"/>
  <c r="R149" i="1"/>
  <c r="R154" i="1"/>
  <c r="S153" i="1"/>
  <c r="R164" i="1"/>
  <c r="M154" i="1"/>
  <c r="R158" i="1"/>
  <c r="O9" i="19"/>
  <c r="N148" i="1"/>
  <c r="S148" i="1"/>
  <c r="S171" i="1"/>
  <c r="N257" i="1"/>
  <c r="M159" i="1"/>
  <c r="N172" i="1"/>
  <c r="M171" i="1"/>
  <c r="N153" i="1"/>
  <c r="N171" i="1"/>
  <c r="N258" i="1"/>
  <c r="F152" i="6"/>
  <c r="N154" i="1"/>
  <c r="P9" i="19" l="1"/>
  <c r="O6" i="19"/>
  <c r="P6" i="19" s="1"/>
  <c r="O4" i="19"/>
  <c r="P4" i="19" s="1"/>
  <c r="D54" i="19"/>
  <c r="O8" i="19"/>
  <c r="P8" i="19" s="1"/>
  <c r="D55" i="19"/>
  <c r="D68" i="19"/>
  <c r="O7" i="19"/>
  <c r="P7" i="19" s="1"/>
  <c r="D69" i="19"/>
  <c r="N8" i="19"/>
  <c r="M8" i="19"/>
  <c r="N9" i="19"/>
  <c r="M9" i="19"/>
  <c r="AN66" i="1"/>
  <c r="N6" i="19"/>
  <c r="M6" i="19"/>
  <c r="M7" i="19"/>
  <c r="N7" i="19"/>
  <c r="H4" i="19"/>
  <c r="D24" i="19" s="1"/>
  <c r="D6" i="19"/>
  <c r="D28" i="19"/>
  <c r="B28" i="19"/>
  <c r="H6" i="19"/>
  <c r="B27" i="19"/>
  <c r="D7" i="19"/>
  <c r="H14" i="19"/>
  <c r="D4" i="19"/>
  <c r="B24" i="19" s="1"/>
  <c r="H7" i="19"/>
  <c r="D27" i="19"/>
  <c r="F7" i="19"/>
  <c r="B53" i="19" s="1"/>
  <c r="G7" i="19"/>
  <c r="C53" i="19" s="1"/>
  <c r="F8" i="19"/>
  <c r="B54" i="19" s="1"/>
  <c r="G8" i="19"/>
  <c r="C54" i="19" s="1"/>
  <c r="C7" i="19"/>
  <c r="C67" i="19" s="1"/>
  <c r="B7" i="19"/>
  <c r="B67" i="19" s="1"/>
  <c r="C8" i="19"/>
  <c r="C68" i="19" s="1"/>
  <c r="B8" i="19"/>
  <c r="B68" i="19" s="1"/>
  <c r="C9" i="19"/>
  <c r="C69" i="19" s="1"/>
  <c r="B9" i="19"/>
  <c r="B69" i="19" s="1"/>
  <c r="G6" i="19"/>
  <c r="C52" i="19" s="1"/>
  <c r="F6" i="19"/>
  <c r="G9" i="19"/>
  <c r="C55" i="19" s="1"/>
  <c r="F9" i="19"/>
  <c r="B55" i="19" s="1"/>
  <c r="B6" i="19"/>
  <c r="B66" i="19" s="1"/>
  <c r="C6" i="19"/>
  <c r="C66" i="19" s="1"/>
  <c r="C44" i="19"/>
  <c r="C45" i="19" s="1"/>
  <c r="E161" i="1"/>
  <c r="D24" i="9"/>
  <c r="I9" i="9"/>
  <c r="AN26" i="15"/>
  <c r="V26" i="15"/>
  <c r="AP148" i="15"/>
  <c r="AM148" i="15"/>
  <c r="AR148" i="15"/>
  <c r="AN95" i="15"/>
  <c r="V95" i="15"/>
  <c r="AM75" i="15"/>
  <c r="AP75" i="15"/>
  <c r="AR75" i="15"/>
  <c r="AP144" i="15"/>
  <c r="AM144" i="15"/>
  <c r="AR144" i="15"/>
  <c r="V120" i="15"/>
  <c r="AN120" i="15"/>
  <c r="AM66" i="15"/>
  <c r="AP66" i="15"/>
  <c r="AR66" i="15"/>
  <c r="AM35" i="15"/>
  <c r="AP35" i="15"/>
  <c r="AR35" i="15"/>
  <c r="AP88" i="15"/>
  <c r="AM88" i="15"/>
  <c r="AR88" i="15"/>
  <c r="AR33" i="15"/>
  <c r="AP33" i="15"/>
  <c r="AM33" i="15"/>
  <c r="AM103" i="15"/>
  <c r="AR103" i="15"/>
  <c r="AP103" i="15"/>
  <c r="V40" i="15"/>
  <c r="AN40" i="15"/>
  <c r="AR23" i="15"/>
  <c r="AM23" i="15"/>
  <c r="AP23" i="15"/>
  <c r="AM13" i="15"/>
  <c r="AR13" i="15"/>
  <c r="AP13" i="15"/>
  <c r="AP30" i="15"/>
  <c r="AR30" i="15"/>
  <c r="AM87" i="15"/>
  <c r="AP87" i="15"/>
  <c r="AR87" i="15"/>
  <c r="AP71" i="15"/>
  <c r="AM71" i="15"/>
  <c r="AR71" i="15"/>
  <c r="AP22" i="15"/>
  <c r="AR22" i="15"/>
  <c r="AM22" i="15"/>
  <c r="AR8" i="15"/>
  <c r="AM8" i="15"/>
  <c r="AP8" i="15"/>
  <c r="AP119" i="15"/>
  <c r="AR119" i="15"/>
  <c r="AM119" i="15"/>
  <c r="V43" i="15"/>
  <c r="AN43" i="15"/>
  <c r="AR117" i="15"/>
  <c r="AM117" i="15"/>
  <c r="AP117" i="15"/>
  <c r="AP98" i="15"/>
  <c r="AR98" i="15"/>
  <c r="AM98" i="15"/>
  <c r="AR83" i="15"/>
  <c r="AM83" i="15"/>
  <c r="AP83" i="15"/>
  <c r="AR24" i="15"/>
  <c r="AM24" i="15"/>
  <c r="AP24" i="15"/>
  <c r="AR126" i="15"/>
  <c r="AP126" i="15"/>
  <c r="AM126" i="15"/>
  <c r="AN103" i="15"/>
  <c r="V103" i="15"/>
  <c r="AP115" i="15"/>
  <c r="AR115" i="15"/>
  <c r="AM115" i="15"/>
  <c r="AR51" i="15"/>
  <c r="AM51" i="15"/>
  <c r="AP51" i="15"/>
  <c r="V42" i="15"/>
  <c r="AN42" i="15"/>
  <c r="AM97" i="15"/>
  <c r="AR97" i="15"/>
  <c r="AP97" i="15"/>
  <c r="AM93" i="15"/>
  <c r="AP93" i="15"/>
  <c r="AR93" i="15"/>
  <c r="AM41" i="15"/>
  <c r="AP41" i="15"/>
  <c r="AR41" i="15"/>
  <c r="AN75" i="15"/>
  <c r="V75" i="15"/>
  <c r="AR136" i="15"/>
  <c r="AP136" i="15"/>
  <c r="AM136" i="15"/>
  <c r="AP102" i="15"/>
  <c r="AM102" i="15"/>
  <c r="AR102" i="15"/>
  <c r="AM94" i="15"/>
  <c r="AR94" i="15"/>
  <c r="AP94" i="15"/>
  <c r="AR96" i="15"/>
  <c r="AP96" i="15"/>
  <c r="AM96" i="15"/>
  <c r="AM34" i="15"/>
  <c r="AP34" i="15"/>
  <c r="AR34" i="15"/>
  <c r="AN88" i="15"/>
  <c r="V88" i="15"/>
  <c r="AP107" i="15"/>
  <c r="AR107" i="15"/>
  <c r="AM107" i="15"/>
  <c r="AR118" i="15"/>
  <c r="AM118" i="15"/>
  <c r="AP118" i="15"/>
  <c r="AR77" i="15"/>
  <c r="AM77" i="15"/>
  <c r="AP110" i="15"/>
  <c r="AR110" i="15"/>
  <c r="AM110" i="15"/>
  <c r="V76" i="15"/>
  <c r="AN76" i="15"/>
  <c r="AP47" i="15"/>
  <c r="AR47" i="15"/>
  <c r="AM47" i="15"/>
  <c r="V111" i="15"/>
  <c r="AN111" i="15"/>
  <c r="AM73" i="15"/>
  <c r="AP73" i="15"/>
  <c r="AR73" i="15"/>
  <c r="AR133" i="15"/>
  <c r="AM133" i="15"/>
  <c r="AP133" i="15"/>
  <c r="AP36" i="15"/>
  <c r="AM36" i="15"/>
  <c r="AR36" i="15"/>
  <c r="AN116" i="15"/>
  <c r="V116" i="15"/>
  <c r="V114" i="15"/>
  <c r="AN114" i="15"/>
  <c r="AN100" i="15"/>
  <c r="V100" i="15"/>
  <c r="AN80" i="15"/>
  <c r="V80" i="15"/>
  <c r="AP74" i="15"/>
  <c r="AM74" i="15"/>
  <c r="AR74" i="15"/>
  <c r="AP111" i="15"/>
  <c r="AM111" i="15"/>
  <c r="AR111" i="15"/>
  <c r="AR84" i="15"/>
  <c r="AM84" i="15"/>
  <c r="AP84" i="15"/>
  <c r="AN37" i="15"/>
  <c r="V37" i="15"/>
  <c r="AR26" i="15"/>
  <c r="AM26" i="15"/>
  <c r="AP26" i="15"/>
  <c r="AP112" i="15"/>
  <c r="AR112" i="15"/>
  <c r="AM112" i="15"/>
  <c r="AN87" i="15"/>
  <c r="V87" i="15"/>
  <c r="AN96" i="15"/>
  <c r="V96" i="15"/>
  <c r="V22" i="15"/>
  <c r="AN22" i="15"/>
  <c r="AN28" i="15"/>
  <c r="V28" i="15"/>
  <c r="V74" i="15"/>
  <c r="AN74" i="15"/>
  <c r="AP37" i="15"/>
  <c r="AM37" i="15"/>
  <c r="AR37" i="15"/>
  <c r="AN25" i="15"/>
  <c r="V25" i="15"/>
  <c r="AM61" i="15"/>
  <c r="AP61" i="15"/>
  <c r="AR61" i="15"/>
  <c r="AM92" i="15"/>
  <c r="AR92" i="15"/>
  <c r="AP92" i="15"/>
  <c r="AR113" i="15"/>
  <c r="AP113" i="15"/>
  <c r="AM113" i="15"/>
  <c r="AP76" i="15"/>
  <c r="AM76" i="15"/>
  <c r="AR76" i="15"/>
  <c r="AM40" i="15"/>
  <c r="AR40" i="15"/>
  <c r="AP40" i="15"/>
  <c r="AM38" i="15"/>
  <c r="AP38" i="15"/>
  <c r="AR38" i="15"/>
  <c r="AP42" i="15"/>
  <c r="AR42" i="15"/>
  <c r="AM42" i="15"/>
  <c r="AM116" i="15"/>
  <c r="AP116" i="15"/>
  <c r="AR116" i="15"/>
  <c r="V73" i="15"/>
  <c r="AN73" i="15"/>
  <c r="AM25" i="15"/>
  <c r="AR25" i="15"/>
  <c r="AP25" i="15"/>
  <c r="V15" i="15"/>
  <c r="AN15" i="15"/>
  <c r="AR95" i="15"/>
  <c r="AP95" i="15"/>
  <c r="AM95" i="15"/>
  <c r="AM43" i="15"/>
  <c r="AP43" i="15"/>
  <c r="AR43" i="15"/>
  <c r="AP143" i="15"/>
  <c r="AR143" i="15"/>
  <c r="AM143" i="15"/>
  <c r="V77" i="15"/>
  <c r="AN77" i="15"/>
  <c r="AR134" i="15"/>
  <c r="AM134" i="15"/>
  <c r="AP134" i="15"/>
  <c r="AM27" i="15"/>
  <c r="AR27" i="15"/>
  <c r="AP27" i="15"/>
  <c r="V113" i="15"/>
  <c r="AN113" i="15"/>
  <c r="AM125" i="15"/>
  <c r="AR125" i="15"/>
  <c r="AP125" i="15"/>
  <c r="V119" i="15"/>
  <c r="AN119" i="15"/>
  <c r="V105" i="15"/>
  <c r="AN105" i="15"/>
  <c r="V104" i="15"/>
  <c r="AN104" i="15"/>
  <c r="AP28" i="15"/>
  <c r="AM28" i="15"/>
  <c r="AR28" i="15"/>
  <c r="AM39" i="15"/>
  <c r="AR39" i="15"/>
  <c r="AP39" i="15"/>
  <c r="AM105" i="15"/>
  <c r="AP105" i="15"/>
  <c r="AR105" i="15"/>
  <c r="AP31" i="15"/>
  <c r="AR31" i="15"/>
  <c r="AM31" i="15"/>
  <c r="AM91" i="15"/>
  <c r="AR91" i="15"/>
  <c r="AP91" i="15"/>
  <c r="AP9" i="15"/>
  <c r="AM9" i="15"/>
  <c r="AR9" i="15"/>
  <c r="AP120" i="15"/>
  <c r="AM120" i="15"/>
  <c r="AR120" i="15"/>
  <c r="AN34" i="15"/>
  <c r="V34" i="15"/>
  <c r="AR67" i="15"/>
  <c r="AP67" i="15"/>
  <c r="AM67" i="15"/>
  <c r="AP80" i="15"/>
  <c r="AM80" i="15"/>
  <c r="AR80" i="15"/>
  <c r="AN9" i="15"/>
  <c r="V9" i="15"/>
  <c r="AP90" i="15"/>
  <c r="AR90" i="15"/>
  <c r="AR29" i="15"/>
  <c r="AM29" i="15"/>
  <c r="AP29" i="15"/>
  <c r="AM114" i="15"/>
  <c r="AP114" i="15"/>
  <c r="AR114" i="15"/>
  <c r="V83" i="15"/>
  <c r="AN83" i="15"/>
  <c r="AR104" i="15"/>
  <c r="AM104" i="15"/>
  <c r="AP104" i="15"/>
  <c r="AN110" i="15"/>
  <c r="V110" i="15"/>
  <c r="D66" i="9"/>
  <c r="E158" i="1"/>
  <c r="AN23" i="15"/>
  <c r="V23" i="15"/>
  <c r="AP48" i="15"/>
  <c r="AR48" i="15"/>
  <c r="AR101" i="15"/>
  <c r="AM101" i="15"/>
  <c r="AP101" i="15"/>
  <c r="AR79" i="15"/>
  <c r="AP79" i="15"/>
  <c r="AM79" i="15"/>
  <c r="AM15" i="15"/>
  <c r="AP15" i="15"/>
  <c r="AR15" i="15"/>
  <c r="AN125" i="15"/>
  <c r="V125" i="15"/>
  <c r="AN102" i="15"/>
  <c r="V102" i="15"/>
  <c r="AP139" i="15"/>
  <c r="AM139" i="15"/>
  <c r="AR139" i="15"/>
  <c r="AN35" i="15"/>
  <c r="V35" i="15"/>
  <c r="AP100" i="15"/>
  <c r="AR100" i="15"/>
  <c r="AM100" i="15"/>
  <c r="D25" i="9"/>
  <c r="T295" i="1"/>
  <c r="Z295" i="1" s="1"/>
  <c r="D30" i="9"/>
  <c r="I77" i="9"/>
  <c r="D27" i="9"/>
  <c r="AN8" i="1"/>
  <c r="R168" i="1"/>
  <c r="R166" i="1"/>
  <c r="Z171" i="1" s="1"/>
  <c r="AA171" i="1" s="1"/>
  <c r="R169" i="1"/>
  <c r="R167" i="1"/>
  <c r="R170" i="1"/>
  <c r="Z172" i="1" s="1"/>
  <c r="AA172" i="1" s="1"/>
  <c r="N166" i="1"/>
  <c r="Y171" i="1" s="1"/>
  <c r="N170" i="1"/>
  <c r="Y172" i="1" s="1"/>
  <c r="M168" i="1"/>
  <c r="M169" i="1"/>
  <c r="M167" i="1"/>
  <c r="M170" i="1"/>
  <c r="W172" i="1" s="1"/>
  <c r="X172" i="1" s="1"/>
  <c r="M166" i="1"/>
  <c r="W171" i="1" s="1"/>
  <c r="X171" i="1" s="1"/>
  <c r="S170" i="1"/>
  <c r="AB172" i="1" s="1"/>
  <c r="S166" i="1"/>
  <c r="AB171" i="1" s="1"/>
  <c r="V64" i="1"/>
  <c r="AN64" i="1"/>
  <c r="V88" i="1"/>
  <c r="AN88" i="1"/>
  <c r="V36" i="1"/>
  <c r="AN36" i="1"/>
  <c r="V94" i="1"/>
  <c r="AN94" i="1"/>
  <c r="V38" i="1"/>
  <c r="AN38" i="1"/>
  <c r="V105" i="1"/>
  <c r="AN105" i="1"/>
  <c r="V93" i="1"/>
  <c r="AN93" i="1"/>
  <c r="V43" i="1"/>
  <c r="AN43" i="1"/>
  <c r="V63" i="1"/>
  <c r="AN63" i="1"/>
  <c r="V25" i="1"/>
  <c r="AN25" i="1"/>
  <c r="V100" i="1"/>
  <c r="AN100" i="1"/>
  <c r="G19" i="9"/>
  <c r="AN81" i="1"/>
  <c r="V87" i="1"/>
  <c r="AN87" i="1"/>
  <c r="V79" i="1"/>
  <c r="AN79" i="1"/>
  <c r="V96" i="1"/>
  <c r="AN96" i="1"/>
  <c r="G59" i="9"/>
  <c r="AN75" i="1"/>
  <c r="V71" i="1"/>
  <c r="AN71" i="1"/>
  <c r="V9" i="1"/>
  <c r="AN9" i="1"/>
  <c r="V80" i="1"/>
  <c r="AN80" i="1"/>
  <c r="V70" i="1"/>
  <c r="AN70" i="1"/>
  <c r="V97" i="1"/>
  <c r="AN97" i="1"/>
  <c r="V22" i="1"/>
  <c r="AN22" i="1"/>
  <c r="V62" i="1"/>
  <c r="AN62" i="1"/>
  <c r="V101" i="1"/>
  <c r="AN101" i="1"/>
  <c r="V58" i="1"/>
  <c r="AN58" i="1"/>
  <c r="V84" i="1"/>
  <c r="AN84" i="1"/>
  <c r="V78" i="1"/>
  <c r="AN78" i="1"/>
  <c r="G21" i="9"/>
  <c r="AN33" i="1"/>
  <c r="V61" i="1"/>
  <c r="AN61" i="1"/>
  <c r="V14" i="1"/>
  <c r="AN14" i="1"/>
  <c r="V44" i="1"/>
  <c r="AN44" i="1"/>
  <c r="R174" i="1"/>
  <c r="M174" i="1"/>
  <c r="D97" i="9"/>
  <c r="D42" i="9"/>
  <c r="BL226" i="1"/>
  <c r="BN216" i="1"/>
  <c r="D98" i="9"/>
  <c r="D96" i="9"/>
  <c r="D85" i="9"/>
  <c r="V295" i="1"/>
  <c r="AA295" i="1" s="1"/>
  <c r="G67" i="9"/>
  <c r="V86" i="1"/>
  <c r="G47" i="9"/>
  <c r="V60" i="1"/>
  <c r="G35" i="9"/>
  <c r="V23" i="1"/>
  <c r="G12" i="9"/>
  <c r="V26" i="1"/>
  <c r="G28" i="9"/>
  <c r="V41" i="1"/>
  <c r="G22" i="9"/>
  <c r="V35" i="1"/>
  <c r="BM217" i="1"/>
  <c r="BN217" i="1"/>
  <c r="BN215" i="1"/>
  <c r="BM215" i="1"/>
  <c r="Y260" i="1"/>
  <c r="W260" i="1"/>
  <c r="X260" i="1" s="1"/>
  <c r="Y259" i="1"/>
  <c r="W259" i="1"/>
  <c r="X259" i="1" s="1"/>
  <c r="M26" i="9"/>
  <c r="N26" i="9" s="1"/>
  <c r="AM201" i="1"/>
  <c r="AP201" i="1"/>
  <c r="AR201" i="1"/>
  <c r="BM216" i="1"/>
  <c r="BL219" i="1"/>
  <c r="AM64" i="1"/>
  <c r="AR64" i="1"/>
  <c r="F9" i="6" a="1"/>
  <c r="F9" i="6" s="1"/>
  <c r="F11" i="6" a="1"/>
  <c r="F11" i="6" s="1"/>
  <c r="F8" i="6" a="1"/>
  <c r="F8" i="6" s="1"/>
  <c r="F10" i="6" a="1"/>
  <c r="F10" i="6" s="1"/>
  <c r="BM218" i="1"/>
  <c r="D89" i="9"/>
  <c r="G50" i="9"/>
  <c r="D65" i="9"/>
  <c r="D100" i="9"/>
  <c r="C62" i="9"/>
  <c r="D63" i="9"/>
  <c r="D40" i="9"/>
  <c r="D28" i="9"/>
  <c r="G9" i="9"/>
  <c r="D23" i="9"/>
  <c r="C112" i="9"/>
  <c r="AM113" i="1"/>
  <c r="AR113" i="1"/>
  <c r="AP113" i="1"/>
  <c r="C85" i="9"/>
  <c r="AM82" i="1"/>
  <c r="AR82" i="1"/>
  <c r="AP82" i="1"/>
  <c r="C80" i="9"/>
  <c r="AM77" i="1"/>
  <c r="AP77" i="1"/>
  <c r="AR77" i="1"/>
  <c r="C66" i="9"/>
  <c r="AM60" i="1"/>
  <c r="AR60" i="1"/>
  <c r="AP60" i="1"/>
  <c r="C38" i="9"/>
  <c r="AM36" i="1"/>
  <c r="AR36" i="1"/>
  <c r="AP36" i="1"/>
  <c r="C25" i="9"/>
  <c r="AM25" i="1"/>
  <c r="AP25" i="1"/>
  <c r="AR25" i="1"/>
  <c r="C12" i="9"/>
  <c r="AM12" i="1"/>
  <c r="AR12" i="1"/>
  <c r="AP12" i="1"/>
  <c r="AM81" i="1"/>
  <c r="AP81" i="1"/>
  <c r="AR81" i="1"/>
  <c r="C88" i="9"/>
  <c r="AM87" i="1"/>
  <c r="AP87" i="1"/>
  <c r="AR87" i="1"/>
  <c r="C28" i="9"/>
  <c r="AM28" i="1"/>
  <c r="AR28" i="1"/>
  <c r="AP28" i="1"/>
  <c r="AM84" i="1"/>
  <c r="AR84" i="1"/>
  <c r="AP84" i="1"/>
  <c r="C97" i="9"/>
  <c r="AM96" i="1"/>
  <c r="AR96" i="1"/>
  <c r="AP96" i="1"/>
  <c r="AM86" i="1"/>
  <c r="AR86" i="1"/>
  <c r="AP86" i="1"/>
  <c r="AM23" i="1"/>
  <c r="AP23" i="1"/>
  <c r="AR23" i="1"/>
  <c r="AM8" i="1"/>
  <c r="AR8" i="1"/>
  <c r="AP8" i="1"/>
  <c r="C79" i="9"/>
  <c r="AM76" i="1"/>
  <c r="AR76" i="1"/>
  <c r="AP76" i="1"/>
  <c r="AM61" i="1"/>
  <c r="AR61" i="1"/>
  <c r="AP61" i="1"/>
  <c r="C14" i="9"/>
  <c r="AM14" i="1"/>
  <c r="AR14" i="1"/>
  <c r="AP14" i="1"/>
  <c r="AM37" i="1"/>
  <c r="AP37" i="1"/>
  <c r="AR37" i="1"/>
  <c r="M7" i="9"/>
  <c r="N7" i="9" s="1"/>
  <c r="AM182" i="1"/>
  <c r="AR182" i="1"/>
  <c r="AP182" i="1"/>
  <c r="C47" i="9"/>
  <c r="AM44" i="1"/>
  <c r="AR44" i="1"/>
  <c r="AP44" i="1"/>
  <c r="C105" i="9"/>
  <c r="AM106" i="1"/>
  <c r="AP106" i="1"/>
  <c r="AR106" i="1"/>
  <c r="M31" i="9"/>
  <c r="N31" i="9" s="1"/>
  <c r="AM205" i="1"/>
  <c r="AR205" i="1"/>
  <c r="AP205" i="1"/>
  <c r="AM42" i="1"/>
  <c r="AR42" i="1"/>
  <c r="AP42" i="1"/>
  <c r="C99" i="9"/>
  <c r="AM99" i="1"/>
  <c r="AP99" i="1"/>
  <c r="AR99" i="1"/>
  <c r="C95" i="9"/>
  <c r="AM94" i="1"/>
  <c r="AR94" i="1"/>
  <c r="AP94" i="1"/>
  <c r="C77" i="9"/>
  <c r="AM73" i="1"/>
  <c r="AR73" i="1"/>
  <c r="AP73" i="1"/>
  <c r="C70" i="9"/>
  <c r="AM67" i="1"/>
  <c r="AP67" i="1"/>
  <c r="AR67" i="1"/>
  <c r="C40" i="9"/>
  <c r="AM38" i="1"/>
  <c r="AR38" i="1"/>
  <c r="AP38" i="1"/>
  <c r="C24" i="9"/>
  <c r="AM24" i="1"/>
  <c r="AR24" i="1"/>
  <c r="AP24" i="1"/>
  <c r="AM93" i="1"/>
  <c r="AP93" i="1"/>
  <c r="AR93" i="1"/>
  <c r="C74" i="9"/>
  <c r="AM71" i="1"/>
  <c r="AP71" i="1"/>
  <c r="AR71" i="1"/>
  <c r="C36" i="9"/>
  <c r="AM33" i="1"/>
  <c r="AP33" i="1"/>
  <c r="AR33" i="1"/>
  <c r="C27" i="9"/>
  <c r="AM27" i="1"/>
  <c r="AP27" i="1"/>
  <c r="AR27" i="1"/>
  <c r="C91" i="9"/>
  <c r="AM90" i="1"/>
  <c r="AR90" i="1"/>
  <c r="AP90" i="1"/>
  <c r="C37" i="9"/>
  <c r="AM35" i="1"/>
  <c r="AP35" i="1"/>
  <c r="AR35" i="1"/>
  <c r="AM89" i="1"/>
  <c r="AP89" i="1"/>
  <c r="AR89" i="1"/>
  <c r="AM98" i="1"/>
  <c r="AR98" i="1"/>
  <c r="AP98" i="1"/>
  <c r="AM95" i="1"/>
  <c r="AP95" i="1"/>
  <c r="AR95" i="1"/>
  <c r="AM88" i="1"/>
  <c r="AR88" i="1"/>
  <c r="AP88" i="1"/>
  <c r="AR72" i="1"/>
  <c r="AP72" i="1"/>
  <c r="AM63" i="1"/>
  <c r="AR63" i="1"/>
  <c r="AM29" i="1"/>
  <c r="AP29" i="1"/>
  <c r="AR29" i="1"/>
  <c r="C100" i="9"/>
  <c r="AM100" i="1"/>
  <c r="AR100" i="1"/>
  <c r="AP100" i="1"/>
  <c r="C82" i="9"/>
  <c r="AM79" i="1"/>
  <c r="AP79" i="1"/>
  <c r="AR79" i="1"/>
  <c r="C63" i="9"/>
  <c r="AM58" i="1"/>
  <c r="AR58" i="1"/>
  <c r="AP58" i="1"/>
  <c r="AM32" i="1"/>
  <c r="AR32" i="1"/>
  <c r="AP32" i="1"/>
  <c r="C104" i="9"/>
  <c r="AM105" i="1"/>
  <c r="AR105" i="1"/>
  <c r="AP105" i="1"/>
  <c r="C81" i="9"/>
  <c r="AM78" i="1"/>
  <c r="AR78" i="1"/>
  <c r="AP78" i="1"/>
  <c r="C78" i="9"/>
  <c r="AM75" i="1"/>
  <c r="AP75" i="1"/>
  <c r="AR75" i="1"/>
  <c r="AM59" i="1"/>
  <c r="AR59" i="1"/>
  <c r="AP59" i="1"/>
  <c r="C9" i="9"/>
  <c r="AM9" i="1"/>
  <c r="AP9" i="1"/>
  <c r="AR9" i="1"/>
  <c r="C43" i="9"/>
  <c r="AM41" i="1"/>
  <c r="AP41" i="1"/>
  <c r="AR41" i="1"/>
  <c r="C83" i="9"/>
  <c r="AM80" i="1"/>
  <c r="AR80" i="1"/>
  <c r="AP80" i="1"/>
  <c r="AM85" i="1"/>
  <c r="AP85" i="1"/>
  <c r="AR85" i="1"/>
  <c r="C73" i="9"/>
  <c r="AM70" i="1"/>
  <c r="AR70" i="1"/>
  <c r="AP70" i="1"/>
  <c r="AM66" i="1"/>
  <c r="AR66" i="1"/>
  <c r="AP66" i="1"/>
  <c r="AP49" i="1"/>
  <c r="AR49" i="1"/>
  <c r="AM97" i="1"/>
  <c r="AP97" i="1"/>
  <c r="AR97" i="1"/>
  <c r="AM26" i="1"/>
  <c r="AR26" i="1"/>
  <c r="AP26" i="1"/>
  <c r="C22" i="9"/>
  <c r="AM22" i="1"/>
  <c r="AR22" i="1"/>
  <c r="AP22" i="1"/>
  <c r="M13" i="9"/>
  <c r="N13" i="9" s="1"/>
  <c r="AM188" i="1"/>
  <c r="AR188" i="1"/>
  <c r="AP188" i="1"/>
  <c r="AM30" i="1"/>
  <c r="AR30" i="1"/>
  <c r="AP30" i="1"/>
  <c r="C42" i="9"/>
  <c r="AM40" i="1"/>
  <c r="AR40" i="1"/>
  <c r="AP40" i="1"/>
  <c r="C46" i="9"/>
  <c r="AM43" i="1"/>
  <c r="AP43" i="1"/>
  <c r="AR43" i="1"/>
  <c r="AM114" i="1"/>
  <c r="AP114" i="1"/>
  <c r="AR114" i="1"/>
  <c r="M12" i="9"/>
  <c r="N12" i="9" s="1"/>
  <c r="AM187" i="1"/>
  <c r="AP187" i="1"/>
  <c r="AR187" i="1"/>
  <c r="AP31" i="1"/>
  <c r="AR31" i="1"/>
  <c r="C50" i="9"/>
  <c r="AM48" i="1"/>
  <c r="AR48" i="1"/>
  <c r="AP48" i="1"/>
  <c r="AM195" i="1"/>
  <c r="AP195" i="1"/>
  <c r="AR195" i="1"/>
  <c r="AM39" i="1"/>
  <c r="AP39" i="1"/>
  <c r="AR39" i="1"/>
  <c r="AM62" i="1"/>
  <c r="AR62" i="1"/>
  <c r="AP62" i="1"/>
  <c r="C101" i="9"/>
  <c r="AM101" i="1"/>
  <c r="AP101" i="1"/>
  <c r="AR101" i="1"/>
  <c r="AM52" i="1"/>
  <c r="AR52" i="1"/>
  <c r="AP52" i="1"/>
  <c r="C23" i="9"/>
  <c r="AD146" i="2" a="1"/>
  <c r="AD144" i="2" a="1"/>
  <c r="AD145" i="2" a="1"/>
  <c r="AD143" i="2" a="1"/>
  <c r="AD143" i="2" s="1"/>
  <c r="S162" i="1"/>
  <c r="AB164" i="1" s="1"/>
  <c r="S161" i="1"/>
  <c r="AB163" i="1" s="1"/>
  <c r="R157" i="1"/>
  <c r="Z159" i="1" s="1"/>
  <c r="R156" i="1"/>
  <c r="Z158" i="1" s="1"/>
  <c r="C21" i="9"/>
  <c r="M162" i="1"/>
  <c r="W164" i="1" s="1"/>
  <c r="X164" i="1" s="1"/>
  <c r="M161" i="1"/>
  <c r="W163" i="1" s="1"/>
  <c r="X163" i="1" s="1"/>
  <c r="D21" i="9"/>
  <c r="N161" i="1"/>
  <c r="Y163" i="1" s="1"/>
  <c r="N162" i="1"/>
  <c r="Y164" i="1" s="1"/>
  <c r="R161" i="1"/>
  <c r="Z163" i="1" s="1"/>
  <c r="AA163" i="1" s="1"/>
  <c r="R162" i="1"/>
  <c r="Z164" i="1" s="1"/>
  <c r="AA164" i="1" s="1"/>
  <c r="N157" i="1"/>
  <c r="Y159" i="1" s="1"/>
  <c r="N156" i="1"/>
  <c r="Y158" i="1" s="1"/>
  <c r="S156" i="1"/>
  <c r="AB158" i="1" s="1"/>
  <c r="S157" i="1"/>
  <c r="AB159" i="1" s="1"/>
  <c r="M156" i="1"/>
  <c r="W158" i="1" s="1"/>
  <c r="M157" i="1"/>
  <c r="W159" i="1" s="1"/>
  <c r="AD145" i="2"/>
  <c r="AD144" i="2"/>
  <c r="AD146" i="2"/>
  <c r="D90" i="9"/>
  <c r="C90" i="9"/>
  <c r="C96" i="9"/>
  <c r="D38" i="9"/>
  <c r="C30" i="9"/>
  <c r="D43" i="9"/>
  <c r="C65" i="9"/>
  <c r="D62" i="9"/>
  <c r="G48" i="9"/>
  <c r="D64" i="9"/>
  <c r="C64" i="9"/>
  <c r="D44" i="9"/>
  <c r="D45" i="9"/>
  <c r="G34" i="9"/>
  <c r="G24" i="9"/>
  <c r="I34" i="9"/>
  <c r="I24" i="9"/>
  <c r="C44" i="9"/>
  <c r="C45" i="9"/>
  <c r="D51" i="9"/>
  <c r="D52" i="9"/>
  <c r="C54" i="9"/>
  <c r="C55" i="9"/>
  <c r="D32" i="9"/>
  <c r="C39" i="9"/>
  <c r="D41" i="9"/>
  <c r="D33" i="9"/>
  <c r="D35" i="9"/>
  <c r="C33" i="9"/>
  <c r="C35" i="9"/>
  <c r="C51" i="9"/>
  <c r="C52" i="9"/>
  <c r="D54" i="9"/>
  <c r="D55" i="9"/>
  <c r="D26" i="9"/>
  <c r="C26" i="9"/>
  <c r="D31" i="9"/>
  <c r="C31" i="9"/>
  <c r="C32" i="9"/>
  <c r="D39" i="9"/>
  <c r="C41" i="9"/>
  <c r="C94" i="9"/>
  <c r="C93" i="9"/>
  <c r="C87" i="9"/>
  <c r="D29" i="9"/>
  <c r="C84" i="9"/>
  <c r="C34" i="9"/>
  <c r="D76" i="9"/>
  <c r="D75" i="9"/>
  <c r="C76" i="9"/>
  <c r="C75" i="9"/>
  <c r="D84" i="9"/>
  <c r="D34" i="9"/>
  <c r="D94" i="9"/>
  <c r="D93" i="9"/>
  <c r="I70" i="9"/>
  <c r="C98" i="9"/>
  <c r="C89" i="9"/>
  <c r="G70" i="9"/>
  <c r="D99" i="9"/>
  <c r="D95" i="9"/>
  <c r="D88" i="9"/>
  <c r="G75" i="9"/>
  <c r="D87" i="9"/>
  <c r="D86" i="9"/>
  <c r="C86" i="9"/>
  <c r="C29" i="9"/>
  <c r="AY296" i="1"/>
  <c r="V294" i="1"/>
  <c r="AA294" i="1" s="1"/>
  <c r="AE294" i="1"/>
  <c r="AD289" i="1"/>
  <c r="T289" i="1"/>
  <c r="Z289" i="1" s="1"/>
  <c r="AD290" i="1"/>
  <c r="T290" i="1"/>
  <c r="Z290" i="1" s="1"/>
  <c r="AF290" i="1"/>
  <c r="X290" i="1"/>
  <c r="AB290" i="1" s="1"/>
  <c r="AE288" i="1"/>
  <c r="V288" i="1"/>
  <c r="AA288" i="1" s="1"/>
  <c r="V296" i="1"/>
  <c r="AA296" i="1" s="1"/>
  <c r="AE296" i="1"/>
  <c r="AC296" i="1"/>
  <c r="R296" i="1"/>
  <c r="Y296" i="1" s="1"/>
  <c r="R289" i="1"/>
  <c r="Y289" i="1" s="1"/>
  <c r="AC289" i="1"/>
  <c r="V290" i="1"/>
  <c r="AA290" i="1" s="1"/>
  <c r="AE290" i="1"/>
  <c r="AF288" i="1"/>
  <c r="X288" i="1"/>
  <c r="AB288" i="1" s="1"/>
  <c r="X289" i="1"/>
  <c r="AB289" i="1" s="1"/>
  <c r="X296" i="1"/>
  <c r="AB296" i="1" s="1"/>
  <c r="AF296" i="1"/>
  <c r="T287" i="1"/>
  <c r="S297" i="1"/>
  <c r="AF295" i="1"/>
  <c r="X295" i="1"/>
  <c r="AB295" i="1" s="1"/>
  <c r="R294" i="1"/>
  <c r="Y294" i="1" s="1"/>
  <c r="AC294" i="1"/>
  <c r="AD294" i="1"/>
  <c r="T294" i="1"/>
  <c r="Z294" i="1" s="1"/>
  <c r="R290" i="1"/>
  <c r="Y290" i="1" s="1"/>
  <c r="AC290" i="1"/>
  <c r="V287" i="1"/>
  <c r="U297" i="1"/>
  <c r="R287" i="1"/>
  <c r="Q297" i="1"/>
  <c r="R293" i="1"/>
  <c r="Y293" i="1" s="1"/>
  <c r="AC288" i="1"/>
  <c r="R288" i="1"/>
  <c r="Y288" i="1" s="1"/>
  <c r="R291" i="1"/>
  <c r="Y291" i="1" s="1"/>
  <c r="AF294" i="1"/>
  <c r="X294" i="1"/>
  <c r="AB294" i="1" s="1"/>
  <c r="X287" i="1"/>
  <c r="W297" i="1"/>
  <c r="R295" i="1"/>
  <c r="Y295" i="1" s="1"/>
  <c r="AC295" i="1"/>
  <c r="AD293" i="1"/>
  <c r="T293" i="1"/>
  <c r="Z293" i="1" s="1"/>
  <c r="V293" i="1"/>
  <c r="AA293" i="1" s="1"/>
  <c r="AE293" i="1"/>
  <c r="AD288" i="1"/>
  <c r="T288" i="1"/>
  <c r="Z288" i="1" s="1"/>
  <c r="T291" i="1"/>
  <c r="Z291" i="1" s="1"/>
  <c r="AD296" i="1"/>
  <c r="T296" i="1"/>
  <c r="Z296" i="1" s="1"/>
  <c r="V289" i="1"/>
  <c r="AA289" i="1" s="1"/>
  <c r="X291" i="1"/>
  <c r="AB291" i="1" s="1"/>
  <c r="X293" i="1"/>
  <c r="AB293" i="1" s="1"/>
  <c r="V291" i="1"/>
  <c r="AA291" i="1" s="1"/>
  <c r="Z174" i="1"/>
  <c r="Z166" i="1"/>
  <c r="AA166" i="1" s="1"/>
  <c r="Z173" i="1"/>
  <c r="AA173" i="1" s="1"/>
  <c r="Z165" i="1"/>
  <c r="AA165" i="1" s="1"/>
  <c r="Z151" i="1"/>
  <c r="AA151" i="1" s="1"/>
  <c r="Z150" i="1"/>
  <c r="AA150" i="1" s="1"/>
  <c r="Y151" i="1"/>
  <c r="Y150" i="1"/>
  <c r="AB156" i="1"/>
  <c r="AB155" i="1"/>
  <c r="Y155" i="1"/>
  <c r="Y156" i="1"/>
  <c r="W156" i="1"/>
  <c r="X156" i="1" s="1"/>
  <c r="W155" i="1"/>
  <c r="X155" i="1" s="1"/>
  <c r="Y161" i="1"/>
  <c r="Y160" i="1"/>
  <c r="AB160" i="1"/>
  <c r="AB161" i="1"/>
  <c r="Z161" i="1"/>
  <c r="Z160" i="1"/>
  <c r="AA160" i="1" s="1"/>
  <c r="W173" i="1"/>
  <c r="X173" i="1" s="1"/>
  <c r="W165" i="1"/>
  <c r="X165" i="1" s="1"/>
  <c r="W174" i="1"/>
  <c r="W166" i="1"/>
  <c r="X166" i="1" s="1"/>
  <c r="AB173" i="1"/>
  <c r="AB165" i="1"/>
  <c r="AB174" i="1"/>
  <c r="AB166" i="1"/>
  <c r="AB151" i="1"/>
  <c r="AB150" i="1"/>
  <c r="W151" i="1"/>
  <c r="X151" i="1" s="1"/>
  <c r="W150" i="1"/>
  <c r="X150" i="1" s="1"/>
  <c r="Z155" i="1"/>
  <c r="AA155" i="1" s="1"/>
  <c r="Z156" i="1"/>
  <c r="AA156" i="1" s="1"/>
  <c r="W160" i="1"/>
  <c r="X160" i="1" s="1"/>
  <c r="W161" i="1"/>
  <c r="Y174" i="1"/>
  <c r="Y166" i="1"/>
  <c r="Y173" i="1"/>
  <c r="Y165" i="1"/>
  <c r="D60" i="9"/>
  <c r="R146" i="1"/>
  <c r="Z148" i="1" s="1"/>
  <c r="AA148" i="1" s="1"/>
  <c r="R147" i="1"/>
  <c r="Z149" i="1" s="1"/>
  <c r="N146" i="1"/>
  <c r="Y148" i="1" s="1"/>
  <c r="N147" i="1"/>
  <c r="Y149" i="1" s="1"/>
  <c r="M146" i="1"/>
  <c r="W148" i="1" s="1"/>
  <c r="X148" i="1" s="1"/>
  <c r="M147" i="1"/>
  <c r="W149" i="1" s="1"/>
  <c r="C119" i="9"/>
  <c r="D117" i="9"/>
  <c r="D67" i="9"/>
  <c r="C67" i="9"/>
  <c r="D113" i="9"/>
  <c r="M68" i="9"/>
  <c r="N68" i="9" s="1"/>
  <c r="C128" i="9"/>
  <c r="N256" i="1"/>
  <c r="Y258" i="1" s="1"/>
  <c r="N255" i="1"/>
  <c r="Y257" i="1" s="1"/>
  <c r="G46" i="9"/>
  <c r="R152" i="1"/>
  <c r="Z154" i="1" s="1"/>
  <c r="AA154" i="1" s="1"/>
  <c r="R151" i="1"/>
  <c r="Z153" i="1" s="1"/>
  <c r="AA153" i="1" s="1"/>
  <c r="D61" i="9"/>
  <c r="N152" i="1"/>
  <c r="Y154" i="1" s="1"/>
  <c r="N151" i="1"/>
  <c r="Y153" i="1" s="1"/>
  <c r="BK5" i="1"/>
  <c r="C60" i="9"/>
  <c r="S146" i="1"/>
  <c r="AB148" i="1" s="1"/>
  <c r="S147" i="1"/>
  <c r="AB149" i="1" s="1"/>
  <c r="D119" i="9"/>
  <c r="C117" i="9"/>
  <c r="D69" i="9"/>
  <c r="C69" i="9"/>
  <c r="C113" i="9"/>
  <c r="D128" i="9"/>
  <c r="M20" i="9"/>
  <c r="N20" i="9" s="1"/>
  <c r="M256" i="1"/>
  <c r="W258" i="1" s="1"/>
  <c r="X258" i="1" s="1"/>
  <c r="M255" i="1"/>
  <c r="W257" i="1" s="1"/>
  <c r="X257" i="1" s="1"/>
  <c r="I46" i="9"/>
  <c r="S151" i="1"/>
  <c r="AB153" i="1" s="1"/>
  <c r="S152" i="1"/>
  <c r="AB154" i="1" s="1"/>
  <c r="C61" i="9"/>
  <c r="M151" i="1"/>
  <c r="W153" i="1" s="1"/>
  <c r="X153" i="1" s="1"/>
  <c r="M152" i="1"/>
  <c r="W154" i="1" s="1"/>
  <c r="X154" i="1" s="1"/>
  <c r="BL6" i="1"/>
  <c r="BK6" i="1"/>
  <c r="BL5" i="1"/>
  <c r="BL4" i="1"/>
  <c r="BK4" i="1"/>
  <c r="D8" i="9"/>
  <c r="C8" i="9"/>
  <c r="AH149" i="1"/>
  <c r="BR295" i="1"/>
  <c r="BO296" i="1"/>
  <c r="BQ295" i="1"/>
  <c r="BP296" i="1"/>
  <c r="BP295" i="1"/>
  <c r="BQ296" i="1"/>
  <c r="BC235" i="1"/>
  <c r="BC232" i="1"/>
  <c r="BC233" i="1"/>
  <c r="BO295" i="1"/>
  <c r="BR296" i="1"/>
  <c r="I47" i="9"/>
  <c r="G8" i="9"/>
  <c r="Q3" i="6" a="1"/>
  <c r="Q3" i="6" s="1"/>
  <c r="Z3" i="6" a="1"/>
  <c r="Z3" i="6" s="1"/>
  <c r="W3" i="6" a="1"/>
  <c r="W3" i="6" s="1"/>
  <c r="S3" i="6" a="1"/>
  <c r="S3" i="6" s="1"/>
  <c r="Z11" i="6" a="1"/>
  <c r="Z11" i="6" s="1"/>
  <c r="Z6" i="6" a="1"/>
  <c r="Z6" i="6" s="1"/>
  <c r="Z8" i="6" a="1"/>
  <c r="Z8" i="6" s="1"/>
  <c r="Z10" i="6" a="1"/>
  <c r="Z10" i="6" s="1"/>
  <c r="Y5" i="6" a="1"/>
  <c r="Y5" i="6" s="1"/>
  <c r="Y7" i="6" a="1"/>
  <c r="Y7" i="6" s="1"/>
  <c r="Y9" i="6" a="1"/>
  <c r="Y9" i="6" s="1"/>
  <c r="Y4" i="6" a="1"/>
  <c r="Y4" i="6" s="1"/>
  <c r="W11" i="6" a="1"/>
  <c r="W11" i="6" s="1"/>
  <c r="W6" i="6" a="1"/>
  <c r="W6" i="6" s="1"/>
  <c r="W8" i="6" a="1"/>
  <c r="W8" i="6" s="1"/>
  <c r="W10" i="6" a="1"/>
  <c r="W10" i="6" s="1"/>
  <c r="T5" i="6" a="1"/>
  <c r="T5" i="6" s="1"/>
  <c r="T7" i="6" a="1"/>
  <c r="T7" i="6" s="1"/>
  <c r="T9" i="6" a="1"/>
  <c r="T9" i="6" s="1"/>
  <c r="T4" i="6" a="1"/>
  <c r="T4" i="6" s="1"/>
  <c r="V5" i="6" a="1"/>
  <c r="V5" i="6" s="1"/>
  <c r="V7" i="6" a="1"/>
  <c r="V7" i="6" s="1"/>
  <c r="V9" i="6" a="1"/>
  <c r="V9" i="6" s="1"/>
  <c r="S5" i="6" a="1"/>
  <c r="S5" i="6" s="1"/>
  <c r="S7" i="6" a="1"/>
  <c r="S7" i="6" s="1"/>
  <c r="S9" i="6" a="1"/>
  <c r="S9" i="6" s="1"/>
  <c r="Q5" i="6" a="1"/>
  <c r="Q5" i="6" s="1"/>
  <c r="Q7" i="6" a="1"/>
  <c r="Q7" i="6" s="1"/>
  <c r="Q9" i="6" a="1"/>
  <c r="Q9" i="6" s="1"/>
  <c r="P5" i="6" a="1"/>
  <c r="P5" i="6" s="1"/>
  <c r="P7" i="6" a="1"/>
  <c r="P7" i="6" s="1"/>
  <c r="P9" i="6" a="1"/>
  <c r="P9" i="6" s="1"/>
  <c r="T3" i="6" a="1"/>
  <c r="T3" i="6" s="1"/>
  <c r="Y3" i="6" a="1"/>
  <c r="Y3" i="6" s="1"/>
  <c r="V3" i="6" a="1"/>
  <c r="V3" i="6" s="1"/>
  <c r="P3" i="6" a="1"/>
  <c r="P3" i="6" s="1"/>
  <c r="Y11" i="6" a="1"/>
  <c r="Y11" i="6" s="1"/>
  <c r="Z5" i="6" a="1"/>
  <c r="Z5" i="6" s="1"/>
  <c r="Z7" i="6" a="1"/>
  <c r="Z7" i="6" s="1"/>
  <c r="Z9" i="6" a="1"/>
  <c r="Z9" i="6" s="1"/>
  <c r="Z4" i="6" a="1"/>
  <c r="Z4" i="6" s="1"/>
  <c r="Y6" i="6" a="1"/>
  <c r="Y6" i="6" s="1"/>
  <c r="Y8" i="6" a="1"/>
  <c r="Y8" i="6" s="1"/>
  <c r="Y10" i="6" a="1"/>
  <c r="Y10" i="6" s="1"/>
  <c r="W5" i="6" a="1"/>
  <c r="W5" i="6" s="1"/>
  <c r="W7" i="6" a="1"/>
  <c r="W7" i="6" s="1"/>
  <c r="W9" i="6" a="1"/>
  <c r="W9" i="6" s="1"/>
  <c r="W4" i="6" a="1"/>
  <c r="W4" i="6" s="1"/>
  <c r="T11" i="6" a="1"/>
  <c r="T11" i="6" s="1"/>
  <c r="T6" i="6" a="1"/>
  <c r="T6" i="6" s="1"/>
  <c r="T8" i="6" a="1"/>
  <c r="T8" i="6" s="1"/>
  <c r="T10" i="6" a="1"/>
  <c r="T10" i="6" s="1"/>
  <c r="S4" i="6" a="1"/>
  <c r="S4" i="6" s="1"/>
  <c r="V6" i="6" a="1"/>
  <c r="V6" i="6" s="1"/>
  <c r="V8" i="6" a="1"/>
  <c r="V8" i="6" s="1"/>
  <c r="V10" i="6" a="1"/>
  <c r="V10" i="6" s="1"/>
  <c r="S6" i="6" a="1"/>
  <c r="S6" i="6" s="1"/>
  <c r="S8" i="6" a="1"/>
  <c r="S8" i="6" s="1"/>
  <c r="S10" i="6" a="1"/>
  <c r="S10" i="6" s="1"/>
  <c r="Q6" i="6" a="1"/>
  <c r="Q6" i="6" s="1"/>
  <c r="Q8" i="6" a="1"/>
  <c r="Q8" i="6" s="1"/>
  <c r="Q10" i="6" a="1"/>
  <c r="Q10" i="6" s="1"/>
  <c r="P6" i="6" a="1"/>
  <c r="P6" i="6" s="1"/>
  <c r="P8" i="6" a="1"/>
  <c r="P8" i="6" s="1"/>
  <c r="P10" i="6" a="1"/>
  <c r="P10" i="6" s="1"/>
  <c r="D32" i="6" a="1"/>
  <c r="D32" i="6" s="1"/>
  <c r="D34" i="6" a="1"/>
  <c r="D34" i="6" s="1"/>
  <c r="D39" i="6" a="1"/>
  <c r="D39" i="6" s="1"/>
  <c r="D35" i="6" a="1"/>
  <c r="D35" i="6" s="1"/>
  <c r="D37" i="6" a="1"/>
  <c r="D37" i="6" s="1"/>
  <c r="D30" i="6" a="1"/>
  <c r="D30" i="6" s="1"/>
  <c r="C32" i="6" a="1"/>
  <c r="C32" i="6" s="1"/>
  <c r="C34" i="6" a="1"/>
  <c r="C34" i="6" s="1"/>
  <c r="C36" i="6" a="1"/>
  <c r="C36" i="6" s="1"/>
  <c r="C38" i="6" a="1"/>
  <c r="C38" i="6" s="1"/>
  <c r="C30" i="6" a="1"/>
  <c r="C30" i="6" s="1"/>
  <c r="D45" i="6" a="1"/>
  <c r="D45" i="6" s="1"/>
  <c r="D47" i="6" a="1"/>
  <c r="D47" i="6" s="1"/>
  <c r="D43" i="6" a="1"/>
  <c r="D43" i="6" s="1"/>
  <c r="C45" i="6" a="1"/>
  <c r="C45" i="6" s="1"/>
  <c r="C47" i="6" a="1"/>
  <c r="C47" i="6" s="1"/>
  <c r="C43" i="6" a="1"/>
  <c r="C43" i="6" s="1"/>
  <c r="C44" i="6" a="1"/>
  <c r="C44" i="6" s="1"/>
  <c r="D33" i="6" a="1"/>
  <c r="D33" i="6" s="1"/>
  <c r="D36" i="6" a="1"/>
  <c r="D36" i="6" s="1"/>
  <c r="D38" i="6" a="1"/>
  <c r="D38" i="6" s="1"/>
  <c r="D31" i="6" a="1"/>
  <c r="D31" i="6" s="1"/>
  <c r="C33" i="6" a="1"/>
  <c r="C33" i="6" s="1"/>
  <c r="C35" i="6" a="1"/>
  <c r="C35" i="6" s="1"/>
  <c r="C37" i="6" a="1"/>
  <c r="C37" i="6" s="1"/>
  <c r="C31" i="6" a="1"/>
  <c r="C31" i="6" s="1"/>
  <c r="C39" i="6" a="1"/>
  <c r="C39" i="6" s="1"/>
  <c r="D48" i="6" a="1"/>
  <c r="D48" i="6" s="1"/>
  <c r="D46" i="6" a="1"/>
  <c r="D46" i="6" s="1"/>
  <c r="D44" i="6" a="1"/>
  <c r="D44" i="6" s="1"/>
  <c r="C48" i="6" a="1"/>
  <c r="C48" i="6" s="1"/>
  <c r="C46" i="6" a="1"/>
  <c r="C46" i="6" s="1"/>
  <c r="I8" i="9"/>
  <c r="G39" i="6" a="1"/>
  <c r="G39" i="6" s="1"/>
  <c r="G33" i="6" a="1"/>
  <c r="G33" i="6" s="1"/>
  <c r="G35" i="6" a="1"/>
  <c r="G35" i="6" s="1"/>
  <c r="G37" i="6" a="1"/>
  <c r="G37" i="6" s="1"/>
  <c r="G31" i="6" a="1"/>
  <c r="G31" i="6" s="1"/>
  <c r="F33" i="6" a="1"/>
  <c r="F33" i="6" s="1"/>
  <c r="F35" i="6" a="1"/>
  <c r="F35" i="6" s="1"/>
  <c r="F37" i="6" a="1"/>
  <c r="F37" i="6" s="1"/>
  <c r="D54" i="6" a="1"/>
  <c r="D54" i="6" s="1"/>
  <c r="D53" i="6" a="1"/>
  <c r="D53" i="6" s="1"/>
  <c r="C56" i="6" a="1"/>
  <c r="C56" i="6" s="1"/>
  <c r="C55" i="6" a="1"/>
  <c r="C55" i="6" s="1"/>
  <c r="C52" i="6" a="1"/>
  <c r="C52" i="6" s="1"/>
  <c r="F39" i="6" a="1"/>
  <c r="F39" i="6" s="1"/>
  <c r="G32" i="6" a="1"/>
  <c r="G32" i="6" s="1"/>
  <c r="G34" i="6" a="1"/>
  <c r="G34" i="6" s="1"/>
  <c r="G36" i="6" a="1"/>
  <c r="G36" i="6" s="1"/>
  <c r="G38" i="6" a="1"/>
  <c r="G38" i="6" s="1"/>
  <c r="G30" i="6" a="1"/>
  <c r="G30" i="6" s="1"/>
  <c r="F32" i="6" a="1"/>
  <c r="F32" i="6" s="1"/>
  <c r="F34" i="6" a="1"/>
  <c r="F34" i="6" s="1"/>
  <c r="F36" i="6" a="1"/>
  <c r="F36" i="6" s="1"/>
  <c r="F38" i="6" a="1"/>
  <c r="F38" i="6" s="1"/>
  <c r="F31" i="6" a="1"/>
  <c r="F31" i="6" s="1"/>
  <c r="D55" i="6" a="1"/>
  <c r="D55" i="6" s="1"/>
  <c r="D52" i="6" a="1"/>
  <c r="D52" i="6" s="1"/>
  <c r="C54" i="6" a="1"/>
  <c r="C54" i="6" s="1"/>
  <c r="C53" i="6" a="1"/>
  <c r="C53" i="6" s="1"/>
  <c r="F30" i="6" a="1"/>
  <c r="F30" i="6" s="1"/>
  <c r="L3" i="6" a="1"/>
  <c r="L3" i="6" s="1"/>
  <c r="C3" i="6" a="1"/>
  <c r="C3" i="6" s="1"/>
  <c r="L11" i="6" a="1"/>
  <c r="L11" i="6" s="1"/>
  <c r="M6" i="6" a="1"/>
  <c r="M6" i="6" s="1"/>
  <c r="M8" i="6" a="1"/>
  <c r="M8" i="6" s="1"/>
  <c r="M10" i="6" a="1"/>
  <c r="M10" i="6" s="1"/>
  <c r="M3" i="6" a="1"/>
  <c r="M3" i="6" s="1"/>
  <c r="L6" i="6" a="1"/>
  <c r="L6" i="6" s="1"/>
  <c r="L8" i="6" a="1"/>
  <c r="L8" i="6" s="1"/>
  <c r="L10" i="6" a="1"/>
  <c r="L10" i="6" s="1"/>
  <c r="J5" i="6" a="1"/>
  <c r="J5" i="6" s="1"/>
  <c r="J7" i="6" a="1"/>
  <c r="J7" i="6" s="1"/>
  <c r="J9" i="6" a="1"/>
  <c r="J9" i="6" s="1"/>
  <c r="J4" i="6" a="1"/>
  <c r="J4" i="6" s="1"/>
  <c r="G4" i="6" a="1"/>
  <c r="G4" i="6" s="1"/>
  <c r="D11" i="6" a="1"/>
  <c r="D11" i="6" s="1"/>
  <c r="D6" i="6" a="1"/>
  <c r="D6" i="6" s="1"/>
  <c r="D8" i="6" a="1"/>
  <c r="D8" i="6" s="1"/>
  <c r="D10" i="6" a="1"/>
  <c r="D10" i="6" s="1"/>
  <c r="G11" i="6" a="1"/>
  <c r="G11" i="6" s="1"/>
  <c r="G6" i="6" a="1"/>
  <c r="G6" i="6" s="1"/>
  <c r="G8" i="6" a="1"/>
  <c r="G8" i="6" s="1"/>
  <c r="G10" i="6" a="1"/>
  <c r="G10" i="6" s="1"/>
  <c r="I6" i="6" a="1"/>
  <c r="I6" i="6" s="1"/>
  <c r="G3" i="6" a="1"/>
  <c r="G3" i="6" s="1"/>
  <c r="I3" i="6" a="1"/>
  <c r="I3" i="6" s="1"/>
  <c r="F3" i="6" a="1"/>
  <c r="F3" i="6" s="1"/>
  <c r="I11" i="6" a="1"/>
  <c r="I11" i="6" s="1"/>
  <c r="M11" i="6" a="1"/>
  <c r="M11" i="6" s="1"/>
  <c r="M5" i="6" a="1"/>
  <c r="M5" i="6" s="1"/>
  <c r="M7" i="6" a="1"/>
  <c r="M7" i="6" s="1"/>
  <c r="M9" i="6" a="1"/>
  <c r="M9" i="6" s="1"/>
  <c r="M4" i="6" a="1"/>
  <c r="M4" i="6" s="1"/>
  <c r="L5" i="6" a="1"/>
  <c r="L5" i="6" s="1"/>
  <c r="L7" i="6" a="1"/>
  <c r="L7" i="6" s="1"/>
  <c r="L9" i="6" a="1"/>
  <c r="L9" i="6" s="1"/>
  <c r="L4" i="6" a="1"/>
  <c r="L4" i="6" s="1"/>
  <c r="J11" i="6" a="1"/>
  <c r="J11" i="6" s="1"/>
  <c r="J6" i="6" a="1"/>
  <c r="J6" i="6" s="1"/>
  <c r="J8" i="6" a="1"/>
  <c r="J8" i="6" s="1"/>
  <c r="J10" i="6" a="1"/>
  <c r="J10" i="6" s="1"/>
  <c r="J3" i="6" a="1"/>
  <c r="J3" i="6" s="1"/>
  <c r="D5" i="6" a="1"/>
  <c r="D5" i="6" s="1"/>
  <c r="D7" i="6" a="1"/>
  <c r="D7" i="6" s="1"/>
  <c r="D9" i="6" a="1"/>
  <c r="D9" i="6" s="1"/>
  <c r="D4" i="6" a="1"/>
  <c r="D4" i="6" s="1"/>
  <c r="D3" i="6" a="1"/>
  <c r="D3" i="6" s="1"/>
  <c r="G5" i="6" a="1"/>
  <c r="G5" i="6" s="1"/>
  <c r="G7" i="6" a="1"/>
  <c r="G7" i="6" s="1"/>
  <c r="G9" i="6" a="1"/>
  <c r="G9" i="6" s="1"/>
  <c r="I5" i="6" a="1"/>
  <c r="I5" i="6" s="1"/>
  <c r="I7" i="6" a="1"/>
  <c r="I7" i="6" s="1"/>
  <c r="I9" i="6" a="1"/>
  <c r="I9" i="6" s="1"/>
  <c r="I4" i="6" a="1"/>
  <c r="I4" i="6" s="1"/>
  <c r="F5" i="6" a="1"/>
  <c r="F5" i="6" s="1"/>
  <c r="F7" i="6" a="1"/>
  <c r="F7" i="6" s="1"/>
  <c r="F4" i="6" a="1"/>
  <c r="F4" i="6" s="1"/>
  <c r="C6" i="6" a="1"/>
  <c r="C6" i="6" s="1"/>
  <c r="C8" i="6" a="1"/>
  <c r="C8" i="6" s="1"/>
  <c r="C10" i="6" a="1"/>
  <c r="C10" i="6" s="1"/>
  <c r="I10" i="6" a="1"/>
  <c r="I10" i="6" s="1"/>
  <c r="F6" i="6" a="1"/>
  <c r="F6" i="6" s="1"/>
  <c r="H6" i="6" s="1" a="1"/>
  <c r="C7" i="6" a="1"/>
  <c r="C7" i="6" s="1"/>
  <c r="I8" i="6" a="1"/>
  <c r="I8" i="6" s="1"/>
  <c r="K8" i="6" s="1" a="1"/>
  <c r="C5" i="6" a="1"/>
  <c r="C5" i="6" s="1"/>
  <c r="C9" i="6" a="1"/>
  <c r="C9" i="6" s="1"/>
  <c r="G17" i="9"/>
  <c r="G16" i="9"/>
  <c r="I17" i="9"/>
  <c r="I16" i="9"/>
  <c r="I54" i="9"/>
  <c r="I22" i="9"/>
  <c r="G30" i="9"/>
  <c r="G15" i="9"/>
  <c r="G25" i="9"/>
  <c r="G10" i="9"/>
  <c r="G13" i="9"/>
  <c r="V28" i="1"/>
  <c r="I85" i="9"/>
  <c r="I50" i="9"/>
  <c r="I49" i="9"/>
  <c r="G45" i="9"/>
  <c r="I45" i="9"/>
  <c r="I48" i="9"/>
  <c r="I52" i="9"/>
  <c r="G56" i="9"/>
  <c r="G14" i="9"/>
  <c r="G100" i="9"/>
  <c r="G66" i="9"/>
  <c r="G62" i="9"/>
  <c r="I100" i="9"/>
  <c r="I97" i="9"/>
  <c r="I71" i="9"/>
  <c r="G97" i="9"/>
  <c r="G71" i="9"/>
  <c r="V89" i="1"/>
  <c r="G60" i="9"/>
  <c r="G57" i="9"/>
  <c r="I60" i="9"/>
  <c r="I57" i="9"/>
  <c r="I30" i="9"/>
  <c r="I15" i="9"/>
  <c r="G95" i="9"/>
  <c r="G65" i="9"/>
  <c r="I95" i="9"/>
  <c r="I65" i="9"/>
  <c r="G77" i="9"/>
  <c r="G76" i="9"/>
  <c r="G85" i="9"/>
  <c r="I76" i="9"/>
  <c r="I75" i="9"/>
  <c r="I66" i="9"/>
  <c r="I62" i="9"/>
  <c r="G49" i="9"/>
  <c r="V59" i="1"/>
  <c r="G54" i="9"/>
  <c r="V66" i="1"/>
  <c r="G52" i="9"/>
  <c r="I26" i="9"/>
  <c r="I11" i="9"/>
  <c r="G26" i="9"/>
  <c r="G11" i="9"/>
  <c r="I10" i="9"/>
  <c r="I80" i="9"/>
  <c r="G80" i="9"/>
  <c r="K142" i="6"/>
  <c r="K141" i="6"/>
  <c r="S201" i="1"/>
  <c r="K143" i="6"/>
  <c r="K145" i="6"/>
  <c r="K147" i="6"/>
  <c r="K144" i="6"/>
  <c r="K146" i="6"/>
  <c r="K148" i="6"/>
  <c r="U1" i="7"/>
  <c r="R1" i="7"/>
  <c r="O1" i="7"/>
  <c r="L1" i="7"/>
  <c r="I1" i="7"/>
  <c r="F1" i="7"/>
  <c r="L21" i="7"/>
  <c r="Q190" i="1"/>
  <c r="P190" i="1"/>
  <c r="K210" i="1"/>
  <c r="L210" i="1"/>
  <c r="E210" i="1"/>
  <c r="M210" i="1" s="1"/>
  <c r="AM252" i="1"/>
  <c r="AP158" i="1"/>
  <c r="AN149" i="1"/>
  <c r="AR163" i="1"/>
  <c r="AM148" i="1"/>
  <c r="AN148" i="1"/>
  <c r="E8" i="19"/>
  <c r="AC5" i="9"/>
  <c r="AP253" i="1"/>
  <c r="AR253" i="1"/>
  <c r="AM253" i="1"/>
  <c r="AN172" i="1"/>
  <c r="AN158" i="1"/>
  <c r="AR252" i="1"/>
  <c r="AO7" i="9"/>
  <c r="AM149" i="1"/>
  <c r="AM163" i="1"/>
  <c r="AG5" i="9"/>
  <c r="AG8" i="9"/>
  <c r="AN164" i="1"/>
  <c r="AR154" i="1"/>
  <c r="AL5" i="9"/>
  <c r="AB6" i="9"/>
  <c r="AP154" i="1"/>
  <c r="AO8" i="9"/>
  <c r="AC7" i="9"/>
  <c r="AP164" i="1"/>
  <c r="AN154" i="1"/>
  <c r="AO5" i="9"/>
  <c r="AP159" i="1"/>
  <c r="AB5" i="9"/>
  <c r="AB7" i="9"/>
  <c r="AL8" i="9"/>
  <c r="AP252" i="1"/>
  <c r="AP8" i="9"/>
  <c r="AK8" i="9"/>
  <c r="AN159" i="1"/>
  <c r="AM153" i="1"/>
  <c r="AF8" i="9"/>
  <c r="AK7" i="9"/>
  <c r="AM172" i="1"/>
  <c r="AP7" i="9"/>
  <c r="AM154" i="1"/>
  <c r="I9" i="19"/>
  <c r="AP149" i="1"/>
  <c r="AN153" i="1"/>
  <c r="AF6" i="9"/>
  <c r="AP163" i="1"/>
  <c r="AP153" i="1"/>
  <c r="AR164" i="1"/>
  <c r="AF7" i="9"/>
  <c r="AN163" i="1"/>
  <c r="AB8" i="9"/>
  <c r="AR171" i="1"/>
  <c r="AM158" i="1"/>
  <c r="AP148" i="1"/>
  <c r="AP172" i="1"/>
  <c r="E9" i="19"/>
  <c r="AK5" i="9"/>
  <c r="AN171" i="1"/>
  <c r="AR153" i="1"/>
  <c r="AG7" i="9"/>
  <c r="AR149" i="1"/>
  <c r="AL7" i="9"/>
  <c r="AO6" i="9"/>
  <c r="AL6" i="9"/>
  <c r="AC6" i="9"/>
  <c r="AR148" i="1"/>
  <c r="AP171" i="1"/>
  <c r="AG6" i="9"/>
  <c r="AP5" i="9"/>
  <c r="AM171" i="1"/>
  <c r="Q9" i="19"/>
  <c r="Q8" i="19"/>
  <c r="AC8" i="9"/>
  <c r="AR158" i="1"/>
  <c r="AF5" i="9"/>
  <c r="AM164" i="1"/>
  <c r="AR159" i="1"/>
  <c r="AP6" i="9"/>
  <c r="AM159" i="1"/>
  <c r="AR172" i="1"/>
  <c r="I8" i="19"/>
  <c r="AK6" i="9"/>
  <c r="O236" i="15" l="1"/>
  <c r="R8" i="19"/>
  <c r="R9" i="19"/>
  <c r="E54" i="19"/>
  <c r="Q4" i="19"/>
  <c r="R4" i="19" s="1"/>
  <c r="E69" i="19"/>
  <c r="E55" i="19"/>
  <c r="E68" i="19"/>
  <c r="D32" i="19"/>
  <c r="D59" i="19"/>
  <c r="D26" i="19"/>
  <c r="D53" i="19"/>
  <c r="B25" i="19"/>
  <c r="D66" i="19"/>
  <c r="F4" i="19"/>
  <c r="B52" i="19"/>
  <c r="B26" i="19"/>
  <c r="D67" i="19"/>
  <c r="N4" i="19"/>
  <c r="D25" i="19"/>
  <c r="D52" i="19"/>
  <c r="I4" i="19"/>
  <c r="E24" i="19" s="1"/>
  <c r="E27" i="19"/>
  <c r="C24" i="19"/>
  <c r="C27" i="19"/>
  <c r="C28" i="19"/>
  <c r="E7" i="19"/>
  <c r="I7" i="19"/>
  <c r="I6" i="19"/>
  <c r="E28" i="19"/>
  <c r="E6" i="19"/>
  <c r="I14" i="19"/>
  <c r="G4" i="19"/>
  <c r="C4" i="19"/>
  <c r="B4" i="19"/>
  <c r="M4" i="19" s="1"/>
  <c r="U167" i="1"/>
  <c r="T167" i="1"/>
  <c r="AN156" i="1"/>
  <c r="T166" i="1"/>
  <c r="T170" i="1"/>
  <c r="T169" i="1"/>
  <c r="U169" i="1"/>
  <c r="U170" i="1"/>
  <c r="S168" i="1"/>
  <c r="U168" i="1"/>
  <c r="N168" i="1"/>
  <c r="T168" i="1"/>
  <c r="U166" i="1"/>
  <c r="BE300" i="1"/>
  <c r="BC300" i="1"/>
  <c r="K10" i="6" a="1"/>
  <c r="H4" i="6" a="1"/>
  <c r="H5" i="6" a="1"/>
  <c r="K9" i="6" a="1"/>
  <c r="K5" i="6" a="1"/>
  <c r="H3" i="6" a="1"/>
  <c r="H31" i="6" a="1"/>
  <c r="H36" i="6" a="1"/>
  <c r="H32" i="6" a="1"/>
  <c r="H37" i="6" a="1"/>
  <c r="H33" i="6" a="1"/>
  <c r="H10" i="6" a="1"/>
  <c r="H11" i="6" a="1"/>
  <c r="AN170" i="1"/>
  <c r="AN157" i="1"/>
  <c r="AN147" i="1"/>
  <c r="H7" i="6" a="1"/>
  <c r="K4" i="6" a="1"/>
  <c r="K7" i="6" a="1"/>
  <c r="K11" i="6" a="1"/>
  <c r="K3" i="6" a="1"/>
  <c r="K6" i="6" a="1"/>
  <c r="H38" i="6" a="1"/>
  <c r="H34" i="6" a="1"/>
  <c r="H35" i="6" a="1"/>
  <c r="H8" i="6" a="1"/>
  <c r="H9" i="6" a="1"/>
  <c r="V201" i="1"/>
  <c r="AN201" i="1"/>
  <c r="AM175" i="1"/>
  <c r="AN174" i="1"/>
  <c r="AN175" i="1"/>
  <c r="AP250" i="1"/>
  <c r="AP251" i="1"/>
  <c r="AN146" i="1"/>
  <c r="AR250" i="1"/>
  <c r="AR251" i="1"/>
  <c r="AM250" i="1"/>
  <c r="AM251" i="1"/>
  <c r="AN162" i="1"/>
  <c r="AN161" i="1"/>
  <c r="AN152" i="1"/>
  <c r="AN151" i="1"/>
  <c r="AN166" i="1"/>
  <c r="AR174" i="1"/>
  <c r="AM174" i="1"/>
  <c r="AP174" i="1"/>
  <c r="AR151" i="1"/>
  <c r="AR152" i="1"/>
  <c r="AP156" i="1"/>
  <c r="AP157" i="1"/>
  <c r="AM156" i="1"/>
  <c r="AM157" i="1"/>
  <c r="AR146" i="1"/>
  <c r="AR166" i="1"/>
  <c r="AR147" i="1"/>
  <c r="AR170" i="1"/>
  <c r="AP162" i="1"/>
  <c r="AP161" i="1"/>
  <c r="AM162" i="1"/>
  <c r="AM161" i="1"/>
  <c r="AP151" i="1"/>
  <c r="AP152" i="1"/>
  <c r="AM151" i="1"/>
  <c r="AM152" i="1"/>
  <c r="AR156" i="1"/>
  <c r="AR157" i="1"/>
  <c r="AP170" i="1"/>
  <c r="AP146" i="1"/>
  <c r="AP166" i="1"/>
  <c r="AP147" i="1"/>
  <c r="AM147" i="1"/>
  <c r="AM170" i="1"/>
  <c r="AM146" i="1"/>
  <c r="AM166" i="1"/>
  <c r="AR162" i="1"/>
  <c r="AR161" i="1"/>
  <c r="BM219" i="1"/>
  <c r="BM220" i="1" s="1"/>
  <c r="BN219" i="1"/>
  <c r="BN220" i="1" s="1"/>
  <c r="AG149" i="1"/>
  <c r="AI149" i="1"/>
  <c r="AD147" i="2"/>
  <c r="AE144" i="2" s="1"/>
  <c r="BC292" i="1"/>
  <c r="BC290" i="1"/>
  <c r="BC289" i="1"/>
  <c r="BC291" i="1"/>
  <c r="X297" i="1"/>
  <c r="AB297" i="1" s="1"/>
  <c r="AF297" i="1"/>
  <c r="R297" i="1"/>
  <c r="Y297" i="1" s="1"/>
  <c r="AC297" i="1"/>
  <c r="AE297" i="1"/>
  <c r="V297" i="1"/>
  <c r="AA297" i="1" s="1"/>
  <c r="AD297" i="1"/>
  <c r="T297" i="1"/>
  <c r="Z297" i="1" s="1"/>
  <c r="Q26" i="9"/>
  <c r="R26" i="9"/>
  <c r="L36" i="9"/>
  <c r="P36" i="9"/>
  <c r="E46" i="6"/>
  <c r="E31" i="6"/>
  <c r="K8" i="6"/>
  <c r="N9" i="6"/>
  <c r="K9" i="6"/>
  <c r="K5" i="6"/>
  <c r="N4" i="6"/>
  <c r="N7" i="6"/>
  <c r="N8" i="6"/>
  <c r="N11" i="6"/>
  <c r="N3" i="6"/>
  <c r="H31" i="6"/>
  <c r="H36" i="6"/>
  <c r="H32" i="6"/>
  <c r="H37" i="6"/>
  <c r="H33" i="6"/>
  <c r="E48" i="6"/>
  <c r="E39" i="6"/>
  <c r="E37" i="6"/>
  <c r="E33" i="6"/>
  <c r="E43" i="6"/>
  <c r="E45" i="6"/>
  <c r="E30" i="6"/>
  <c r="E36" i="6"/>
  <c r="E32" i="6"/>
  <c r="AA8" i="6"/>
  <c r="AA11" i="6"/>
  <c r="AA9" i="6"/>
  <c r="AA5" i="6"/>
  <c r="K10" i="6"/>
  <c r="K4" i="6"/>
  <c r="K7" i="6"/>
  <c r="N5" i="6"/>
  <c r="K11" i="6"/>
  <c r="K3" i="6"/>
  <c r="K6" i="6"/>
  <c r="N10" i="6"/>
  <c r="N6" i="6"/>
  <c r="H38" i="6"/>
  <c r="H34" i="6"/>
  <c r="H35" i="6"/>
  <c r="E35" i="6"/>
  <c r="E44" i="6"/>
  <c r="E47" i="6"/>
  <c r="E38" i="6"/>
  <c r="E34" i="6"/>
  <c r="AA10" i="6"/>
  <c r="AA6" i="6"/>
  <c r="AA3" i="6"/>
  <c r="AA4" i="6"/>
  <c r="AA7" i="6"/>
  <c r="P3" i="9"/>
  <c r="L3" i="9"/>
  <c r="N210" i="1"/>
  <c r="F154" i="6"/>
  <c r="H49" i="7"/>
  <c r="E32" i="19" l="1"/>
  <c r="E59" i="19"/>
  <c r="E25" i="19"/>
  <c r="E52" i="19"/>
  <c r="C25" i="19"/>
  <c r="E66" i="19"/>
  <c r="E26" i="19"/>
  <c r="E53" i="19"/>
  <c r="C26" i="19"/>
  <c r="E67" i="19"/>
  <c r="BD289" i="1"/>
  <c r="AF144" i="2"/>
  <c r="AE146" i="2"/>
  <c r="AF145" i="2"/>
  <c r="AE145" i="2"/>
  <c r="AE143" i="2"/>
  <c r="AF143" i="2"/>
  <c r="M36" i="9"/>
  <c r="N36" i="9" s="1"/>
  <c r="M3" i="9"/>
  <c r="N3" i="9" s="1"/>
  <c r="H49" i="8" l="1"/>
  <c r="L18" i="8"/>
  <c r="E49" i="8" s="1"/>
  <c r="L17" i="8"/>
  <c r="D49" i="8" s="1"/>
  <c r="L16" i="8"/>
  <c r="C49" i="8" s="1"/>
  <c r="R15" i="8"/>
  <c r="Q15" i="8"/>
  <c r="P15" i="8"/>
  <c r="O15" i="8"/>
  <c r="N15" i="8"/>
  <c r="M15" i="8"/>
  <c r="R14" i="8"/>
  <c r="Q14" i="8"/>
  <c r="P14" i="8"/>
  <c r="O14" i="8"/>
  <c r="M14" i="8"/>
  <c r="AA1" i="8"/>
  <c r="X1" i="8"/>
  <c r="U1" i="8"/>
  <c r="R14" i="7"/>
  <c r="Q29" i="7"/>
  <c r="R15" i="7"/>
  <c r="Q30" i="7"/>
  <c r="M14" i="7"/>
  <c r="M29" i="7"/>
  <c r="O14" i="7"/>
  <c r="Q14" i="7"/>
  <c r="P14" i="7"/>
  <c r="P29" i="7"/>
  <c r="O29" i="7"/>
  <c r="K30" i="7"/>
  <c r="M15" i="7"/>
  <c r="M30" i="7"/>
  <c r="N15" i="7"/>
  <c r="O15" i="7"/>
  <c r="Q15" i="7"/>
  <c r="P15" i="7"/>
  <c r="P30" i="7"/>
  <c r="O30" i="7"/>
  <c r="M31" i="7"/>
  <c r="M32" i="7"/>
  <c r="M33" i="7"/>
  <c r="M34" i="7"/>
  <c r="M35" i="7"/>
  <c r="M36" i="7"/>
  <c r="J30" i="7"/>
  <c r="AA1" i="7"/>
  <c r="X1" i="7"/>
  <c r="L19" i="8" l="1"/>
  <c r="F49" i="8" s="1"/>
  <c r="L20" i="8"/>
  <c r="G49" i="8" s="1"/>
  <c r="O39" i="5"/>
  <c r="R39" i="5" s="1"/>
  <c r="P39" i="5"/>
  <c r="O15" i="5"/>
  <c r="R15" i="5" s="1"/>
  <c r="P15" i="5"/>
  <c r="J15" i="5"/>
  <c r="M15" i="5" s="1"/>
  <c r="K15" i="5"/>
  <c r="O37" i="5"/>
  <c r="P37" i="5"/>
  <c r="R37" i="5"/>
  <c r="J37" i="5"/>
  <c r="M37" i="5" s="1"/>
  <c r="K37" i="5"/>
  <c r="T9" i="5"/>
  <c r="J9" i="5"/>
  <c r="M9" i="5" s="1"/>
  <c r="K9" i="5"/>
  <c r="P18" i="5"/>
  <c r="O18" i="5"/>
  <c r="P27" i="5"/>
  <c r="O27" i="5"/>
  <c r="R27" i="5" s="1"/>
  <c r="J8" i="5"/>
  <c r="M8" i="5" s="1"/>
  <c r="K8" i="5"/>
  <c r="T41" i="5"/>
  <c r="O38" i="5"/>
  <c r="R38" i="5" s="1"/>
  <c r="P38" i="5"/>
  <c r="J38" i="5"/>
  <c r="M38" i="5" s="1"/>
  <c r="K38" i="5"/>
  <c r="T38" i="5"/>
  <c r="J20" i="5"/>
  <c r="M20" i="5" s="1"/>
  <c r="K20" i="5"/>
  <c r="J6" i="5"/>
  <c r="M6" i="5" s="1"/>
  <c r="K6" i="5"/>
  <c r="J7" i="5"/>
  <c r="M7" i="5" s="1"/>
  <c r="K7" i="5"/>
  <c r="J13" i="5"/>
  <c r="K13" i="5"/>
  <c r="S128" i="6"/>
  <c r="R128" i="6"/>
  <c r="F120" i="6"/>
  <c r="R129" i="6" s="1"/>
  <c r="F117" i="6"/>
  <c r="R126" i="6" s="1"/>
  <c r="E120" i="6"/>
  <c r="S129" i="6" s="1"/>
  <c r="D119" i="6"/>
  <c r="R123" i="6" s="1"/>
  <c r="D118" i="6"/>
  <c r="R122" i="6" s="1"/>
  <c r="D117" i="6"/>
  <c r="R121" i="6" s="1"/>
  <c r="L128" i="6"/>
  <c r="K128" i="6"/>
  <c r="N104" i="6"/>
  <c r="M112" i="6" s="1"/>
  <c r="E104" i="6"/>
  <c r="O112" i="6" s="1"/>
  <c r="D125" i="6"/>
  <c r="C125" i="6"/>
  <c r="D124" i="6"/>
  <c r="C124" i="6"/>
  <c r="D123" i="6"/>
  <c r="C123" i="6"/>
  <c r="N103" i="6"/>
  <c r="M111" i="6" s="1"/>
  <c r="L103" i="6"/>
  <c r="E103" i="6"/>
  <c r="O111" i="6" s="1"/>
  <c r="M16" i="7"/>
  <c r="K196" i="1"/>
  <c r="L196" i="1"/>
  <c r="K237" i="1"/>
  <c r="L237" i="1"/>
  <c r="K225" i="1"/>
  <c r="L225" i="1"/>
  <c r="K200" i="1"/>
  <c r="L200" i="1"/>
  <c r="K236" i="1"/>
  <c r="N236" i="1" s="1"/>
  <c r="L236" i="1"/>
  <c r="K240" i="1"/>
  <c r="L240" i="1"/>
  <c r="K204" i="1"/>
  <c r="N204" i="1" s="1"/>
  <c r="L204" i="1"/>
  <c r="F199" i="1"/>
  <c r="K199" i="1"/>
  <c r="N199" i="1" s="1"/>
  <c r="L199" i="1"/>
  <c r="K198" i="1"/>
  <c r="L198" i="1"/>
  <c r="Q184" i="1"/>
  <c r="P184" i="1"/>
  <c r="K184" i="1"/>
  <c r="L184" i="1"/>
  <c r="A56" i="6"/>
  <c r="A54" i="6"/>
  <c r="A55" i="6"/>
  <c r="A53" i="6"/>
  <c r="A52" i="6"/>
  <c r="O36" i="5"/>
  <c r="R36" i="5" s="1"/>
  <c r="P36" i="5"/>
  <c r="O11" i="5"/>
  <c r="P11" i="5"/>
  <c r="J34" i="5"/>
  <c r="M34" i="5" s="1"/>
  <c r="K34" i="5"/>
  <c r="J40" i="5"/>
  <c r="K40" i="5"/>
  <c r="J27" i="5"/>
  <c r="M27" i="5" s="1"/>
  <c r="K27" i="5"/>
  <c r="J36" i="5"/>
  <c r="M36" i="5" s="1"/>
  <c r="K36" i="5"/>
  <c r="J41" i="5"/>
  <c r="M41" i="5" s="1"/>
  <c r="K41" i="5"/>
  <c r="J11" i="5"/>
  <c r="M11" i="5" s="1"/>
  <c r="K11" i="5"/>
  <c r="J18" i="5"/>
  <c r="K18" i="5"/>
  <c r="J39" i="5"/>
  <c r="M39" i="5" s="1"/>
  <c r="K39" i="5"/>
  <c r="K190" i="1"/>
  <c r="L190" i="1"/>
  <c r="X192" i="1"/>
  <c r="P192" i="1"/>
  <c r="Q192" i="1"/>
  <c r="K189" i="1"/>
  <c r="L189" i="1"/>
  <c r="P270" i="1" l="1"/>
  <c r="P274" i="1"/>
  <c r="Q270" i="1"/>
  <c r="Q274" i="1"/>
  <c r="L274" i="1"/>
  <c r="M18" i="5"/>
  <c r="R11" i="5"/>
  <c r="M13" i="5"/>
  <c r="J62" i="5"/>
  <c r="J61" i="5"/>
  <c r="J60" i="5"/>
  <c r="K62" i="5"/>
  <c r="K60" i="5"/>
  <c r="K61" i="5"/>
  <c r="R18" i="5"/>
  <c r="M24" i="9"/>
  <c r="N24" i="9" s="1"/>
  <c r="AM199" i="1"/>
  <c r="AP199" i="1"/>
  <c r="AR199" i="1"/>
  <c r="M30" i="9"/>
  <c r="N30" i="9" s="1"/>
  <c r="AM204" i="1"/>
  <c r="AP204" i="1"/>
  <c r="AR204" i="1"/>
  <c r="P251" i="1"/>
  <c r="P250" i="1"/>
  <c r="K265" i="1"/>
  <c r="K266" i="1"/>
  <c r="Q250" i="1"/>
  <c r="Q251" i="1"/>
  <c r="L265" i="1"/>
  <c r="L266" i="1"/>
  <c r="BB239" i="1"/>
  <c r="F278" i="1"/>
  <c r="F280" i="1" s="1"/>
  <c r="H11" i="6"/>
  <c r="H3" i="6"/>
  <c r="H8" i="6"/>
  <c r="H6" i="6"/>
  <c r="H5" i="6"/>
  <c r="H10" i="6"/>
  <c r="H4" i="6"/>
  <c r="H9" i="6"/>
  <c r="H7" i="6"/>
  <c r="Q11" i="6" a="1"/>
  <c r="Q11" i="6" s="1"/>
  <c r="S11" i="6" a="1"/>
  <c r="S11" i="6" s="1"/>
  <c r="U3" i="6" s="1" a="1"/>
  <c r="V11" i="6" a="1"/>
  <c r="V11" i="6" s="1"/>
  <c r="P11" i="6" a="1"/>
  <c r="P11" i="6" s="1"/>
  <c r="V4" i="6" a="1"/>
  <c r="V4" i="6" s="1"/>
  <c r="X3" i="6" s="1" a="1"/>
  <c r="Q4" i="6" a="1"/>
  <c r="Q4" i="6" s="1"/>
  <c r="P4" i="6" a="1"/>
  <c r="P4" i="6" s="1"/>
  <c r="M103" i="6"/>
  <c r="L111" i="6" s="1"/>
  <c r="F118" i="6"/>
  <c r="R127" i="6" s="1"/>
  <c r="R130" i="6" s="1"/>
  <c r="M40" i="5"/>
  <c r="K31" i="7"/>
  <c r="K35" i="7"/>
  <c r="K33" i="7"/>
  <c r="K36" i="7"/>
  <c r="K34" i="7"/>
  <c r="K32" i="7"/>
  <c r="R124" i="6"/>
  <c r="A284" i="1"/>
  <c r="K192" i="1"/>
  <c r="K274" i="1" s="1"/>
  <c r="L192" i="1"/>
  <c r="L270" i="1" s="1"/>
  <c r="T208" i="1"/>
  <c r="U208" i="1" s="1"/>
  <c r="K208" i="1"/>
  <c r="L208" i="1"/>
  <c r="O14" i="5"/>
  <c r="R14" i="5" s="1"/>
  <c r="P14" i="5"/>
  <c r="J14" i="5"/>
  <c r="K14" i="5"/>
  <c r="P69" i="5"/>
  <c r="K69" i="5"/>
  <c r="O68" i="5"/>
  <c r="O69" i="5"/>
  <c r="R68" i="5"/>
  <c r="J68" i="5"/>
  <c r="J69" i="5"/>
  <c r="K68" i="5"/>
  <c r="R69" i="5"/>
  <c r="P68" i="5"/>
  <c r="K270" i="1" l="1"/>
  <c r="F292" i="1"/>
  <c r="F295" i="1"/>
  <c r="AA62" i="5"/>
  <c r="AA63" i="5"/>
  <c r="K66" i="5"/>
  <c r="K67" i="5"/>
  <c r="O66" i="5"/>
  <c r="O67" i="5"/>
  <c r="AJ62" i="5"/>
  <c r="AJ61" i="5"/>
  <c r="AJ60" i="5"/>
  <c r="J67" i="5"/>
  <c r="J66" i="5"/>
  <c r="P67" i="5"/>
  <c r="P66" i="5"/>
  <c r="L62" i="5"/>
  <c r="V65" i="5" s="1"/>
  <c r="L61" i="5"/>
  <c r="L60" i="5"/>
  <c r="M62" i="5"/>
  <c r="X65" i="5" s="1"/>
  <c r="M60" i="5"/>
  <c r="M61" i="5"/>
  <c r="R67" i="5"/>
  <c r="AA61" i="5" s="1"/>
  <c r="R66" i="5"/>
  <c r="AA60" i="5" s="1"/>
  <c r="L261" i="1"/>
  <c r="K260" i="1"/>
  <c r="Q261" i="1"/>
  <c r="Q260" i="1"/>
  <c r="P260" i="1"/>
  <c r="P261" i="1"/>
  <c r="L260" i="1"/>
  <c r="K251" i="1"/>
  <c r="K250" i="1"/>
  <c r="K261" i="1"/>
  <c r="L250" i="1"/>
  <c r="L251" i="1"/>
  <c r="Q279" i="1"/>
  <c r="Q280" i="1"/>
  <c r="K279" i="1"/>
  <c r="K280" i="1"/>
  <c r="P280" i="1"/>
  <c r="P279" i="1"/>
  <c r="L280" i="1"/>
  <c r="L279" i="1"/>
  <c r="BB240" i="1"/>
  <c r="BC239" i="1" s="1"/>
  <c r="X11" i="6"/>
  <c r="U11" i="6"/>
  <c r="U10" i="6"/>
  <c r="X8" i="6"/>
  <c r="U7" i="6"/>
  <c r="X5" i="6"/>
  <c r="U8" i="6"/>
  <c r="X6" i="6"/>
  <c r="U5" i="6"/>
  <c r="U3" i="6"/>
  <c r="U6" i="6"/>
  <c r="U4" i="6"/>
  <c r="X9" i="6"/>
  <c r="X10" i="6"/>
  <c r="U9" i="6"/>
  <c r="X7" i="6"/>
  <c r="R11" i="6"/>
  <c r="R4" i="6"/>
  <c r="R10" i="6"/>
  <c r="R5" i="6"/>
  <c r="R6" i="6"/>
  <c r="R7" i="6"/>
  <c r="R8" i="6"/>
  <c r="R3" i="6"/>
  <c r="R9" i="6"/>
  <c r="X4" i="6"/>
  <c r="X3" i="6"/>
  <c r="M14" i="5"/>
  <c r="A39" i="6"/>
  <c r="A38" i="6"/>
  <c r="A37" i="6"/>
  <c r="A36" i="6"/>
  <c r="A30" i="6"/>
  <c r="I49" i="7"/>
  <c r="AK69" i="5"/>
  <c r="M68" i="5"/>
  <c r="L68" i="5"/>
  <c r="AJ69" i="5"/>
  <c r="AJ68" i="5"/>
  <c r="AK68" i="5"/>
  <c r="Q69" i="5"/>
  <c r="L69" i="5"/>
  <c r="M69" i="5"/>
  <c r="Q68" i="5"/>
  <c r="Q17" i="19" l="1"/>
  <c r="R17" i="19" s="1"/>
  <c r="I17" i="19"/>
  <c r="E17" i="19"/>
  <c r="AC75" i="5"/>
  <c r="Y75" i="5"/>
  <c r="W65" i="5"/>
  <c r="X77" i="5"/>
  <c r="E125" i="6"/>
  <c r="X63" i="5"/>
  <c r="X62" i="5"/>
  <c r="Y63" i="5"/>
  <c r="Y62" i="5"/>
  <c r="V63" i="5"/>
  <c r="W63" i="5" s="1"/>
  <c r="V62" i="5"/>
  <c r="M66" i="5"/>
  <c r="X60" i="5" s="1"/>
  <c r="M67" i="5"/>
  <c r="X61" i="5" s="1"/>
  <c r="AK67" i="5"/>
  <c r="AK66" i="5"/>
  <c r="AJ67" i="5"/>
  <c r="AJ66" i="5"/>
  <c r="Q66" i="5"/>
  <c r="Y60" i="5" s="1"/>
  <c r="Q67" i="5"/>
  <c r="Y61" i="5" s="1"/>
  <c r="L67" i="5"/>
  <c r="V61" i="5" s="1"/>
  <c r="W61" i="5" s="1"/>
  <c r="L66" i="5"/>
  <c r="V60" i="5" s="1"/>
  <c r="W60" i="5" s="1"/>
  <c r="BC238" i="1"/>
  <c r="BC240" i="1"/>
  <c r="BC237" i="1"/>
  <c r="E124" i="6"/>
  <c r="O1" i="8"/>
  <c r="L20" i="7"/>
  <c r="G49" i="7"/>
  <c r="C1" i="8"/>
  <c r="L16" i="7"/>
  <c r="C49" i="7"/>
  <c r="I1" i="8"/>
  <c r="L18" i="7"/>
  <c r="E49" i="7"/>
  <c r="D49" i="7"/>
  <c r="F1" i="8"/>
  <c r="L17" i="7"/>
  <c r="F49" i="7"/>
  <c r="L1" i="8"/>
  <c r="L19" i="7"/>
  <c r="L22" i="7"/>
  <c r="R1" i="8"/>
  <c r="C35" i="19" l="1"/>
  <c r="E113" i="19"/>
  <c r="E35" i="19"/>
  <c r="E104" i="19"/>
  <c r="H17" i="19"/>
  <c r="D17" i="19"/>
  <c r="O17" i="19"/>
  <c r="P17" i="19" s="1"/>
  <c r="W62" i="5"/>
  <c r="X75" i="5"/>
  <c r="AB75" i="5"/>
  <c r="C48" i="7"/>
  <c r="C1" i="7" s="1"/>
  <c r="P3" i="5"/>
  <c r="O3" i="5"/>
  <c r="K3" i="5"/>
  <c r="J3" i="5"/>
  <c r="P56" i="5"/>
  <c r="K57" i="5"/>
  <c r="J56" i="5"/>
  <c r="J57" i="5"/>
  <c r="P50" i="5"/>
  <c r="K56" i="5"/>
  <c r="O57" i="5"/>
  <c r="J51" i="5"/>
  <c r="P51" i="5"/>
  <c r="O51" i="5"/>
  <c r="K50" i="5"/>
  <c r="P57" i="5"/>
  <c r="O56" i="5"/>
  <c r="K51" i="5"/>
  <c r="J50" i="5"/>
  <c r="O50" i="5"/>
  <c r="B35" i="19" l="1"/>
  <c r="D113" i="19"/>
  <c r="D35" i="19"/>
  <c r="D104" i="19"/>
  <c r="K54" i="5"/>
  <c r="K45" i="5"/>
  <c r="K55" i="5"/>
  <c r="K49" i="5"/>
  <c r="P55" i="5"/>
  <c r="P54" i="5"/>
  <c r="P45" i="5"/>
  <c r="P49" i="5"/>
  <c r="J55" i="5"/>
  <c r="J49" i="5"/>
  <c r="J54" i="5"/>
  <c r="J45" i="5"/>
  <c r="O54" i="5"/>
  <c r="O45" i="5"/>
  <c r="O55" i="5"/>
  <c r="O49" i="5"/>
  <c r="E105" i="6"/>
  <c r="O113" i="6" s="1"/>
  <c r="N105" i="6"/>
  <c r="M113" i="6" s="1"/>
  <c r="R3" i="5"/>
  <c r="L105" i="6"/>
  <c r="C103" i="6"/>
  <c r="M3" i="5"/>
  <c r="AJ51" i="5"/>
  <c r="R51" i="5"/>
  <c r="M50" i="5"/>
  <c r="AJ56" i="5"/>
  <c r="M51" i="5"/>
  <c r="M57" i="5"/>
  <c r="AK50" i="5"/>
  <c r="L57" i="5"/>
  <c r="AK56" i="5"/>
  <c r="AJ57" i="5"/>
  <c r="L50" i="5"/>
  <c r="M56" i="5"/>
  <c r="AJ50" i="5"/>
  <c r="R56" i="5"/>
  <c r="AK51" i="5"/>
  <c r="L56" i="5"/>
  <c r="Q50" i="5"/>
  <c r="R57" i="5"/>
  <c r="Q51" i="5"/>
  <c r="R50" i="5"/>
  <c r="AK57" i="5"/>
  <c r="L51" i="5"/>
  <c r="Q57" i="5"/>
  <c r="Q56" i="5"/>
  <c r="Q16" i="19" l="1"/>
  <c r="R16" i="19" s="1"/>
  <c r="Q15" i="19"/>
  <c r="R15" i="19" s="1"/>
  <c r="E16" i="19"/>
  <c r="I15" i="19"/>
  <c r="E15" i="19"/>
  <c r="I16" i="19"/>
  <c r="AC74" i="5"/>
  <c r="Y73" i="5"/>
  <c r="Y74" i="5"/>
  <c r="AC73" i="5"/>
  <c r="M47" i="5"/>
  <c r="R47" i="5"/>
  <c r="X58" i="5"/>
  <c r="X57" i="5"/>
  <c r="X52" i="5"/>
  <c r="X53" i="5"/>
  <c r="AA58" i="5"/>
  <c r="AA57" i="5"/>
  <c r="AA53" i="5"/>
  <c r="AA52" i="5"/>
  <c r="V58" i="5"/>
  <c r="W58" i="5" s="1"/>
  <c r="V57" i="5"/>
  <c r="V52" i="5"/>
  <c r="V53" i="5"/>
  <c r="W53" i="5" s="1"/>
  <c r="Y58" i="5"/>
  <c r="Y57" i="5"/>
  <c r="Y52" i="5"/>
  <c r="Y53" i="5"/>
  <c r="M54" i="5"/>
  <c r="X55" i="5" s="1"/>
  <c r="M45" i="5"/>
  <c r="X50" i="5" s="1"/>
  <c r="M55" i="5"/>
  <c r="X56" i="5" s="1"/>
  <c r="M49" i="5"/>
  <c r="X51" i="5" s="1"/>
  <c r="R55" i="5"/>
  <c r="AA56" i="5" s="1"/>
  <c r="R54" i="5"/>
  <c r="AA55" i="5" s="1"/>
  <c r="R45" i="5"/>
  <c r="AA50" i="5" s="1"/>
  <c r="R49" i="5"/>
  <c r="AA51" i="5" s="1"/>
  <c r="L55" i="5"/>
  <c r="V56" i="5" s="1"/>
  <c r="W56" i="5" s="1"/>
  <c r="L54" i="5"/>
  <c r="V55" i="5" s="1"/>
  <c r="W55" i="5" s="1"/>
  <c r="L45" i="5"/>
  <c r="L49" i="5"/>
  <c r="Q54" i="5"/>
  <c r="Y55" i="5" s="1"/>
  <c r="Q45" i="5"/>
  <c r="Q55" i="5"/>
  <c r="Y56" i="5" s="1"/>
  <c r="Q49" i="5"/>
  <c r="AJ49" i="5"/>
  <c r="AJ55" i="5"/>
  <c r="AJ54" i="5"/>
  <c r="AK49" i="5"/>
  <c r="AK55" i="5"/>
  <c r="AK45" i="5"/>
  <c r="AK54" i="5"/>
  <c r="O19" i="7"/>
  <c r="O16" i="7"/>
  <c r="N20" i="7"/>
  <c r="O18" i="7"/>
  <c r="O17" i="7"/>
  <c r="N21" i="7"/>
  <c r="N18" i="7"/>
  <c r="O20" i="7"/>
  <c r="N17" i="7"/>
  <c r="P16" i="7"/>
  <c r="O22" i="7"/>
  <c r="O21" i="7"/>
  <c r="N19" i="7"/>
  <c r="E123" i="6"/>
  <c r="N106" i="6"/>
  <c r="M114" i="6" s="1"/>
  <c r="M115" i="6" s="1"/>
  <c r="E106" i="6"/>
  <c r="O114" i="6" s="1"/>
  <c r="O115" i="6" s="1"/>
  <c r="C105" i="6"/>
  <c r="D16" i="19" l="1"/>
  <c r="O16" i="19"/>
  <c r="P16" i="19" s="1"/>
  <c r="H15" i="19"/>
  <c r="H16" i="19"/>
  <c r="E34" i="19"/>
  <c r="E103" i="19"/>
  <c r="C33" i="19"/>
  <c r="E111" i="19"/>
  <c r="E33" i="19"/>
  <c r="E102" i="19"/>
  <c r="D15" i="19"/>
  <c r="O15" i="19"/>
  <c r="P15" i="19" s="1"/>
  <c r="C34" i="19"/>
  <c r="E112" i="19"/>
  <c r="AB74" i="5"/>
  <c r="AB73" i="5"/>
  <c r="W57" i="5"/>
  <c r="X74" i="5"/>
  <c r="W52" i="5"/>
  <c r="X73" i="5"/>
  <c r="Y50" i="5"/>
  <c r="AN45" i="5"/>
  <c r="Y51" i="5"/>
  <c r="AN49" i="5"/>
  <c r="V51" i="5"/>
  <c r="W51" i="5" s="1"/>
  <c r="AM49" i="5"/>
  <c r="V50" i="5"/>
  <c r="W50" i="5" s="1"/>
  <c r="AM45" i="5"/>
  <c r="M105" i="6"/>
  <c r="L113" i="6" s="1"/>
  <c r="E198" i="1"/>
  <c r="M198" i="1" s="1"/>
  <c r="E196" i="1"/>
  <c r="M196" i="1" s="1"/>
  <c r="E225" i="1"/>
  <c r="M225" i="1" s="1"/>
  <c r="E236" i="1"/>
  <c r="M236" i="1" s="1"/>
  <c r="E192" i="1"/>
  <c r="J268" i="1"/>
  <c r="AL267" i="1"/>
  <c r="K268" i="1"/>
  <c r="AO247" i="1"/>
  <c r="AO257" i="1"/>
  <c r="K263" i="1"/>
  <c r="Q263" i="1"/>
  <c r="Q282" i="1"/>
  <c r="O281" i="1"/>
  <c r="L282" i="1"/>
  <c r="AO248" i="1"/>
  <c r="AQ276" i="1"/>
  <c r="AQ268" i="1"/>
  <c r="P281" i="1"/>
  <c r="AL258" i="1"/>
  <c r="AQ248" i="1"/>
  <c r="AL247" i="1"/>
  <c r="J262" i="1"/>
  <c r="O253" i="1"/>
  <c r="P252" i="1"/>
  <c r="P282" i="1"/>
  <c r="K252" i="1"/>
  <c r="AL248" i="1"/>
  <c r="J282" i="1"/>
  <c r="L281" i="1"/>
  <c r="AO267" i="1"/>
  <c r="K275" i="1"/>
  <c r="L275" i="1"/>
  <c r="K253" i="1"/>
  <c r="AO268" i="1"/>
  <c r="AQ277" i="1"/>
  <c r="L276" i="1"/>
  <c r="K262" i="1"/>
  <c r="J276" i="1"/>
  <c r="AO277" i="1"/>
  <c r="J263" i="1"/>
  <c r="P275" i="1"/>
  <c r="AL276" i="1"/>
  <c r="O275" i="1"/>
  <c r="K276" i="1"/>
  <c r="O252" i="1"/>
  <c r="Q275" i="1"/>
  <c r="J252" i="1"/>
  <c r="AQ247" i="1"/>
  <c r="Q281" i="1"/>
  <c r="J281" i="1"/>
  <c r="J253" i="1"/>
  <c r="AL268" i="1"/>
  <c r="O276" i="1"/>
  <c r="Q252" i="1"/>
  <c r="AO258" i="1"/>
  <c r="O262" i="1"/>
  <c r="P263" i="1"/>
  <c r="L252" i="1"/>
  <c r="L253" i="1"/>
  <c r="O282" i="1"/>
  <c r="AL277" i="1"/>
  <c r="J275" i="1"/>
  <c r="L268" i="1"/>
  <c r="AQ267" i="1"/>
  <c r="L262" i="1"/>
  <c r="Q262" i="1"/>
  <c r="AQ258" i="1"/>
  <c r="L263" i="1"/>
  <c r="K281" i="1"/>
  <c r="AO276" i="1"/>
  <c r="P262" i="1"/>
  <c r="P276" i="1"/>
  <c r="P253" i="1"/>
  <c r="K282" i="1"/>
  <c r="O263" i="1"/>
  <c r="Q253" i="1"/>
  <c r="Q276" i="1"/>
  <c r="L267" i="1"/>
  <c r="K267" i="1"/>
  <c r="AL257" i="1"/>
  <c r="J267" i="1"/>
  <c r="AQ257" i="1"/>
  <c r="B34" i="19" l="1"/>
  <c r="D112" i="19"/>
  <c r="B33" i="19"/>
  <c r="D111" i="19"/>
  <c r="D34" i="19"/>
  <c r="D103" i="19"/>
  <c r="D33" i="19"/>
  <c r="D102" i="19"/>
  <c r="F12" i="19"/>
  <c r="B57" i="19" s="1"/>
  <c r="G12" i="19"/>
  <c r="C57" i="19" s="1"/>
  <c r="R192" i="1"/>
  <c r="M192" i="1"/>
  <c r="BG300" i="1"/>
  <c r="E276" i="1"/>
  <c r="BI300" i="1"/>
  <c r="E274" i="1"/>
  <c r="E44" i="19" s="1"/>
  <c r="AP290" i="1"/>
  <c r="AY291" i="1" s="1"/>
  <c r="BL233" i="1"/>
  <c r="BL225" i="1" s="1"/>
  <c r="BB220" i="1"/>
  <c r="BG220" i="1"/>
  <c r="BG215" i="1"/>
  <c r="BB218" i="1"/>
  <c r="BG218" i="1"/>
  <c r="BL235" i="1"/>
  <c r="BL236" i="1"/>
  <c r="BL228" i="1" s="1"/>
  <c r="AP288" i="1"/>
  <c r="AP293" i="1"/>
  <c r="AP287" i="1"/>
  <c r="A288" i="1"/>
  <c r="AN293" i="1"/>
  <c r="AN290" i="1"/>
  <c r="AN287" i="1"/>
  <c r="AP296" i="1"/>
  <c r="AP291" i="1"/>
  <c r="AN296" i="1"/>
  <c r="BI301" i="1"/>
  <c r="A291" i="1"/>
  <c r="BG301" i="1"/>
  <c r="L17" i="9"/>
  <c r="P17" i="9"/>
  <c r="BB215" i="1"/>
  <c r="L28" i="9"/>
  <c r="P28" i="9"/>
  <c r="L21" i="9"/>
  <c r="P21" i="9"/>
  <c r="L62" i="9"/>
  <c r="P62" i="9"/>
  <c r="L51" i="9"/>
  <c r="P51" i="9"/>
  <c r="L23" i="9"/>
  <c r="P23" i="9"/>
  <c r="M62" i="9"/>
  <c r="N62" i="9" s="1"/>
  <c r="D105" i="6"/>
  <c r="N113" i="6" s="1"/>
  <c r="D103" i="6"/>
  <c r="N111" i="6" s="1"/>
  <c r="C131" i="6"/>
  <c r="D131" i="6" s="1"/>
  <c r="G131" i="6"/>
  <c r="H131" i="6" s="1"/>
  <c r="E131" i="6"/>
  <c r="F131" i="6" s="1"/>
  <c r="G130" i="6"/>
  <c r="H130" i="6" s="1"/>
  <c r="S190" i="1"/>
  <c r="R15" i="9" s="1"/>
  <c r="E130" i="6"/>
  <c r="F130" i="6" s="1"/>
  <c r="C130" i="6"/>
  <c r="D130" i="6" s="1"/>
  <c r="E132" i="6"/>
  <c r="F132" i="6" s="1"/>
  <c r="C111" i="6"/>
  <c r="L122" i="6" s="1"/>
  <c r="C118" i="6"/>
  <c r="S122" i="6" s="1"/>
  <c r="D111" i="6"/>
  <c r="K122" i="6" s="1"/>
  <c r="N189" i="1"/>
  <c r="N200" i="1"/>
  <c r="N190" i="1"/>
  <c r="C119" i="6"/>
  <c r="S123" i="6" s="1"/>
  <c r="C112" i="6"/>
  <c r="L123" i="6" s="1"/>
  <c r="D112" i="6"/>
  <c r="K123" i="6" s="1"/>
  <c r="S184" i="1"/>
  <c r="N184" i="1"/>
  <c r="E118" i="6"/>
  <c r="S127" i="6" s="1"/>
  <c r="E111" i="6"/>
  <c r="L127" i="6" s="1"/>
  <c r="S192" i="1"/>
  <c r="N192" i="1"/>
  <c r="F111" i="6"/>
  <c r="K127" i="6" s="1"/>
  <c r="C110" i="6"/>
  <c r="L121" i="6" s="1"/>
  <c r="D110" i="6"/>
  <c r="K121" i="6" s="1"/>
  <c r="N237" i="1"/>
  <c r="M63" i="9"/>
  <c r="N63" i="9" s="1"/>
  <c r="N196" i="1"/>
  <c r="C117" i="6"/>
  <c r="S121" i="6" s="1"/>
  <c r="N198" i="1"/>
  <c r="E110" i="6"/>
  <c r="L126" i="6" s="1"/>
  <c r="E117" i="6"/>
  <c r="S126" i="6" s="1"/>
  <c r="F110" i="6"/>
  <c r="K126" i="6" s="1"/>
  <c r="N208" i="1"/>
  <c r="N225" i="1"/>
  <c r="E113" i="6"/>
  <c r="L129" i="6" s="1"/>
  <c r="F113" i="6"/>
  <c r="K129" i="6" s="1"/>
  <c r="N240" i="1"/>
  <c r="M104" i="6"/>
  <c r="D104" i="6"/>
  <c r="C104" i="6"/>
  <c r="L104" i="6"/>
  <c r="R253" i="1"/>
  <c r="M282" i="1"/>
  <c r="R262" i="1"/>
  <c r="M252" i="1"/>
  <c r="N268" i="1"/>
  <c r="M276" i="1"/>
  <c r="N253" i="1"/>
  <c r="N262" i="1"/>
  <c r="S281" i="1"/>
  <c r="N281" i="1"/>
  <c r="R275" i="1"/>
  <c r="S252" i="1"/>
  <c r="M262" i="1"/>
  <c r="R276" i="1"/>
  <c r="N276" i="1"/>
  <c r="S253" i="1"/>
  <c r="M267" i="1"/>
  <c r="M281" i="1"/>
  <c r="R252" i="1"/>
  <c r="R263" i="1"/>
  <c r="M253" i="1"/>
  <c r="R282" i="1"/>
  <c r="N252" i="1"/>
  <c r="N275" i="1"/>
  <c r="R281" i="1"/>
  <c r="S282" i="1"/>
  <c r="M275" i="1"/>
  <c r="S263" i="1"/>
  <c r="N263" i="1"/>
  <c r="S276" i="1"/>
  <c r="S275" i="1"/>
  <c r="S262" i="1"/>
  <c r="N267" i="1"/>
  <c r="N282" i="1"/>
  <c r="M263" i="1"/>
  <c r="M268" i="1"/>
  <c r="O13" i="19" l="1"/>
  <c r="P13" i="19" s="1"/>
  <c r="O10" i="19"/>
  <c r="P10" i="19" s="1"/>
  <c r="O12" i="19"/>
  <c r="P12" i="19" s="1"/>
  <c r="M13" i="19"/>
  <c r="M10" i="19" s="1"/>
  <c r="N13" i="19"/>
  <c r="N10" i="19" s="1"/>
  <c r="H13" i="19"/>
  <c r="D13" i="19"/>
  <c r="D12" i="19"/>
  <c r="H12" i="19"/>
  <c r="H10" i="19"/>
  <c r="D29" i="19" s="1"/>
  <c r="D10" i="19"/>
  <c r="B29" i="19" s="1"/>
  <c r="E280" i="1"/>
  <c r="E292" i="1" s="1"/>
  <c r="E43" i="19"/>
  <c r="E45" i="19" s="1"/>
  <c r="O246" i="1"/>
  <c r="G13" i="19"/>
  <c r="F13" i="19"/>
  <c r="B58" i="19" s="1"/>
  <c r="B13" i="19"/>
  <c r="C13" i="19"/>
  <c r="E295" i="1"/>
  <c r="M271" i="1"/>
  <c r="M273" i="1"/>
  <c r="M272" i="1"/>
  <c r="N272" i="1" s="1"/>
  <c r="M270" i="1"/>
  <c r="M274" i="1"/>
  <c r="W276" i="1" s="1"/>
  <c r="X276" i="1" s="1"/>
  <c r="S270" i="1"/>
  <c r="AB275" i="1" s="1"/>
  <c r="S274" i="1"/>
  <c r="AB276" i="1" s="1"/>
  <c r="AN256" i="1"/>
  <c r="R272" i="1"/>
  <c r="O272" i="1" s="1"/>
  <c r="R271" i="1"/>
  <c r="R274" i="1"/>
  <c r="Z276" i="1" s="1"/>
  <c r="AA276" i="1" s="1"/>
  <c r="R273" i="1"/>
  <c r="R270" i="1"/>
  <c r="N274" i="1"/>
  <c r="Y276" i="1" s="1"/>
  <c r="N270" i="1"/>
  <c r="Y275" i="1" s="1"/>
  <c r="AN192" i="1"/>
  <c r="BD215" i="1"/>
  <c r="BF300" i="1"/>
  <c r="BD300" i="1"/>
  <c r="BH300" i="1"/>
  <c r="BJ300" i="1"/>
  <c r="V184" i="1"/>
  <c r="AN184" i="1"/>
  <c r="Q15" i="9"/>
  <c r="AN190" i="1"/>
  <c r="Z254" i="1"/>
  <c r="P244" i="1"/>
  <c r="BL237" i="1"/>
  <c r="BL227" i="1"/>
  <c r="BL229" i="1" s="1"/>
  <c r="BM226" i="1" s="1"/>
  <c r="BG219" i="1"/>
  <c r="BI219" i="1" s="1"/>
  <c r="BH216" i="1"/>
  <c r="BI217" i="1"/>
  <c r="BH217" i="1"/>
  <c r="BI215" i="1"/>
  <c r="BH215" i="1"/>
  <c r="BH218" i="1"/>
  <c r="BD217" i="1"/>
  <c r="AB264" i="1"/>
  <c r="Z265" i="1"/>
  <c r="AA265" i="1" s="1"/>
  <c r="Y264" i="1"/>
  <c r="Z264" i="1"/>
  <c r="AA264" i="1" s="1"/>
  <c r="W265" i="1"/>
  <c r="X265" i="1" s="1"/>
  <c r="Y265" i="1"/>
  <c r="AB265" i="1"/>
  <c r="W264" i="1"/>
  <c r="X264" i="1" s="1"/>
  <c r="AM184" i="1"/>
  <c r="AR184" i="1"/>
  <c r="AP184" i="1"/>
  <c r="AM208" i="1"/>
  <c r="AR208" i="1"/>
  <c r="AP208" i="1"/>
  <c r="M15" i="9"/>
  <c r="N15" i="9" s="1"/>
  <c r="AM190" i="1"/>
  <c r="AR190" i="1"/>
  <c r="AP190" i="1"/>
  <c r="M25" i="9"/>
  <c r="N25" i="9" s="1"/>
  <c r="AM200" i="1"/>
  <c r="AR200" i="1"/>
  <c r="AP200" i="1"/>
  <c r="M14" i="9"/>
  <c r="N14" i="9" s="1"/>
  <c r="AM189" i="1"/>
  <c r="AP189" i="1"/>
  <c r="AR189" i="1"/>
  <c r="BI216" i="1"/>
  <c r="AM196" i="1"/>
  <c r="AR196" i="1"/>
  <c r="AP196" i="1"/>
  <c r="M28" i="9"/>
  <c r="N28" i="9" s="1"/>
  <c r="AM192" i="1"/>
  <c r="AR192" i="1"/>
  <c r="AP192" i="1"/>
  <c r="M23" i="9"/>
  <c r="N23" i="9" s="1"/>
  <c r="AM198" i="1"/>
  <c r="AR198" i="1"/>
  <c r="AP198" i="1"/>
  <c r="AX297" i="1"/>
  <c r="AO296" i="1"/>
  <c r="AT297" i="1" s="1"/>
  <c r="AQ291" i="1"/>
  <c r="AU292" i="1" s="1"/>
  <c r="AY292" i="1"/>
  <c r="AO287" i="1"/>
  <c r="AN297" i="1"/>
  <c r="AO294" i="1"/>
  <c r="AT295" i="1" s="1"/>
  <c r="AO295" i="1"/>
  <c r="AT296" i="1" s="1"/>
  <c r="AO293" i="1"/>
  <c r="AT294" i="1" s="1"/>
  <c r="AX294" i="1"/>
  <c r="AQ287" i="1"/>
  <c r="AP297" i="1"/>
  <c r="AQ294" i="1"/>
  <c r="AU295" i="1" s="1"/>
  <c r="AQ295" i="1"/>
  <c r="AU296" i="1" s="1"/>
  <c r="AY289" i="1"/>
  <c r="AQ288" i="1"/>
  <c r="AU289" i="1" s="1"/>
  <c r="AQ289" i="1"/>
  <c r="AU290" i="1" s="1"/>
  <c r="AY297" i="1"/>
  <c r="AQ296" i="1"/>
  <c r="AU297" i="1" s="1"/>
  <c r="AX291" i="1"/>
  <c r="AO290" i="1"/>
  <c r="AT291" i="1" s="1"/>
  <c r="AO289" i="1"/>
  <c r="AT290" i="1" s="1"/>
  <c r="AO291" i="1"/>
  <c r="AT292" i="1" s="1"/>
  <c r="AO288" i="1"/>
  <c r="AT289" i="1" s="1"/>
  <c r="AM287" i="1"/>
  <c r="AK288" i="1"/>
  <c r="AY294" i="1"/>
  <c r="AQ293" i="1"/>
  <c r="AU294" i="1" s="1"/>
  <c r="AQ290" i="1"/>
  <c r="AU291" i="1" s="1"/>
  <c r="N265" i="1"/>
  <c r="Y267" i="1" s="1"/>
  <c r="N266" i="1"/>
  <c r="N260" i="1"/>
  <c r="Y262" i="1" s="1"/>
  <c r="N261" i="1"/>
  <c r="Y263" i="1" s="1"/>
  <c r="Q28" i="9"/>
  <c r="R261" i="1"/>
  <c r="Z263" i="1" s="1"/>
  <c r="AA263" i="1" s="1"/>
  <c r="R260" i="1"/>
  <c r="Z262" i="1" s="1"/>
  <c r="AA262" i="1" s="1"/>
  <c r="R28" i="9"/>
  <c r="S260" i="1"/>
  <c r="AB262" i="1" s="1"/>
  <c r="S261" i="1"/>
  <c r="AB263" i="1" s="1"/>
  <c r="M280" i="1"/>
  <c r="M279" i="1"/>
  <c r="M250" i="1"/>
  <c r="M251" i="1"/>
  <c r="N280" i="1"/>
  <c r="N279" i="1"/>
  <c r="N250" i="1"/>
  <c r="Y252" i="1" s="1"/>
  <c r="N251" i="1"/>
  <c r="Y253" i="1" s="1"/>
  <c r="M66" i="9"/>
  <c r="N66" i="9" s="1"/>
  <c r="M51" i="9"/>
  <c r="N51" i="9" s="1"/>
  <c r="M266" i="1"/>
  <c r="W268" i="1" s="1"/>
  <c r="X268" i="1" s="1"/>
  <c r="M265" i="1"/>
  <c r="W267" i="1" s="1"/>
  <c r="X267" i="1" s="1"/>
  <c r="M34" i="9"/>
  <c r="N34" i="9" s="1"/>
  <c r="M21" i="9"/>
  <c r="N21" i="9" s="1"/>
  <c r="M261" i="1"/>
  <c r="W263" i="1" s="1"/>
  <c r="X263" i="1" s="1"/>
  <c r="M260" i="1"/>
  <c r="W262" i="1" s="1"/>
  <c r="X262" i="1" s="1"/>
  <c r="R279" i="1"/>
  <c r="R251" i="1"/>
  <c r="R280" i="1"/>
  <c r="R250" i="1"/>
  <c r="S279" i="1"/>
  <c r="S251" i="1"/>
  <c r="AB253" i="1" s="1"/>
  <c r="S280" i="1"/>
  <c r="S250" i="1"/>
  <c r="BC215" i="1"/>
  <c r="Y277" i="1"/>
  <c r="Y269" i="1"/>
  <c r="Y255" i="1"/>
  <c r="Y270" i="1"/>
  <c r="W277" i="1"/>
  <c r="X277" i="1" s="1"/>
  <c r="AB278" i="1"/>
  <c r="Y278" i="1"/>
  <c r="W270" i="1"/>
  <c r="X270" i="1" s="1"/>
  <c r="W278" i="1"/>
  <c r="X278" i="1" s="1"/>
  <c r="Z255" i="1"/>
  <c r="AA255" i="1" s="1"/>
  <c r="W255" i="1"/>
  <c r="X255" i="1" s="1"/>
  <c r="AB277" i="1"/>
  <c r="AB255" i="1"/>
  <c r="W269" i="1"/>
  <c r="X269" i="1" s="1"/>
  <c r="Y254" i="1"/>
  <c r="Z277" i="1"/>
  <c r="AA277" i="1" s="1"/>
  <c r="Z278" i="1"/>
  <c r="AA278" i="1" s="1"/>
  <c r="AB254" i="1"/>
  <c r="M9" i="9"/>
  <c r="N9" i="9" s="1"/>
  <c r="M17" i="9"/>
  <c r="N17" i="9" s="1"/>
  <c r="Q9" i="9"/>
  <c r="R9" i="9"/>
  <c r="AB252" i="1"/>
  <c r="Q17" i="9"/>
  <c r="R17" i="9"/>
  <c r="BR294" i="1"/>
  <c r="BQ294" i="1"/>
  <c r="AA161" i="1"/>
  <c r="X161" i="1"/>
  <c r="AA174" i="1"/>
  <c r="T15" i="6" a="1"/>
  <c r="T15" i="6" s="1"/>
  <c r="T17" i="6" a="1"/>
  <c r="T17" i="6" s="1"/>
  <c r="T19" i="6" a="1"/>
  <c r="T19" i="6" s="1"/>
  <c r="T21" i="6" a="1"/>
  <c r="T21" i="6" s="1"/>
  <c r="T23" i="6" a="1"/>
  <c r="T23" i="6" s="1"/>
  <c r="T16" i="6" a="1"/>
  <c r="T16" i="6" s="1"/>
  <c r="Q17" i="6" a="1"/>
  <c r="Q17" i="6" s="1"/>
  <c r="Q19" i="6" a="1"/>
  <c r="Q19" i="6" s="1"/>
  <c r="Q21" i="6" a="1"/>
  <c r="Q21" i="6" s="1"/>
  <c r="Q23" i="6" a="1"/>
  <c r="Q23" i="6" s="1"/>
  <c r="Q16" i="6" a="1"/>
  <c r="Q16" i="6" s="1"/>
  <c r="Q15" i="6" a="1"/>
  <c r="Q15" i="6" s="1"/>
  <c r="T25" i="6" a="1"/>
  <c r="T25" i="6" s="1"/>
  <c r="T18" i="6" a="1"/>
  <c r="T18" i="6" s="1"/>
  <c r="T20" i="6" a="1"/>
  <c r="T20" i="6" s="1"/>
  <c r="T22" i="6" a="1"/>
  <c r="T22" i="6" s="1"/>
  <c r="T24" i="6" a="1"/>
  <c r="T24" i="6" s="1"/>
  <c r="Q25" i="6" a="1"/>
  <c r="Q25" i="6" s="1"/>
  <c r="Q18" i="6" a="1"/>
  <c r="Q18" i="6" s="1"/>
  <c r="Q20" i="6" a="1"/>
  <c r="Q20" i="6" s="1"/>
  <c r="Q22" i="6" a="1"/>
  <c r="Q22" i="6" s="1"/>
  <c r="Q24" i="6" a="1"/>
  <c r="Q24" i="6" s="1"/>
  <c r="P15" i="6" a="1"/>
  <c r="P15" i="6" s="1"/>
  <c r="S17" i="6" a="1"/>
  <c r="S17" i="6" s="1"/>
  <c r="S21" i="6" a="1"/>
  <c r="S21" i="6" s="1"/>
  <c r="S16" i="6" a="1"/>
  <c r="S16" i="6" s="1"/>
  <c r="P20" i="6" a="1"/>
  <c r="P20" i="6" s="1"/>
  <c r="P24" i="6" a="1"/>
  <c r="P24" i="6" s="1"/>
  <c r="S25" i="6" a="1"/>
  <c r="S25" i="6" s="1"/>
  <c r="S20" i="6" a="1"/>
  <c r="S20" i="6" s="1"/>
  <c r="S24" i="6" a="1"/>
  <c r="S24" i="6" s="1"/>
  <c r="P19" i="6" a="1"/>
  <c r="P19" i="6" s="1"/>
  <c r="P23" i="6" a="1"/>
  <c r="P23" i="6" s="1"/>
  <c r="S15" i="6" a="1"/>
  <c r="S15" i="6" s="1"/>
  <c r="S19" i="6" a="1"/>
  <c r="S19" i="6" s="1"/>
  <c r="S23" i="6" a="1"/>
  <c r="S23" i="6" s="1"/>
  <c r="P18" i="6" a="1"/>
  <c r="P18" i="6" s="1"/>
  <c r="P22" i="6" a="1"/>
  <c r="P22" i="6" s="1"/>
  <c r="P25" i="6" a="1"/>
  <c r="P25" i="6" s="1"/>
  <c r="S18" i="6" a="1"/>
  <c r="S18" i="6" s="1"/>
  <c r="S22" i="6" a="1"/>
  <c r="S22" i="6" s="1"/>
  <c r="P17" i="6" a="1"/>
  <c r="P17" i="6" s="1"/>
  <c r="P21" i="6" a="1"/>
  <c r="P21" i="6" s="1"/>
  <c r="P16" i="6" a="1"/>
  <c r="P16" i="6" s="1"/>
  <c r="Z15" i="6" a="1"/>
  <c r="Z15" i="6" s="1"/>
  <c r="Y25" i="6" a="1"/>
  <c r="Y25" i="6" s="1"/>
  <c r="Z24" i="6" a="1"/>
  <c r="Z24" i="6" s="1"/>
  <c r="V24" i="6" a="1"/>
  <c r="V24" i="6" s="1"/>
  <c r="W23" i="6" a="1"/>
  <c r="W23" i="6" s="1"/>
  <c r="Y21" i="6" a="1"/>
  <c r="Y21" i="6" s="1"/>
  <c r="Z20" i="6" a="1"/>
  <c r="Z20" i="6" s="1"/>
  <c r="V20" i="6" a="1"/>
  <c r="V20" i="6" s="1"/>
  <c r="W19" i="6" a="1"/>
  <c r="W19" i="6" s="1"/>
  <c r="Y17" i="6" a="1"/>
  <c r="Y17" i="6" s="1"/>
  <c r="Z16" i="6" a="1"/>
  <c r="Z16" i="6" s="1"/>
  <c r="V16" i="6" a="1"/>
  <c r="V16" i="6" s="1"/>
  <c r="L19" i="6" a="1"/>
  <c r="L19" i="6" s="1"/>
  <c r="L23" i="6" a="1"/>
  <c r="L23" i="6" s="1"/>
  <c r="M17" i="6" a="1"/>
  <c r="M17" i="6" s="1"/>
  <c r="M21" i="6" a="1"/>
  <c r="M21" i="6" s="1"/>
  <c r="M16" i="6" a="1"/>
  <c r="M16" i="6" s="1"/>
  <c r="J18" i="6" a="1"/>
  <c r="J18" i="6" s="1"/>
  <c r="R19" i="8" s="1"/>
  <c r="J22" i="6" a="1"/>
  <c r="J22" i="6" s="1"/>
  <c r="R23" i="8" s="1"/>
  <c r="J15" i="6" a="1"/>
  <c r="J15" i="6" s="1"/>
  <c r="I19" i="6" a="1"/>
  <c r="I19" i="6" s="1"/>
  <c r="I23" i="6" a="1"/>
  <c r="I23" i="6" s="1"/>
  <c r="L15" i="6" a="1"/>
  <c r="L15" i="6" s="1"/>
  <c r="G19" i="6" a="1"/>
  <c r="G19" i="6" s="1"/>
  <c r="Q20" i="8" s="1"/>
  <c r="G23" i="6" a="1"/>
  <c r="G23" i="6" s="1"/>
  <c r="C25" i="6" a="1"/>
  <c r="C25" i="6" s="1"/>
  <c r="F19" i="6" a="1"/>
  <c r="F19" i="6" s="1"/>
  <c r="N20" i="8" s="1"/>
  <c r="F23" i="6" a="1"/>
  <c r="F23" i="6" s="1"/>
  <c r="D25" i="6" a="1"/>
  <c r="D25" i="6" s="1"/>
  <c r="D20" i="6" a="1"/>
  <c r="D20" i="6" s="1"/>
  <c r="P21" i="8" s="1"/>
  <c r="D24" i="6" a="1"/>
  <c r="D24" i="6" s="1"/>
  <c r="Y15" i="6" a="1"/>
  <c r="Y15" i="6" s="1"/>
  <c r="Z25" i="6" a="1"/>
  <c r="Z25" i="6" s="1"/>
  <c r="W24" i="6" a="1"/>
  <c r="W24" i="6" s="1"/>
  <c r="V23" i="6" a="1"/>
  <c r="V23" i="6" s="1"/>
  <c r="Y22" i="6" a="1"/>
  <c r="Y22" i="6" s="1"/>
  <c r="Z21" i="6" a="1"/>
  <c r="Z21" i="6" s="1"/>
  <c r="W20" i="6" a="1"/>
  <c r="W20" i="6" s="1"/>
  <c r="V19" i="6" a="1"/>
  <c r="V19" i="6" s="1"/>
  <c r="Y18" i="6" a="1"/>
  <c r="Y18" i="6" s="1"/>
  <c r="Z17" i="6" a="1"/>
  <c r="Z17" i="6" s="1"/>
  <c r="W16" i="6" a="1"/>
  <c r="W16" i="6" s="1"/>
  <c r="L18" i="6" a="1"/>
  <c r="L18" i="6" s="1"/>
  <c r="L22" i="6" a="1"/>
  <c r="L22" i="6" s="1"/>
  <c r="M25" i="6" a="1"/>
  <c r="M25" i="6" s="1"/>
  <c r="M20" i="6" a="1"/>
  <c r="M20" i="6" s="1"/>
  <c r="M24" i="6" a="1"/>
  <c r="M24" i="6" s="1"/>
  <c r="J17" i="6" a="1"/>
  <c r="J17" i="6" s="1"/>
  <c r="R18" i="8" s="1"/>
  <c r="J21" i="6" a="1"/>
  <c r="J21" i="6" s="1"/>
  <c r="R22" i="8" s="1"/>
  <c r="J16" i="6" a="1"/>
  <c r="J16" i="6" s="1"/>
  <c r="R17" i="8" s="1"/>
  <c r="I18" i="6" a="1"/>
  <c r="I18" i="6" s="1"/>
  <c r="O19" i="8" s="1"/>
  <c r="I22" i="6" a="1"/>
  <c r="I22" i="6" s="1"/>
  <c r="I15" i="6" a="1"/>
  <c r="I15" i="6" s="1"/>
  <c r="G18" i="6" a="1"/>
  <c r="G18" i="6" s="1"/>
  <c r="Q19" i="8" s="1"/>
  <c r="G22" i="6" a="1"/>
  <c r="G22" i="6" s="1"/>
  <c r="Q23" i="8" s="1"/>
  <c r="G15" i="6" a="1"/>
  <c r="G15" i="6" s="1"/>
  <c r="F18" i="6" a="1"/>
  <c r="F18" i="6" s="1"/>
  <c r="N19" i="8" s="1"/>
  <c r="F22" i="6" a="1"/>
  <c r="F22" i="6" s="1"/>
  <c r="N23" i="8" s="1"/>
  <c r="F15" i="6" a="1"/>
  <c r="F15" i="6" s="1"/>
  <c r="N16" i="8" s="1"/>
  <c r="D19" i="6" a="1"/>
  <c r="D19" i="6" s="1"/>
  <c r="P20" i="8" s="1"/>
  <c r="D23" i="6" a="1"/>
  <c r="D23" i="6" s="1"/>
  <c r="D15" i="6" a="1"/>
  <c r="D15" i="6" s="1"/>
  <c r="W15" i="6" a="1"/>
  <c r="W15" i="6" s="1"/>
  <c r="V25" i="6" a="1"/>
  <c r="V25" i="6" s="1"/>
  <c r="Y24" i="6" a="1"/>
  <c r="Y24" i="6" s="1"/>
  <c r="Z23" i="6" a="1"/>
  <c r="Z23" i="6" s="1"/>
  <c r="W22" i="6" a="1"/>
  <c r="W22" i="6" s="1"/>
  <c r="V21" i="6" a="1"/>
  <c r="V21" i="6" s="1"/>
  <c r="Y20" i="6" a="1"/>
  <c r="Y20" i="6" s="1"/>
  <c r="Z19" i="6" a="1"/>
  <c r="Z19" i="6" s="1"/>
  <c r="W18" i="6" a="1"/>
  <c r="W18" i="6" s="1"/>
  <c r="V17" i="6" a="1"/>
  <c r="V17" i="6" s="1"/>
  <c r="Y16" i="6" a="1"/>
  <c r="Y16" i="6" s="1"/>
  <c r="L17" i="6" a="1"/>
  <c r="L17" i="6" s="1"/>
  <c r="L21" i="6" a="1"/>
  <c r="L21" i="6" s="1"/>
  <c r="L16" i="6" a="1"/>
  <c r="L16" i="6" s="1"/>
  <c r="M19" i="6" a="1"/>
  <c r="M19" i="6" s="1"/>
  <c r="M23" i="6" a="1"/>
  <c r="M23" i="6" s="1"/>
  <c r="J25" i="6" a="1"/>
  <c r="J25" i="6" s="1"/>
  <c r="J20" i="6" a="1"/>
  <c r="J20" i="6" s="1"/>
  <c r="R21" i="8" s="1"/>
  <c r="J24" i="6" a="1"/>
  <c r="J24" i="6" s="1"/>
  <c r="I17" i="6" a="1"/>
  <c r="I17" i="6" s="1"/>
  <c r="O18" i="8" s="1"/>
  <c r="I21" i="6" a="1"/>
  <c r="I21" i="6" s="1"/>
  <c r="O22" i="8" s="1"/>
  <c r="I16" i="6" a="1"/>
  <c r="I16" i="6" s="1"/>
  <c r="G17" i="6" a="1"/>
  <c r="G17" i="6" s="1"/>
  <c r="Q18" i="8" s="1"/>
  <c r="G21" i="6" a="1"/>
  <c r="G21" i="6" s="1"/>
  <c r="Q22" i="8" s="1"/>
  <c r="G16" i="6" a="1"/>
  <c r="G16" i="6" s="1"/>
  <c r="Q17" i="8" s="1"/>
  <c r="F17" i="6" a="1"/>
  <c r="F17" i="6" s="1"/>
  <c r="N18" i="8" s="1"/>
  <c r="F21" i="6" a="1"/>
  <c r="F21" i="6" s="1"/>
  <c r="N22" i="8" s="1"/>
  <c r="F16" i="6" a="1"/>
  <c r="F16" i="6" s="1"/>
  <c r="N17" i="8" s="1"/>
  <c r="D18" i="6" a="1"/>
  <c r="D18" i="6" s="1"/>
  <c r="P19" i="8" s="1"/>
  <c r="D22" i="6" a="1"/>
  <c r="D22" i="6" s="1"/>
  <c r="P23" i="8" s="1"/>
  <c r="C17" i="6" a="1"/>
  <c r="C17" i="6" s="1"/>
  <c r="M18" i="8" s="1"/>
  <c r="V15" i="6" a="1"/>
  <c r="V15" i="6" s="1"/>
  <c r="W25" i="6" a="1"/>
  <c r="W25" i="6" s="1"/>
  <c r="Y23" i="6" a="1"/>
  <c r="Y23" i="6" s="1"/>
  <c r="Z22" i="6" a="1"/>
  <c r="Z22" i="6" s="1"/>
  <c r="V22" i="6" a="1"/>
  <c r="V22" i="6" s="1"/>
  <c r="W21" i="6" a="1"/>
  <c r="W21" i="6" s="1"/>
  <c r="Y19" i="6" a="1"/>
  <c r="Y19" i="6" s="1"/>
  <c r="Z18" i="6" a="1"/>
  <c r="Z18" i="6" s="1"/>
  <c r="V18" i="6" a="1"/>
  <c r="V18" i="6" s="1"/>
  <c r="W17" i="6" a="1"/>
  <c r="W17" i="6" s="1"/>
  <c r="L25" i="6" a="1"/>
  <c r="L25" i="6" s="1"/>
  <c r="L20" i="6" a="1"/>
  <c r="L20" i="6" s="1"/>
  <c r="L24" i="6" a="1"/>
  <c r="L24" i="6" s="1"/>
  <c r="M18" i="6" a="1"/>
  <c r="M18" i="6" s="1"/>
  <c r="M22" i="6" a="1"/>
  <c r="M22" i="6" s="1"/>
  <c r="M15" i="6" a="1"/>
  <c r="M15" i="6" s="1"/>
  <c r="J19" i="6" a="1"/>
  <c r="J19" i="6" s="1"/>
  <c r="R20" i="8" s="1"/>
  <c r="J23" i="6" a="1"/>
  <c r="J23" i="6" s="1"/>
  <c r="I25" i="6" a="1"/>
  <c r="I25" i="6" s="1"/>
  <c r="I20" i="6" a="1"/>
  <c r="I20" i="6" s="1"/>
  <c r="I24" i="6" a="1"/>
  <c r="I24" i="6" s="1"/>
  <c r="K24" i="6" s="1" a="1"/>
  <c r="G25" i="6" a="1"/>
  <c r="G25" i="6" s="1"/>
  <c r="G20" i="6" a="1"/>
  <c r="G20" i="6" s="1"/>
  <c r="Q21" i="8" s="1"/>
  <c r="G24" i="6" a="1"/>
  <c r="G24" i="6" s="1"/>
  <c r="F25" i="6" a="1"/>
  <c r="F25" i="6" s="1"/>
  <c r="F20" i="6" a="1"/>
  <c r="F20" i="6" s="1"/>
  <c r="N21" i="8" s="1"/>
  <c r="F24" i="6" a="1"/>
  <c r="F24" i="6" s="1"/>
  <c r="D17" i="6" a="1"/>
  <c r="D17" i="6" s="1"/>
  <c r="P18" i="8" s="1"/>
  <c r="D21" i="6" a="1"/>
  <c r="D21" i="6" s="1"/>
  <c r="P22" i="8" s="1"/>
  <c r="D16" i="6" a="1"/>
  <c r="D16" i="6" s="1"/>
  <c r="P17" i="8" s="1"/>
  <c r="AB267" i="1"/>
  <c r="AB268" i="1"/>
  <c r="Z268" i="1"/>
  <c r="AA268" i="1" s="1"/>
  <c r="Z267" i="1"/>
  <c r="AA267" i="1" s="1"/>
  <c r="BB219" i="1"/>
  <c r="C24" i="6" a="1"/>
  <c r="C24" i="6" s="1"/>
  <c r="C22" i="6" a="1"/>
  <c r="C22" i="6" s="1"/>
  <c r="C23" i="6" a="1"/>
  <c r="C23" i="6" s="1"/>
  <c r="C21" i="6" a="1"/>
  <c r="C21" i="6" s="1"/>
  <c r="C19" i="6" a="1"/>
  <c r="C19" i="6" s="1"/>
  <c r="C20" i="6" a="1"/>
  <c r="C20" i="6" s="1"/>
  <c r="C16" i="6" a="1"/>
  <c r="C16" i="6" s="1"/>
  <c r="C18" i="6" a="1"/>
  <c r="C18" i="6" s="1"/>
  <c r="BC216" i="1"/>
  <c r="BC217" i="1"/>
  <c r="BC218" i="1"/>
  <c r="C15" i="6" a="1"/>
  <c r="C15" i="6" s="1"/>
  <c r="M129" i="6"/>
  <c r="M121" i="6"/>
  <c r="M126" i="6"/>
  <c r="X158" i="1"/>
  <c r="M123" i="6"/>
  <c r="X159" i="1"/>
  <c r="U123" i="6"/>
  <c r="U122" i="6"/>
  <c r="T138" i="6" s="1"/>
  <c r="U124" i="6"/>
  <c r="N121" i="6"/>
  <c r="R137" i="6" s="1"/>
  <c r="Y268" i="1"/>
  <c r="N129" i="6"/>
  <c r="T121" i="6"/>
  <c r="U121" i="6"/>
  <c r="T137" i="6" s="1"/>
  <c r="N126" i="6"/>
  <c r="R140" i="6" s="1"/>
  <c r="T126" i="6"/>
  <c r="U126" i="6"/>
  <c r="T140" i="6" s="1"/>
  <c r="N123" i="6"/>
  <c r="T123" i="6"/>
  <c r="W123" i="6" s="1"/>
  <c r="AA158" i="1"/>
  <c r="AA149" i="1"/>
  <c r="T122" i="6"/>
  <c r="S124" i="6"/>
  <c r="K124" i="6"/>
  <c r="L124" i="6"/>
  <c r="K130" i="6"/>
  <c r="S130" i="6"/>
  <c r="V208" i="1"/>
  <c r="L130" i="6"/>
  <c r="L112" i="6"/>
  <c r="N112" i="6"/>
  <c r="AB11" i="9"/>
  <c r="AR257" i="1"/>
  <c r="AN248" i="1"/>
  <c r="AR268" i="1"/>
  <c r="AB10" i="9"/>
  <c r="AG10" i="9"/>
  <c r="AM258" i="1"/>
  <c r="AK11" i="9"/>
  <c r="AP248" i="1"/>
  <c r="AM247" i="1"/>
  <c r="AR248" i="1"/>
  <c r="AN277" i="1"/>
  <c r="AP11" i="9"/>
  <c r="AR267" i="1"/>
  <c r="AP258" i="1"/>
  <c r="AP257" i="1"/>
  <c r="AN268" i="1"/>
  <c r="AF11" i="9"/>
  <c r="AG14" i="9"/>
  <c r="AM257" i="1"/>
  <c r="AM268" i="1"/>
  <c r="AM276" i="1"/>
  <c r="AN267" i="1"/>
  <c r="AR277" i="1"/>
  <c r="AP14" i="9"/>
  <c r="AG11" i="9"/>
  <c r="AR247" i="1"/>
  <c r="AM277" i="1"/>
  <c r="AF10" i="9"/>
  <c r="AO10" i="9"/>
  <c r="AF14" i="9"/>
  <c r="AM248" i="1"/>
  <c r="AP267" i="1"/>
  <c r="AR276" i="1"/>
  <c r="AP10" i="9"/>
  <c r="AB13" i="9"/>
  <c r="AN247" i="1"/>
  <c r="AR258" i="1"/>
  <c r="AO11" i="9"/>
  <c r="AN258" i="1"/>
  <c r="AP276" i="1"/>
  <c r="AB14" i="9"/>
  <c r="AO14" i="9"/>
  <c r="AP247" i="1"/>
  <c r="AP268" i="1"/>
  <c r="AK13" i="9"/>
  <c r="AK10" i="9"/>
  <c r="AN276" i="1"/>
  <c r="AM267" i="1"/>
  <c r="AP277" i="1"/>
  <c r="AK14" i="9"/>
  <c r="AN257" i="1"/>
  <c r="F10" i="19" l="1"/>
  <c r="Q12" i="19"/>
  <c r="R12" i="19" s="1"/>
  <c r="Q13" i="19"/>
  <c r="R13" i="19" s="1"/>
  <c r="Q10" i="19"/>
  <c r="R10" i="19" s="1"/>
  <c r="B10" i="19"/>
  <c r="B72" i="19"/>
  <c r="D30" i="19"/>
  <c r="D57" i="19"/>
  <c r="B30" i="19"/>
  <c r="D71" i="19"/>
  <c r="G10" i="19"/>
  <c r="C58" i="19"/>
  <c r="B31" i="19"/>
  <c r="D72" i="19"/>
  <c r="D31" i="19"/>
  <c r="D58" i="19"/>
  <c r="C10" i="19"/>
  <c r="C72" i="19"/>
  <c r="E12" i="19"/>
  <c r="I12" i="19"/>
  <c r="E13" i="19"/>
  <c r="I13" i="19"/>
  <c r="E10" i="19"/>
  <c r="C29" i="19" s="1"/>
  <c r="I10" i="19"/>
  <c r="E29" i="19" s="1"/>
  <c r="BH219" i="1"/>
  <c r="BH220" i="1" s="1"/>
  <c r="AN246" i="1"/>
  <c r="AN274" i="1"/>
  <c r="AN265" i="1"/>
  <c r="T270" i="1"/>
  <c r="AN255" i="1"/>
  <c r="U271" i="1"/>
  <c r="AN245" i="1"/>
  <c r="W275" i="1"/>
  <c r="X275" i="1" s="1"/>
  <c r="T271" i="1"/>
  <c r="AN280" i="1"/>
  <c r="AN275" i="1"/>
  <c r="AN266" i="1"/>
  <c r="Z275" i="1"/>
  <c r="AA275" i="1" s="1"/>
  <c r="U270" i="1"/>
  <c r="U272" i="1"/>
  <c r="U274" i="1"/>
  <c r="U273" i="1"/>
  <c r="T274" i="1"/>
  <c r="T273" i="1"/>
  <c r="T272" i="1"/>
  <c r="BN234" i="1"/>
  <c r="BN233" i="1"/>
  <c r="BM234" i="1"/>
  <c r="BM236" i="1"/>
  <c r="BN235" i="1"/>
  <c r="BM235" i="1"/>
  <c r="BM233" i="1"/>
  <c r="AN279" i="1"/>
  <c r="O21" i="8"/>
  <c r="K20" i="6" a="1"/>
  <c r="K21" i="6" a="1"/>
  <c r="H15" i="6" a="1"/>
  <c r="O16" i="8"/>
  <c r="K15" i="6" a="1"/>
  <c r="K18" i="6" a="1"/>
  <c r="X19" i="6" a="1"/>
  <c r="X23" i="6" a="1"/>
  <c r="O20" i="8"/>
  <c r="K19" i="6" a="1"/>
  <c r="K25" i="6" a="1"/>
  <c r="X18" i="6" a="1"/>
  <c r="X22" i="6" a="1"/>
  <c r="X15" i="6" a="1"/>
  <c r="O17" i="8"/>
  <c r="K16" i="6" a="1"/>
  <c r="K17" i="6" a="1"/>
  <c r="X17" i="6" a="1"/>
  <c r="X21" i="6" a="1"/>
  <c r="X25" i="6" a="1"/>
  <c r="O23" i="8"/>
  <c r="K22" i="6" a="1"/>
  <c r="K23" i="6" a="1"/>
  <c r="X16" i="6" a="1"/>
  <c r="X20" i="6" a="1"/>
  <c r="X24" i="6" a="1"/>
  <c r="U15" i="6" a="1"/>
  <c r="AM280" i="1"/>
  <c r="AM279" i="1"/>
  <c r="AR245" i="1"/>
  <c r="AR265" i="1"/>
  <c r="AR274" i="1"/>
  <c r="AR246" i="1"/>
  <c r="AR266" i="1"/>
  <c r="AR275" i="1"/>
  <c r="AP255" i="1"/>
  <c r="AP256" i="1"/>
  <c r="AM255" i="1"/>
  <c r="AM256" i="1"/>
  <c r="AP246" i="1"/>
  <c r="AP266" i="1"/>
  <c r="AP275" i="1"/>
  <c r="AP245" i="1"/>
  <c r="AP265" i="1"/>
  <c r="AP274" i="1"/>
  <c r="AM246" i="1"/>
  <c r="AM266" i="1"/>
  <c r="AM275" i="1"/>
  <c r="AM245" i="1"/>
  <c r="AM265" i="1"/>
  <c r="AM274" i="1"/>
  <c r="AR255" i="1"/>
  <c r="AR256" i="1"/>
  <c r="BM225" i="1"/>
  <c r="BM227" i="1"/>
  <c r="BD219" i="1"/>
  <c r="BI220" i="1"/>
  <c r="AQ297" i="1"/>
  <c r="AU298" i="1" s="1"/>
  <c r="AY298" i="1"/>
  <c r="AO297" i="1"/>
  <c r="AT298" i="1" s="1"/>
  <c r="AX298" i="1"/>
  <c r="AA254" i="1"/>
  <c r="AA159" i="1"/>
  <c r="Z253" i="1"/>
  <c r="AA253" i="1" s="1"/>
  <c r="Z252" i="1"/>
  <c r="AA252" i="1" s="1"/>
  <c r="H24" i="6"/>
  <c r="K24" i="6"/>
  <c r="N24" i="6"/>
  <c r="R16" i="6"/>
  <c r="BD216" i="1"/>
  <c r="M21" i="8"/>
  <c r="E20" i="6"/>
  <c r="M17" i="8"/>
  <c r="E16" i="6"/>
  <c r="M20" i="8"/>
  <c r="E19" i="6"/>
  <c r="M22" i="8"/>
  <c r="E21" i="6"/>
  <c r="M23" i="8"/>
  <c r="E22" i="6"/>
  <c r="E15" i="6"/>
  <c r="H20" i="6"/>
  <c r="K20" i="6"/>
  <c r="N20" i="6"/>
  <c r="E17" i="6"/>
  <c r="H21" i="6"/>
  <c r="K21" i="6"/>
  <c r="N21" i="6"/>
  <c r="AA16" i="6"/>
  <c r="AA20" i="6"/>
  <c r="AA24" i="6"/>
  <c r="H15" i="6"/>
  <c r="H18" i="6"/>
  <c r="K15" i="6"/>
  <c r="K18" i="6"/>
  <c r="N18" i="6"/>
  <c r="X19" i="6"/>
  <c r="X23" i="6"/>
  <c r="H19" i="6"/>
  <c r="N15" i="6"/>
  <c r="K19" i="6"/>
  <c r="N19" i="6"/>
  <c r="R21" i="6"/>
  <c r="U22" i="6"/>
  <c r="R25" i="6"/>
  <c r="R18" i="6"/>
  <c r="U19" i="6"/>
  <c r="R23" i="6"/>
  <c r="U24" i="6"/>
  <c r="U25" i="6"/>
  <c r="R20" i="6"/>
  <c r="U21" i="6"/>
  <c r="R15" i="6"/>
  <c r="M19" i="8"/>
  <c r="E18" i="6"/>
  <c r="E23" i="6"/>
  <c r="E24" i="6"/>
  <c r="H25" i="6"/>
  <c r="K25" i="6"/>
  <c r="N25" i="6"/>
  <c r="X18" i="6"/>
  <c r="AA19" i="6"/>
  <c r="X22" i="6"/>
  <c r="AA23" i="6"/>
  <c r="X15" i="6"/>
  <c r="H16" i="6"/>
  <c r="H17" i="6"/>
  <c r="K16" i="6"/>
  <c r="K17" i="6"/>
  <c r="N16" i="6"/>
  <c r="N17" i="6"/>
  <c r="X17" i="6"/>
  <c r="X21" i="6"/>
  <c r="X25" i="6"/>
  <c r="H22" i="6"/>
  <c r="K22" i="6"/>
  <c r="N22" i="6"/>
  <c r="AA18" i="6"/>
  <c r="AA22" i="6"/>
  <c r="AA15" i="6"/>
  <c r="H23" i="6"/>
  <c r="E25" i="6"/>
  <c r="K23" i="6"/>
  <c r="N23" i="6"/>
  <c r="X16" i="6"/>
  <c r="AA17" i="6"/>
  <c r="X20" i="6"/>
  <c r="AA21" i="6"/>
  <c r="X24" i="6"/>
  <c r="AA25" i="6"/>
  <c r="R17" i="6"/>
  <c r="U18" i="6"/>
  <c r="R22" i="6"/>
  <c r="U23" i="6"/>
  <c r="U15" i="6"/>
  <c r="R19" i="6"/>
  <c r="U20" i="6"/>
  <c r="R24" i="6"/>
  <c r="U16" i="6"/>
  <c r="U17" i="6"/>
  <c r="M16" i="8"/>
  <c r="T127" i="6"/>
  <c r="M106" i="6"/>
  <c r="U127" i="6"/>
  <c r="T141" i="6" s="1"/>
  <c r="U130" i="6"/>
  <c r="W122" i="6"/>
  <c r="W121" i="6"/>
  <c r="AP104" i="6"/>
  <c r="AP106" i="6"/>
  <c r="AP108" i="6"/>
  <c r="AP105" i="6"/>
  <c r="AP107" i="6"/>
  <c r="AP103" i="6"/>
  <c r="AC105" i="6"/>
  <c r="AC107" i="6"/>
  <c r="AC103" i="6"/>
  <c r="AC104" i="6"/>
  <c r="AC106" i="6"/>
  <c r="AC108" i="6"/>
  <c r="AQ105" i="6"/>
  <c r="AQ107" i="6"/>
  <c r="AQ103" i="6"/>
  <c r="AQ104" i="6"/>
  <c r="AQ106" i="6"/>
  <c r="AQ108" i="6"/>
  <c r="AO105" i="6"/>
  <c r="AO107" i="6"/>
  <c r="AO103" i="6"/>
  <c r="AO104" i="6"/>
  <c r="AO106" i="6"/>
  <c r="AO108" i="6"/>
  <c r="AA105" i="6"/>
  <c r="AA107" i="6"/>
  <c r="AA103" i="6"/>
  <c r="AA104" i="6"/>
  <c r="AA106" i="6"/>
  <c r="AA108" i="6"/>
  <c r="H39" i="6"/>
  <c r="L106" i="6"/>
  <c r="T124" i="6"/>
  <c r="W124" i="6" s="1"/>
  <c r="H30" i="6"/>
  <c r="AL11" i="9"/>
  <c r="AL14" i="9"/>
  <c r="AL10" i="9"/>
  <c r="AL13" i="9"/>
  <c r="AC10" i="9"/>
  <c r="AC13" i="9"/>
  <c r="AC11" i="9"/>
  <c r="AC14" i="9"/>
  <c r="E31" i="19" l="1"/>
  <c r="E58" i="19"/>
  <c r="C31" i="19"/>
  <c r="E72" i="19"/>
  <c r="E30" i="19"/>
  <c r="E57" i="19"/>
  <c r="C30" i="19"/>
  <c r="E71" i="19"/>
  <c r="BN225" i="1"/>
  <c r="BD220" i="1"/>
  <c r="T130" i="6"/>
  <c r="T106" i="6"/>
  <c r="T105" i="6"/>
  <c r="T103" i="6"/>
  <c r="AF103" i="6"/>
  <c r="AF105" i="6"/>
  <c r="AG106" i="6"/>
  <c r="AH106" i="6"/>
  <c r="AH103" i="6"/>
  <c r="AG103" i="6"/>
  <c r="AH105" i="6"/>
  <c r="AG105" i="6"/>
  <c r="AF107" i="6"/>
  <c r="AF108" i="6"/>
  <c r="AF104" i="6"/>
  <c r="AG108" i="6"/>
  <c r="AH108" i="6"/>
  <c r="AG104" i="6"/>
  <c r="AH104" i="6"/>
  <c r="AH107" i="6"/>
  <c r="AG107" i="6"/>
  <c r="AF106" i="6"/>
  <c r="T108" i="6"/>
  <c r="T104" i="6"/>
  <c r="T107" i="6"/>
  <c r="L114" i="6"/>
  <c r="L115" i="6" s="1"/>
  <c r="N22" i="7"/>
  <c r="X174" i="1" l="1"/>
  <c r="M19" i="7"/>
  <c r="M18" i="7"/>
  <c r="C4" i="6" a="1"/>
  <c r="C4" i="6" s="1"/>
  <c r="M20" i="7"/>
  <c r="C11" i="6" a="1"/>
  <c r="C11" i="6" s="1"/>
  <c r="M21" i="7"/>
  <c r="M122" i="6"/>
  <c r="N122" i="6"/>
  <c r="R138" i="6" s="1"/>
  <c r="N124" i="6"/>
  <c r="Q21" i="7"/>
  <c r="S7" i="7" s="1"/>
  <c r="R21" i="7"/>
  <c r="S8" i="7" s="1"/>
  <c r="R20" i="7"/>
  <c r="P8" i="7" s="1"/>
  <c r="R17" i="7"/>
  <c r="G8" i="7" s="1"/>
  <c r="Q16" i="7"/>
  <c r="D7" i="7" s="1"/>
  <c r="R16" i="7"/>
  <c r="D8" i="7" s="1"/>
  <c r="Q22" i="7"/>
  <c r="V7" i="7" s="1"/>
  <c r="P18" i="7"/>
  <c r="J6" i="7" s="1"/>
  <c r="P20" i="7"/>
  <c r="P6" i="7" s="1"/>
  <c r="P21" i="7"/>
  <c r="S6" i="7" s="1"/>
  <c r="Q18" i="7"/>
  <c r="J7" i="7" s="1"/>
  <c r="R22" i="7"/>
  <c r="V8" i="7" s="1"/>
  <c r="Q19" i="7"/>
  <c r="M7" i="7" s="1"/>
  <c r="R18" i="7"/>
  <c r="J8" i="7" s="1"/>
  <c r="R19" i="7"/>
  <c r="M8" i="7" s="1"/>
  <c r="Q17" i="7"/>
  <c r="G7" i="7" s="1"/>
  <c r="Q20" i="7"/>
  <c r="P7" i="7" s="1"/>
  <c r="P17" i="7"/>
  <c r="G6" i="7" s="1"/>
  <c r="P22" i="7"/>
  <c r="V6" i="7" s="1"/>
  <c r="P19" i="7"/>
  <c r="M6" i="7" s="1"/>
  <c r="D6" i="7"/>
  <c r="BE292" i="1" l="1"/>
  <c r="BE289" i="1"/>
  <c r="BG291" i="1"/>
  <c r="BI289" i="1"/>
  <c r="BG290" i="1"/>
  <c r="BI291" i="1"/>
  <c r="BG292" i="1"/>
  <c r="D135" i="6"/>
  <c r="G134" i="6"/>
  <c r="C134" i="6"/>
  <c r="H134" i="6"/>
  <c r="E134" i="6"/>
  <c r="F134" i="6" s="1"/>
  <c r="BI290" i="1"/>
  <c r="BE290" i="1"/>
  <c r="BI292" i="1"/>
  <c r="BG289" i="1"/>
  <c r="BE291" i="1"/>
  <c r="H135" i="6"/>
  <c r="G135" i="6"/>
  <c r="C135" i="6"/>
  <c r="D134" i="6"/>
  <c r="E135" i="6"/>
  <c r="F135" i="6" s="1"/>
  <c r="M17" i="7"/>
  <c r="F3" i="7" s="1"/>
  <c r="E4" i="6"/>
  <c r="P32" i="7" s="1"/>
  <c r="E6" i="6"/>
  <c r="E8" i="6"/>
  <c r="P34" i="7" s="1"/>
  <c r="E3" i="6"/>
  <c r="P31" i="7" s="1"/>
  <c r="E9" i="6"/>
  <c r="P35" i="7" s="1"/>
  <c r="E7" i="6"/>
  <c r="E10" i="6"/>
  <c r="E5" i="6"/>
  <c r="P33" i="7" s="1"/>
  <c r="M22" i="7"/>
  <c r="U3" i="7" s="1"/>
  <c r="E11" i="6"/>
  <c r="P36" i="7" s="1"/>
  <c r="N16" i="7"/>
  <c r="C4" i="7" s="1"/>
  <c r="N127" i="6"/>
  <c r="R141" i="6" s="1"/>
  <c r="N130" i="6"/>
  <c r="P6" i="8"/>
  <c r="M7" i="8"/>
  <c r="P16" i="8"/>
  <c r="D6" i="8" s="1"/>
  <c r="S8" i="8"/>
  <c r="M8" i="8"/>
  <c r="G8" i="8"/>
  <c r="S6" i="8"/>
  <c r="P7" i="8"/>
  <c r="G6" i="8"/>
  <c r="Q16" i="8"/>
  <c r="D7" i="8" s="1"/>
  <c r="S7" i="8"/>
  <c r="J6" i="8"/>
  <c r="G7" i="8"/>
  <c r="P8" i="8"/>
  <c r="J8" i="8"/>
  <c r="R16" i="8"/>
  <c r="D8" i="8" s="1"/>
  <c r="M6" i="8"/>
  <c r="J7" i="8"/>
  <c r="C3" i="7"/>
  <c r="O31" i="7"/>
  <c r="O32" i="7"/>
  <c r="O3" i="7"/>
  <c r="O35" i="7"/>
  <c r="L4" i="7"/>
  <c r="O5" i="7"/>
  <c r="Q35" i="7"/>
  <c r="R3" i="7"/>
  <c r="AB106" i="6"/>
  <c r="AB105" i="6"/>
  <c r="AB103" i="6"/>
  <c r="AB104" i="6"/>
  <c r="AB108" i="6"/>
  <c r="AB107" i="6"/>
  <c r="I4" i="7"/>
  <c r="O36" i="7"/>
  <c r="I5" i="7"/>
  <c r="Q33" i="7"/>
  <c r="L5" i="7"/>
  <c r="Q34" i="7"/>
  <c r="L3" i="7"/>
  <c r="O34" i="7"/>
  <c r="F4" i="7"/>
  <c r="U5" i="7"/>
  <c r="Q36" i="7"/>
  <c r="R4" i="7"/>
  <c r="C106" i="6"/>
  <c r="M124" i="6"/>
  <c r="I3" i="7"/>
  <c r="O33" i="7"/>
  <c r="U4" i="7"/>
  <c r="O4" i="7"/>
  <c r="C5" i="7"/>
  <c r="Q31" i="7"/>
  <c r="F5" i="7"/>
  <c r="Q32" i="7"/>
  <c r="R5" i="7"/>
  <c r="BF291" i="1" l="1"/>
  <c r="BL291" i="1" s="1"/>
  <c r="BP291" i="1"/>
  <c r="BJ292" i="1"/>
  <c r="BN292" i="1" s="1"/>
  <c r="BR292" i="1"/>
  <c r="BD290" i="1"/>
  <c r="BK290" i="1" s="1"/>
  <c r="BO290" i="1"/>
  <c r="BD292" i="1"/>
  <c r="BK292" i="1" s="1"/>
  <c r="BO292" i="1"/>
  <c r="BG237" i="1"/>
  <c r="BI233" i="1" s="1"/>
  <c r="BJ291" i="1"/>
  <c r="BN291" i="1" s="1"/>
  <c r="BR291" i="1"/>
  <c r="BJ289" i="1"/>
  <c r="BN289" i="1" s="1"/>
  <c r="BR289" i="1"/>
  <c r="BD291" i="1"/>
  <c r="BK291" i="1" s="1"/>
  <c r="BO291" i="1"/>
  <c r="BF292" i="1"/>
  <c r="BL292" i="1" s="1"/>
  <c r="BP292" i="1"/>
  <c r="BH289" i="1"/>
  <c r="BM289" i="1" s="1"/>
  <c r="BQ289" i="1"/>
  <c r="BO289" i="1"/>
  <c r="BK289" i="1"/>
  <c r="BF290" i="1"/>
  <c r="BL290" i="1" s="1"/>
  <c r="BP290" i="1"/>
  <c r="BJ290" i="1"/>
  <c r="BN290" i="1" s="1"/>
  <c r="BR290" i="1"/>
  <c r="BH292" i="1"/>
  <c r="BM292" i="1" s="1"/>
  <c r="BQ292" i="1"/>
  <c r="BH290" i="1"/>
  <c r="BM290" i="1" s="1"/>
  <c r="BQ290" i="1"/>
  <c r="BH291" i="1"/>
  <c r="BM291" i="1" s="1"/>
  <c r="BQ291" i="1"/>
  <c r="BP289" i="1"/>
  <c r="BF289" i="1"/>
  <c r="BL289" i="1" s="1"/>
  <c r="C3" i="8"/>
  <c r="O4" i="8"/>
  <c r="F5" i="8"/>
  <c r="R5" i="8"/>
  <c r="O3" i="8"/>
  <c r="I3" i="8"/>
  <c r="I4" i="8"/>
  <c r="I5" i="8"/>
  <c r="F4" i="8"/>
  <c r="R3" i="8"/>
  <c r="L3" i="8"/>
  <c r="R4" i="8"/>
  <c r="C4" i="8"/>
  <c r="L5" i="8"/>
  <c r="M130" i="6"/>
  <c r="D106" i="6"/>
  <c r="N114" i="6" s="1"/>
  <c r="N115" i="6" s="1"/>
  <c r="F3" i="8"/>
  <c r="L4" i="8"/>
  <c r="C5" i="8"/>
  <c r="O5" i="8"/>
  <c r="R107" i="6"/>
  <c r="S107" i="6"/>
  <c r="R104" i="6"/>
  <c r="S104" i="6"/>
  <c r="R105" i="6"/>
  <c r="S105" i="6"/>
  <c r="S108" i="6"/>
  <c r="R108" i="6"/>
  <c r="R103" i="6"/>
  <c r="S103" i="6"/>
  <c r="R106" i="6"/>
  <c r="S106" i="6"/>
  <c r="BC219" i="1"/>
  <c r="BC220" i="1" s="1"/>
  <c r="D54" i="2"/>
  <c r="AD136" i="2"/>
  <c r="AD137" i="2"/>
  <c r="C54" i="2"/>
  <c r="E54" i="2"/>
  <c r="A164" i="2"/>
  <c r="N162" i="2"/>
  <c r="J158" i="2"/>
  <c r="O168" i="2"/>
  <c r="Q167" i="2"/>
  <c r="M178" i="2"/>
  <c r="O158" i="2"/>
  <c r="N178" i="2"/>
  <c r="L163" i="2"/>
  <c r="Q162" i="2"/>
  <c r="S158" i="2"/>
  <c r="J163" i="2"/>
  <c r="L168" i="2"/>
  <c r="K162" i="2"/>
  <c r="R177" i="2"/>
  <c r="O177" i="2"/>
  <c r="P157" i="2"/>
  <c r="K177" i="2"/>
  <c r="M177" i="2"/>
  <c r="K157" i="2"/>
  <c r="J167" i="2"/>
  <c r="J168" i="2"/>
  <c r="O150" i="2"/>
  <c r="K167" i="2"/>
  <c r="L150" i="2"/>
  <c r="S167" i="2"/>
  <c r="P163" i="2"/>
  <c r="K158" i="2"/>
  <c r="M158" i="2"/>
  <c r="L158" i="2"/>
  <c r="P177" i="2"/>
  <c r="K150" i="2"/>
  <c r="S168" i="2"/>
  <c r="R167" i="2"/>
  <c r="J157" i="2"/>
  <c r="Q157" i="2"/>
  <c r="R158" i="2"/>
  <c r="M168" i="2"/>
  <c r="P168" i="2"/>
  <c r="P150" i="2"/>
  <c r="M162" i="2"/>
  <c r="S178" i="2"/>
  <c r="L178" i="2"/>
  <c r="S177" i="2"/>
  <c r="N177" i="2"/>
  <c r="O167" i="2"/>
  <c r="R163" i="2"/>
  <c r="M157" i="2"/>
  <c r="S157" i="2"/>
  <c r="O178" i="2"/>
  <c r="P162" i="2"/>
  <c r="L157" i="2"/>
  <c r="O162" i="2"/>
  <c r="N158" i="2"/>
  <c r="J162" i="2"/>
  <c r="K178" i="2"/>
  <c r="M163" i="2"/>
  <c r="L167" i="2"/>
  <c r="P158" i="2"/>
  <c r="Q158" i="2"/>
  <c r="O157" i="2"/>
  <c r="N157" i="2"/>
  <c r="K163" i="2"/>
  <c r="N168" i="2"/>
  <c r="M167" i="2"/>
  <c r="Q177" i="2"/>
  <c r="O163" i="2"/>
  <c r="P167" i="2"/>
  <c r="N167" i="2"/>
  <c r="S162" i="2"/>
  <c r="R178" i="2"/>
  <c r="L177" i="2"/>
  <c r="R168" i="2"/>
  <c r="R162" i="2"/>
  <c r="R157" i="2"/>
  <c r="N163" i="2"/>
  <c r="Q178" i="2"/>
  <c r="S163" i="2"/>
  <c r="K168" i="2"/>
  <c r="J178" i="2"/>
  <c r="P178" i="2"/>
  <c r="Q163" i="2"/>
  <c r="Q168" i="2"/>
  <c r="J177" i="2"/>
  <c r="Q150" i="2"/>
  <c r="L162" i="2"/>
  <c r="Z181" i="2" l="1"/>
  <c r="Z172" i="2"/>
  <c r="Z166" i="2"/>
  <c r="Z162" i="2"/>
  <c r="W172" i="2"/>
  <c r="W161" i="2"/>
  <c r="W166" i="2"/>
  <c r="X162" i="2"/>
  <c r="X172" i="2"/>
  <c r="X167" i="2"/>
  <c r="Y172" i="2"/>
  <c r="Y166" i="2"/>
  <c r="Y162" i="2"/>
  <c r="X181" i="2"/>
  <c r="W181" i="2"/>
  <c r="Y181" i="2"/>
  <c r="Z171" i="2"/>
  <c r="Z167" i="2"/>
  <c r="Z161" i="2"/>
  <c r="W162" i="2"/>
  <c r="W171" i="2"/>
  <c r="W167" i="2"/>
  <c r="X161" i="2"/>
  <c r="X166" i="2"/>
  <c r="X171" i="2"/>
  <c r="Y171" i="2"/>
  <c r="Y167" i="2"/>
  <c r="Y161" i="2"/>
  <c r="BH236" i="1"/>
  <c r="BH235" i="1"/>
  <c r="BI235" i="1"/>
  <c r="BH234" i="1"/>
  <c r="BH233" i="1"/>
  <c r="BI234" i="1"/>
  <c r="AD140" i="2"/>
  <c r="AE136" i="2" s="1"/>
  <c r="AD138" i="2"/>
  <c r="AE137" i="2"/>
  <c r="AE138" i="2" l="1"/>
  <c r="AE134" i="2"/>
  <c r="AE133" i="2"/>
  <c r="AF135" i="2"/>
  <c r="AF133" i="2"/>
  <c r="AF134" i="2"/>
  <c r="AD139" i="2"/>
  <c r="AE135" i="2"/>
  <c r="AF137" i="2"/>
  <c r="AF136" i="2"/>
  <c r="AE139" i="2" l="1"/>
  <c r="AE140" i="2" s="1"/>
  <c r="AF139" i="2"/>
  <c r="AF140" i="2" s="1"/>
  <c r="X149" i="1"/>
  <c r="W252" i="1"/>
  <c r="X252" i="1" s="1"/>
  <c r="W253" i="1"/>
  <c r="X253" i="1" s="1"/>
  <c r="W254" i="1" l="1"/>
  <c r="X254" i="1" s="1"/>
  <c r="M127" i="6"/>
  <c r="BI304" i="1"/>
  <c r="BC287" i="1"/>
  <c r="BD287" i="1" s="1"/>
  <c r="BE287" i="1"/>
  <c r="BF287" i="1" s="1"/>
  <c r="BG287" i="1"/>
  <c r="BH287" i="1" s="1"/>
  <c r="BI287" i="1"/>
  <c r="BJ287" i="1" s="1"/>
  <c r="BG304" i="1"/>
  <c r="BQ297" i="1" s="1"/>
  <c r="BE304" i="1"/>
  <c r="BP297" i="1" s="1"/>
  <c r="BC288" i="1"/>
  <c r="BI288" i="1"/>
  <c r="BJ303" i="1" s="1"/>
  <c r="BN296" i="1" s="1"/>
  <c r="BG288" i="1"/>
  <c r="BC304" i="1"/>
  <c r="BO297" i="1" s="1"/>
  <c r="BE288" i="1"/>
  <c r="BF288" i="1" s="1"/>
  <c r="BH288" i="1" l="1"/>
  <c r="BH301" i="1"/>
  <c r="BM294" i="1" s="1"/>
  <c r="BD301" i="1"/>
  <c r="BK294" i="1" s="1"/>
  <c r="BD288" i="1"/>
  <c r="BI305" i="1"/>
  <c r="BR298" i="1" s="1"/>
  <c r="BJ304" i="1"/>
  <c r="BN297" i="1" s="1"/>
  <c r="BJ302" i="1"/>
  <c r="BN295" i="1" s="1"/>
  <c r="BE305" i="1"/>
  <c r="BD304" i="1"/>
  <c r="BK297" i="1" s="1"/>
  <c r="BH303" i="1"/>
  <c r="BM296" i="1" s="1"/>
  <c r="BH302" i="1"/>
  <c r="BM295" i="1" s="1"/>
  <c r="BG305" i="1"/>
  <c r="BC305" i="1"/>
  <c r="BH304" i="1"/>
  <c r="BM297" i="1" s="1"/>
  <c r="BJ288" i="1"/>
  <c r="BF304" i="1"/>
  <c r="BL297" i="1" s="1"/>
  <c r="BF303" i="1"/>
  <c r="BL296" i="1" s="1"/>
  <c r="BF301" i="1"/>
  <c r="BL294" i="1" s="1"/>
  <c r="BF302" i="1"/>
  <c r="BL295" i="1" s="1"/>
  <c r="BD302" i="1"/>
  <c r="BK295" i="1" s="1"/>
  <c r="BD303" i="1"/>
  <c r="BK296" i="1" s="1"/>
  <c r="BJ301" i="1"/>
  <c r="BN294" i="1" s="1"/>
  <c r="BR297" i="1"/>
  <c r="BJ305" i="1" l="1"/>
  <c r="BN298" i="1" s="1"/>
  <c r="BO298" i="1"/>
  <c r="BD305" i="1"/>
  <c r="BK298" i="1" s="1"/>
  <c r="BP298" i="1"/>
  <c r="BF305" i="1"/>
  <c r="BL298" i="1" s="1"/>
  <c r="BQ298" i="1"/>
  <c r="BH305" i="1"/>
  <c r="BM298" i="1" s="1"/>
  <c r="K134" i="6"/>
  <c r="K133" i="6"/>
  <c r="G33" i="14" l="1"/>
  <c r="F33" i="14"/>
  <c r="D30" i="14"/>
  <c r="C29" i="14"/>
  <c r="C26" i="14"/>
  <c r="D29" i="14"/>
  <c r="D27" i="14"/>
  <c r="D25" i="14"/>
  <c r="D24" i="14"/>
  <c r="D23" i="14"/>
  <c r="D26" i="14"/>
  <c r="F5" i="14"/>
  <c r="E5" i="14"/>
  <c r="E6" i="14"/>
  <c r="F3" i="14"/>
  <c r="E27" i="14"/>
  <c r="J33" i="14" l="1"/>
  <c r="I33" i="14"/>
  <c r="E30" i="14"/>
  <c r="F10" i="14"/>
  <c r="M13" i="14"/>
  <c r="L13" i="14"/>
  <c r="D33" i="14"/>
  <c r="C33" i="14"/>
  <c r="C30" i="14"/>
  <c r="D13" i="14"/>
  <c r="C10" i="14"/>
  <c r="C13" i="14"/>
  <c r="G13" i="14"/>
  <c r="F13" i="14"/>
  <c r="D10" i="14"/>
  <c r="E10" i="14"/>
  <c r="I13" i="14"/>
  <c r="J13" i="14"/>
  <c r="M33" i="14"/>
  <c r="L33" i="14"/>
  <c r="F30" i="14"/>
  <c r="J6" i="14"/>
  <c r="F11" i="14"/>
  <c r="E25" i="14"/>
  <c r="E3" i="14"/>
  <c r="C9" i="14"/>
  <c r="C4" i="14"/>
  <c r="C7" i="14"/>
  <c r="C5" i="14"/>
  <c r="C3" i="14"/>
  <c r="C6" i="14"/>
  <c r="I23" i="14"/>
  <c r="C25" i="14"/>
  <c r="E24" i="14"/>
  <c r="E26" i="14"/>
  <c r="E4" i="14"/>
  <c r="J4" i="14" s="1"/>
  <c r="I24" i="14"/>
  <c r="C27" i="14"/>
  <c r="H27" i="14" s="1"/>
  <c r="E29" i="14"/>
  <c r="E9" i="14"/>
  <c r="F7" i="14"/>
  <c r="D9" i="14"/>
  <c r="D6" i="14"/>
  <c r="D4" i="14"/>
  <c r="D7" i="14"/>
  <c r="D5" i="14"/>
  <c r="D3" i="14"/>
  <c r="F4" i="14"/>
  <c r="K4" i="14" s="1"/>
  <c r="J5" i="14"/>
  <c r="E11" i="14"/>
  <c r="D31" i="14"/>
  <c r="I25" i="14"/>
  <c r="E7" i="14"/>
  <c r="J7" i="14" s="1"/>
  <c r="F6" i="14"/>
  <c r="H26" i="14"/>
  <c r="E23" i="14"/>
  <c r="F9" i="14"/>
  <c r="C23" i="14"/>
  <c r="F29" i="14"/>
  <c r="F27" i="14"/>
  <c r="F26" i="14"/>
  <c r="F25" i="14"/>
  <c r="F24" i="14"/>
  <c r="F23" i="14"/>
  <c r="I27" i="14"/>
  <c r="I26" i="14"/>
  <c r="C24" i="14"/>
  <c r="H24" i="14" l="1"/>
  <c r="J24" i="14"/>
  <c r="I4" i="14"/>
  <c r="H23" i="14"/>
  <c r="H3" i="14"/>
  <c r="K23" i="14"/>
  <c r="J3" i="14"/>
  <c r="K27" i="14"/>
  <c r="K26" i="14"/>
  <c r="K24" i="14"/>
  <c r="I5" i="14"/>
  <c r="D11" i="14"/>
  <c r="H7" i="14"/>
  <c r="H6" i="14"/>
  <c r="F31" i="14"/>
  <c r="K25" i="14"/>
  <c r="K7" i="14"/>
  <c r="K6" i="14"/>
  <c r="J23" i="14"/>
  <c r="I7" i="14"/>
  <c r="I6" i="14"/>
  <c r="H4" i="14"/>
  <c r="J27" i="14"/>
  <c r="J26" i="14"/>
  <c r="H5" i="14"/>
  <c r="C11" i="14"/>
  <c r="K3" i="14"/>
  <c r="C31" i="14"/>
  <c r="H25" i="14"/>
  <c r="E31" i="14"/>
  <c r="J25" i="14"/>
  <c r="K5" i="14"/>
  <c r="I3" i="14"/>
</calcChain>
</file>

<file path=xl/comments1.xml><?xml version="1.0" encoding="utf-8"?>
<comments xmlns="http://schemas.openxmlformats.org/spreadsheetml/2006/main">
  <authors>
    <author>Author</author>
    <author>Sean Ong</author>
    <author>song</author>
    <author>ccampbel</author>
    <author>Clinton Campbell</author>
    <author>Windows User</author>
  </authors>
  <commentList>
    <comment ref="E2" authorId="0">
      <text>
        <r>
          <rPr>
            <b/>
            <sz val="8"/>
            <color indexed="81"/>
            <rFont val="Tahoma"/>
            <family val="2"/>
          </rPr>
          <t>Author:</t>
        </r>
        <r>
          <rPr>
            <sz val="8"/>
            <color indexed="81"/>
            <rFont val="Tahoma"/>
            <family val="2"/>
          </rPr>
          <t xml:space="preserve">
Green highlight means that original AC data was included. White means that AC data was based on the weighted average of all other PV farms that had AC data</t>
        </r>
      </text>
    </comment>
    <comment ref="T2" authorId="1">
      <text>
        <r>
          <rPr>
            <b/>
            <sz val="8"/>
            <color indexed="81"/>
            <rFont val="Tahoma"/>
            <family val="2"/>
          </rPr>
          <t>Sean Ong:</t>
        </r>
        <r>
          <rPr>
            <sz val="8"/>
            <color indexed="81"/>
            <rFont val="Tahoma"/>
            <family val="2"/>
          </rPr>
          <t xml:space="preserve">
Not all the calculations are of the same form. Some of them are based on measured values in visio while others are based on values given in the CAD drawings where available. Moreover, the cad drawings may be a variation of "post to post" vs "last edge to first edge." but all the final values given is the described in this cell's title.</t>
        </r>
      </text>
    </comment>
    <comment ref="U2" authorId="2">
      <text>
        <r>
          <rPr>
            <b/>
            <sz val="8"/>
            <color indexed="81"/>
            <rFont val="Tahoma"/>
            <family val="2"/>
          </rPr>
          <t>song:</t>
        </r>
        <r>
          <rPr>
            <sz val="8"/>
            <color indexed="81"/>
            <rFont val="Tahoma"/>
            <family val="2"/>
          </rPr>
          <t xml:space="preserve">
Land use and electricity generation: A life-cycle analysis
Vasilis Fthenakis a,b,*, Hyung Chul Kim b
see the above paper for packing factor definition, or just look at the formula in each cell</t>
        </r>
      </text>
    </comment>
    <comment ref="AA2" authorId="1">
      <text>
        <r>
          <rPr>
            <b/>
            <sz val="8"/>
            <color indexed="81"/>
            <rFont val="Tahoma"/>
            <family val="2"/>
          </rPr>
          <t>Sean Ong:</t>
        </r>
        <r>
          <rPr>
            <sz val="8"/>
            <color indexed="81"/>
            <rFont val="Tahoma"/>
            <family val="2"/>
          </rPr>
          <t xml:space="preserve">
Shape for total area
R = Rectangular
P = Polygon
I = Irregular</t>
        </r>
      </text>
    </comment>
    <comment ref="F8" authorId="3">
      <text>
        <r>
          <rPr>
            <b/>
            <sz val="8"/>
            <color indexed="81"/>
            <rFont val="Tahoma"/>
            <family val="2"/>
          </rPr>
          <t>ccampbel:</t>
        </r>
        <r>
          <rPr>
            <sz val="8"/>
            <color indexed="81"/>
            <rFont val="Tahoma"/>
            <family val="2"/>
          </rPr>
          <t xml:space="preserve">
only see data for 1000 kW system.</t>
        </r>
      </text>
    </comment>
    <comment ref="H8" authorId="3">
      <text>
        <r>
          <rPr>
            <b/>
            <sz val="8"/>
            <color indexed="81"/>
            <rFont val="Tahoma"/>
            <family val="2"/>
          </rPr>
          <t>ccampbel:</t>
        </r>
        <r>
          <rPr>
            <sz val="8"/>
            <color indexed="81"/>
            <rFont val="Tahoma"/>
            <family val="2"/>
          </rPr>
          <t xml:space="preserve">
5504 after completion</t>
        </r>
      </text>
    </comment>
    <comment ref="J8" authorId="3">
      <text>
        <r>
          <rPr>
            <b/>
            <sz val="8"/>
            <color indexed="81"/>
            <rFont val="Tahoma"/>
            <family val="2"/>
          </rPr>
          <t>ccampbel:</t>
        </r>
        <r>
          <rPr>
            <sz val="8"/>
            <color indexed="81"/>
            <rFont val="Tahoma"/>
            <family val="2"/>
          </rPr>
          <t xml:space="preserve">
approximating with map to fence and parking lot is 6.85 acres</t>
        </r>
      </text>
    </comment>
    <comment ref="T9" authorId="4">
      <text>
        <r>
          <rPr>
            <b/>
            <sz val="9"/>
            <color indexed="81"/>
            <rFont val="Tahoma"/>
            <family val="2"/>
          </rPr>
          <t>Clinton Campbell:</t>
        </r>
        <r>
          <rPr>
            <sz val="9"/>
            <color indexed="81"/>
            <rFont val="Tahoma"/>
            <family val="2"/>
          </rPr>
          <t xml:space="preserve">
</t>
        </r>
      </text>
    </comment>
    <comment ref="F10" authorId="3">
      <text>
        <r>
          <rPr>
            <b/>
            <sz val="8"/>
            <color indexed="81"/>
            <rFont val="Tahoma"/>
            <family val="2"/>
          </rPr>
          <t>ccampbel:</t>
        </r>
        <r>
          <rPr>
            <sz val="8"/>
            <color indexed="81"/>
            <rFont val="Tahoma"/>
            <family val="2"/>
          </rPr>
          <t xml:space="preserve">
3918KWdc, 3500KWac,Some of this is on buildings and at other sites.
</t>
        </r>
      </text>
    </comment>
    <comment ref="B11" authorId="0">
      <text>
        <r>
          <rPr>
            <b/>
            <sz val="8"/>
            <color indexed="81"/>
            <rFont val="Tahoma"/>
            <family val="2"/>
          </rPr>
          <t>Author:</t>
        </r>
        <r>
          <rPr>
            <sz val="8"/>
            <color indexed="81"/>
            <rFont val="Tahoma"/>
            <family val="2"/>
          </rPr>
          <t xml:space="preserve">
Also known as Anheuser Busch Fairfield</t>
        </r>
      </text>
    </comment>
    <comment ref="J18" authorId="3">
      <text>
        <r>
          <rPr>
            <b/>
            <sz val="8"/>
            <color indexed="81"/>
            <rFont val="Tahoma"/>
            <family val="2"/>
          </rPr>
          <t>ccampbel:</t>
        </r>
        <r>
          <rPr>
            <sz val="8"/>
            <color indexed="81"/>
            <rFont val="Tahoma"/>
            <family val="2"/>
          </rPr>
          <t xml:space="preserve">
datasheet says total 11.4 and useable is 9.154
</t>
        </r>
      </text>
    </comment>
    <comment ref="E19" authorId="3">
      <text>
        <r>
          <rPr>
            <b/>
            <sz val="8"/>
            <color indexed="81"/>
            <rFont val="Tahoma"/>
            <family val="2"/>
          </rPr>
          <t>ccampbel:</t>
        </r>
        <r>
          <rPr>
            <sz val="8"/>
            <color indexed="81"/>
            <rFont val="Tahoma"/>
            <family val="2"/>
          </rPr>
          <t xml:space="preserve">
assuming the 1MW label is ac, since calculated capacity is 1.16MW
</t>
        </r>
      </text>
    </comment>
    <comment ref="F19" authorId="3">
      <text>
        <r>
          <rPr>
            <b/>
            <sz val="8"/>
            <color indexed="81"/>
            <rFont val="Tahoma"/>
            <family val="2"/>
          </rPr>
          <t>ccampbel:</t>
        </r>
        <r>
          <rPr>
            <sz val="8"/>
            <color indexed="81"/>
            <rFont val="Tahoma"/>
            <family val="2"/>
          </rPr>
          <t xml:space="preserve">
225w*5152 panels
</t>
        </r>
      </text>
    </comment>
    <comment ref="AD20" authorId="0">
      <text>
        <r>
          <rPr>
            <b/>
            <sz val="8"/>
            <color indexed="81"/>
            <rFont val="Tahoma"/>
            <family val="2"/>
          </rPr>
          <t>Author:</t>
        </r>
        <r>
          <rPr>
            <sz val="8"/>
            <color indexed="81"/>
            <rFont val="Tahoma"/>
            <family val="2"/>
          </rPr>
          <t xml:space="preserve">
I could not find any efficiency or technology data for these specific modules (I downloaded the datasheets from kyocera, but this information was not in there). But I used data from the 2008 photon survey to come up with a close approximation. I used data from the KD205GH-2P model.</t>
        </r>
      </text>
    </comment>
    <comment ref="F22" authorId="3">
      <text>
        <r>
          <rPr>
            <b/>
            <sz val="8"/>
            <color indexed="81"/>
            <rFont val="Tahoma"/>
            <family val="2"/>
          </rPr>
          <t>ccampbel:</t>
        </r>
        <r>
          <rPr>
            <sz val="8"/>
            <color indexed="81"/>
            <rFont val="Tahoma"/>
            <family val="2"/>
          </rPr>
          <t xml:space="preserve">
was 2000, second phase of 3.5MW completed December 2010.  Look below for second phase</t>
        </r>
      </text>
    </comment>
    <comment ref="J22" authorId="3">
      <text>
        <r>
          <rPr>
            <b/>
            <sz val="8"/>
            <color indexed="81"/>
            <rFont val="Tahoma"/>
            <family val="2"/>
          </rPr>
          <t>ccampbel:</t>
        </r>
        <r>
          <rPr>
            <sz val="8"/>
            <color indexed="81"/>
            <rFont val="Tahoma"/>
            <family val="2"/>
          </rPr>
          <t xml:space="preserve">
Total declared for first phase was 15 acres
</t>
        </r>
      </text>
    </comment>
    <comment ref="AA22" authorId="2">
      <text>
        <r>
          <rPr>
            <b/>
            <sz val="8"/>
            <color indexed="81"/>
            <rFont val="Tahoma"/>
            <family val="2"/>
          </rPr>
          <t>song:</t>
        </r>
        <r>
          <rPr>
            <sz val="8"/>
            <color indexed="81"/>
            <rFont val="Tahoma"/>
            <family val="2"/>
          </rPr>
          <t xml:space="preserve">
based on photos of this plant, so sat imagery of this plant at time of writing this</t>
        </r>
      </text>
    </comment>
    <comment ref="AA23" authorId="2">
      <text>
        <r>
          <rPr>
            <b/>
            <sz val="8"/>
            <color indexed="81"/>
            <rFont val="Tahoma"/>
            <family val="2"/>
          </rPr>
          <t>song:</t>
        </r>
        <r>
          <rPr>
            <sz val="8"/>
            <color indexed="81"/>
            <rFont val="Tahoma"/>
            <family val="2"/>
          </rPr>
          <t xml:space="preserve">
http://www.google.com/imgres?imgurl=http://www.sincerelysustainable.com/wp-content/uploads/2009/08/DIA-Solar-Field.jpg&amp;imgrefurl=http://www.sincerelysustainable.com/renewable-energy/solar-renewable-energy/denver-airport-expanding-its-solar-usage-significantly&amp;usg=__OWIfzpglGnDFUYc1kaHERm6FcdA=&amp;h=434&amp;w=654&amp;sz=83&amp;hl=en&amp;start=1&amp;sig2=E0RbDbByeN6-sz1SlNrlBA&amp;um=1&amp;itbs=1&amp;tbnid=NX-9dD25JMCQcM:&amp;tbnh=92&amp;tbnw=138&amp;prev=/images%3Fq%3DDIA%2Bsolar%26um%3D1%26hl%3Den%26safe%3Dactive%26sa%3DX%26qscrl%3D1%26tbs%3Disch:1&amp;ei=Z0cuTIWgHsyDnged4I33BA</t>
        </r>
      </text>
    </comment>
    <comment ref="F25" authorId="3">
      <text>
        <r>
          <rPr>
            <b/>
            <sz val="8"/>
            <color indexed="81"/>
            <rFont val="Tahoma"/>
            <family val="2"/>
          </rPr>
          <t>ccampbel:</t>
        </r>
        <r>
          <rPr>
            <sz val="8"/>
            <color indexed="81"/>
            <rFont val="Tahoma"/>
            <family val="2"/>
          </rPr>
          <t xml:space="preserve">
stated as DC
</t>
        </r>
      </text>
    </comment>
    <comment ref="AB25" authorId="3">
      <text>
        <r>
          <rPr>
            <b/>
            <sz val="8"/>
            <color indexed="81"/>
            <rFont val="Tahoma"/>
            <family val="2"/>
          </rPr>
          <t>ccampbel:</t>
        </r>
        <r>
          <rPr>
            <sz val="8"/>
            <color indexed="81"/>
            <rFont val="Tahoma"/>
            <family val="2"/>
          </rPr>
          <t xml:space="preserve">
weighted average of 16.7 and 14.3%
</t>
        </r>
      </text>
    </comment>
    <comment ref="B26" authorId="1">
      <text>
        <r>
          <rPr>
            <b/>
            <sz val="8"/>
            <color indexed="81"/>
            <rFont val="Tahoma"/>
            <family val="2"/>
          </rPr>
          <t>Sean Ong:</t>
        </r>
        <r>
          <rPr>
            <sz val="8"/>
            <color indexed="81"/>
            <rFont val="Tahoma"/>
            <family val="2"/>
          </rPr>
          <t xml:space="preserve">
Prescott Solar Plant comprised of 1axis and 2axis tracking, seperated here.
There are two different types of 1-axis tracking (horizontal, and tilted). This section only represents the horizontal. The tilted is an additional 384 kW DC. I will add that in the future.</t>
        </r>
      </text>
    </comment>
    <comment ref="J26" authorId="1">
      <text>
        <r>
          <rPr>
            <b/>
            <sz val="8"/>
            <color indexed="81"/>
            <rFont val="Tahoma"/>
            <family val="2"/>
          </rPr>
          <t>Sean Ong:</t>
        </r>
        <r>
          <rPr>
            <sz val="8"/>
            <color indexed="81"/>
            <rFont val="Tahoma"/>
            <family val="2"/>
          </rPr>
          <t xml:space="preserve">
Since this project is not yet complete, I didn't base calcs on 50 acres, but just the "road perimeter" around the respective arrays (see visio file)</t>
        </r>
      </text>
    </comment>
    <comment ref="A27" authorId="3">
      <text>
        <r>
          <rPr>
            <b/>
            <sz val="8"/>
            <color indexed="81"/>
            <rFont val="Tahoma"/>
            <family val="2"/>
          </rPr>
          <t>ccampbel:</t>
        </r>
        <r>
          <rPr>
            <sz val="8"/>
            <color indexed="81"/>
            <rFont val="Tahoma"/>
            <family val="2"/>
          </rPr>
          <t xml:space="preserve">
I don’t' think this ever made it off the ground, and the area was taken off of the prime solar energy list.</t>
        </r>
      </text>
    </comment>
    <comment ref="W27" authorId="2">
      <text>
        <r>
          <rPr>
            <b/>
            <sz val="8"/>
            <color indexed="81"/>
            <rFont val="Tahoma"/>
            <family val="2"/>
          </rPr>
          <t>song:</t>
        </r>
        <r>
          <rPr>
            <sz val="8"/>
            <color indexed="81"/>
            <rFont val="Tahoma"/>
            <family val="2"/>
          </rPr>
          <t xml:space="preserve">
"32952 Mountain View Road"</t>
        </r>
      </text>
    </comment>
    <comment ref="J28" authorId="3">
      <text>
        <r>
          <rPr>
            <b/>
            <sz val="8"/>
            <color indexed="81"/>
            <rFont val="Tahoma"/>
            <family val="2"/>
          </rPr>
          <t>ccampbel:</t>
        </r>
        <r>
          <rPr>
            <sz val="8"/>
            <color indexed="81"/>
            <rFont val="Tahoma"/>
            <family val="2"/>
          </rPr>
          <t xml:space="preserve">
From bing select area</t>
        </r>
      </text>
    </comment>
    <comment ref="F29" authorId="3">
      <text>
        <r>
          <rPr>
            <b/>
            <sz val="8"/>
            <color indexed="81"/>
            <rFont val="Tahoma"/>
            <family val="2"/>
          </rPr>
          <t>ccampbel:</t>
        </r>
        <r>
          <rPr>
            <sz val="8"/>
            <color indexed="81"/>
            <rFont val="Tahoma"/>
            <family val="2"/>
          </rPr>
          <t xml:space="preserve">
american capital energy says 4.4MWDC
http://www.americancapitalenergy.com/yardville-solar-farm/</t>
        </r>
      </text>
    </comment>
    <comment ref="Y29" authorId="4">
      <text>
        <r>
          <rPr>
            <b/>
            <sz val="9"/>
            <color indexed="81"/>
            <rFont val="Tahoma"/>
            <family val="2"/>
          </rPr>
          <t>Clinton Campbell:</t>
        </r>
        <r>
          <rPr>
            <sz val="9"/>
            <color indexed="81"/>
            <rFont val="Tahoma"/>
            <family val="2"/>
          </rPr>
          <t xml:space="preserve">
alternative power construction magazine winter 2010= looks like fixed axis in picture</t>
        </r>
      </text>
    </comment>
    <comment ref="O30" authorId="5">
      <text>
        <r>
          <rPr>
            <b/>
            <sz val="9"/>
            <color indexed="81"/>
            <rFont val="Tahoma"/>
            <family val="2"/>
          </rPr>
          <t>Windows User:</t>
        </r>
        <r>
          <rPr>
            <sz val="9"/>
            <color indexed="81"/>
            <rFont val="Tahoma"/>
            <family val="2"/>
          </rPr>
          <t xml:space="preserve">
specified in documents
</t>
        </r>
      </text>
    </comment>
    <comment ref="AE30" authorId="5">
      <text>
        <r>
          <rPr>
            <b/>
            <sz val="9"/>
            <color indexed="81"/>
            <rFont val="Tahoma"/>
            <family val="2"/>
          </rPr>
          <t>Windows User:</t>
        </r>
        <r>
          <rPr>
            <sz val="9"/>
            <color indexed="81"/>
            <rFont val="Tahoma"/>
            <family val="2"/>
          </rPr>
          <t xml:space="preserve">
sept 2011
 start 12 week build time</t>
        </r>
      </text>
    </comment>
    <comment ref="F33" authorId="3">
      <text>
        <r>
          <rPr>
            <b/>
            <sz val="8"/>
            <color indexed="81"/>
            <rFont val="Tahoma"/>
            <family val="2"/>
          </rPr>
          <t>ccampbel:</t>
        </r>
        <r>
          <rPr>
            <sz val="8"/>
            <color indexed="81"/>
            <rFont val="Tahoma"/>
            <family val="2"/>
          </rPr>
          <t xml:space="preserve">
http://www.slideshare.net/solarszaro/greenovations-ouc-presentation
specifies DC
</t>
        </r>
      </text>
    </comment>
    <comment ref="O34" authorId="5">
      <text>
        <r>
          <rPr>
            <b/>
            <sz val="9"/>
            <color indexed="81"/>
            <rFont val="Tahoma"/>
            <family val="2"/>
          </rPr>
          <t>Windows User:</t>
        </r>
        <r>
          <rPr>
            <sz val="9"/>
            <color indexed="81"/>
            <rFont val="Tahoma"/>
            <family val="2"/>
          </rPr>
          <t xml:space="preserve">
from project maps
</t>
        </r>
      </text>
    </comment>
    <comment ref="A35" authorId="3">
      <text>
        <r>
          <rPr>
            <b/>
            <sz val="8"/>
            <color indexed="81"/>
            <rFont val="Tahoma"/>
            <family val="2"/>
          </rPr>
          <t>ccampbel:</t>
        </r>
        <r>
          <rPr>
            <sz val="8"/>
            <color indexed="81"/>
            <rFont val="Tahoma"/>
            <family val="2"/>
          </rPr>
          <t xml:space="preserve">
found aerial image of site</t>
        </r>
      </text>
    </comment>
    <comment ref="AB37" authorId="5">
      <text>
        <r>
          <rPr>
            <b/>
            <sz val="9"/>
            <color indexed="81"/>
            <rFont val="Tahoma"/>
            <family val="2"/>
          </rPr>
          <t>Windows User:</t>
        </r>
        <r>
          <rPr>
            <sz val="9"/>
            <color indexed="81"/>
            <rFont val="Tahoma"/>
            <family val="2"/>
          </rPr>
          <t xml:space="preserve">
both poly and mono claimed the same efficiency rating on datasheets for 245W modules</t>
        </r>
      </text>
    </comment>
    <comment ref="B38"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J38"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AD38" authorId="0">
      <text>
        <r>
          <rPr>
            <b/>
            <sz val="8"/>
            <color indexed="81"/>
            <rFont val="Tahoma"/>
            <family val="2"/>
          </rPr>
          <t>Author:</t>
        </r>
        <r>
          <rPr>
            <sz val="8"/>
            <color indexed="81"/>
            <rFont val="Tahoma"/>
            <family val="2"/>
          </rPr>
          <t xml:space="preserve">
roughtly 10% of this is SUNTECH 280, no significant difference in technology, just different power</t>
        </r>
      </text>
    </comment>
    <comment ref="F39" authorId="5">
      <text>
        <r>
          <rPr>
            <b/>
            <sz val="9"/>
            <color indexed="81"/>
            <rFont val="Tahoma"/>
            <family val="2"/>
          </rPr>
          <t>Windows User:</t>
        </r>
        <r>
          <rPr>
            <sz val="9"/>
            <color indexed="81"/>
            <rFont val="Tahoma"/>
            <family val="2"/>
          </rPr>
          <t xml:space="preserve">
Specified DC
</t>
        </r>
      </text>
    </comment>
    <comment ref="W39" authorId="5">
      <text>
        <r>
          <rPr>
            <b/>
            <sz val="9"/>
            <color indexed="81"/>
            <rFont val="Tahoma"/>
            <family val="2"/>
          </rPr>
          <t>Windows User:</t>
        </r>
        <r>
          <rPr>
            <sz val="9"/>
            <color indexed="81"/>
            <rFont val="Tahoma"/>
            <family val="2"/>
          </rPr>
          <t xml:space="preserve">
approximate to city level</t>
        </r>
      </text>
    </comment>
    <comment ref="AB40" authorId="5">
      <text>
        <r>
          <rPr>
            <b/>
            <sz val="9"/>
            <color indexed="81"/>
            <rFont val="Tahoma"/>
            <family val="2"/>
          </rPr>
          <t>Windows User:</t>
        </r>
        <r>
          <rPr>
            <sz val="9"/>
            <color indexed="81"/>
            <rFont val="Tahoma"/>
            <family val="2"/>
          </rPr>
          <t xml:space="preserve">
assume E19 </t>
        </r>
      </text>
    </comment>
    <comment ref="G41" authorId="3">
      <text>
        <r>
          <rPr>
            <b/>
            <sz val="8"/>
            <color indexed="81"/>
            <rFont val="Tahoma"/>
            <family val="2"/>
          </rPr>
          <t>ccampbel:</t>
        </r>
        <r>
          <rPr>
            <sz val="8"/>
            <color indexed="81"/>
            <rFont val="Tahoma"/>
            <family val="2"/>
          </rPr>
          <t xml:space="preserve">
final cost was 60, proposed was 63
</t>
        </r>
      </text>
    </comment>
    <comment ref="F42" authorId="5">
      <text>
        <r>
          <rPr>
            <b/>
            <sz val="9"/>
            <color indexed="81"/>
            <rFont val="Tahoma"/>
            <family val="2"/>
          </rPr>
          <t>Windows User:</t>
        </r>
        <r>
          <rPr>
            <sz val="9"/>
            <color indexed="81"/>
            <rFont val="Tahoma"/>
            <family val="2"/>
          </rPr>
          <t xml:space="preserve">
specified dc
</t>
        </r>
      </text>
    </comment>
    <comment ref="AB42" authorId="5">
      <text>
        <r>
          <rPr>
            <b/>
            <sz val="9"/>
            <color indexed="81"/>
            <rFont val="Tahoma"/>
            <family val="2"/>
          </rPr>
          <t>Windows User:</t>
        </r>
        <r>
          <rPr>
            <sz val="9"/>
            <color indexed="81"/>
            <rFont val="Tahoma"/>
            <family val="2"/>
          </rPr>
          <t xml:space="preserve">
datasheets showed a range in the 14% for different types of panels
</t>
        </r>
      </text>
    </comment>
    <comment ref="J44" authorId="3">
      <text>
        <r>
          <rPr>
            <b/>
            <sz val="8"/>
            <color indexed="81"/>
            <rFont val="Tahoma"/>
            <family val="2"/>
          </rPr>
          <t>ccampbel:</t>
        </r>
        <r>
          <rPr>
            <sz val="8"/>
            <color indexed="81"/>
            <rFont val="Tahoma"/>
            <family val="2"/>
          </rPr>
          <t xml:space="preserve">
3 sites on 560 acres, other 2 on private land
</t>
        </r>
      </text>
    </comment>
    <comment ref="E45" authorId="5">
      <text>
        <r>
          <rPr>
            <b/>
            <sz val="9"/>
            <color indexed="81"/>
            <rFont val="Tahoma"/>
            <family val="2"/>
          </rPr>
          <t>Windows User:</t>
        </r>
        <r>
          <rPr>
            <sz val="9"/>
            <color indexed="81"/>
            <rFont val="Tahoma"/>
            <family val="2"/>
          </rPr>
          <t xml:space="preserve">
400 is actually fixed axis</t>
        </r>
      </text>
    </comment>
    <comment ref="O45" authorId="5">
      <text>
        <r>
          <rPr>
            <b/>
            <sz val="9"/>
            <color indexed="81"/>
            <rFont val="Tahoma"/>
            <family val="2"/>
          </rPr>
          <t>Windows User:</t>
        </r>
        <r>
          <rPr>
            <sz val="9"/>
            <color indexed="81"/>
            <rFont val="Tahoma"/>
            <family val="2"/>
          </rPr>
          <t xml:space="preserve">
redo when maps are updated</t>
        </r>
      </text>
    </comment>
    <comment ref="F46" authorId="5">
      <text>
        <r>
          <rPr>
            <b/>
            <sz val="9"/>
            <color indexed="81"/>
            <rFont val="Tahoma"/>
            <family val="2"/>
          </rPr>
          <t>Windows User:</t>
        </r>
        <r>
          <rPr>
            <sz val="9"/>
            <color indexed="81"/>
            <rFont val="Tahoma"/>
            <family val="2"/>
          </rPr>
          <t xml:space="preserve">
http://www.weitz.com/project/aps-prescott/
specified 11.75MW, not 10MW</t>
        </r>
      </text>
    </comment>
    <comment ref="O47" authorId="3">
      <text>
        <r>
          <rPr>
            <b/>
            <sz val="8"/>
            <color indexed="81"/>
            <rFont val="Tahoma"/>
            <family val="2"/>
          </rPr>
          <t>ccampbel:</t>
        </r>
        <r>
          <rPr>
            <sz val="8"/>
            <color indexed="81"/>
            <rFont val="Tahoma"/>
            <family val="2"/>
          </rPr>
          <t xml:space="preserve">
Map shows pole only, under construction.  Need to update when image updates.</t>
        </r>
      </text>
    </comment>
    <comment ref="B49" authorId="3">
      <text>
        <r>
          <rPr>
            <b/>
            <sz val="8"/>
            <color indexed="81"/>
            <rFont val="Tahoma"/>
            <family val="2"/>
          </rPr>
          <t>ccampbel:</t>
        </r>
        <r>
          <rPr>
            <sz val="8"/>
            <color indexed="81"/>
            <rFont val="Tahoma"/>
            <family val="2"/>
          </rPr>
          <t xml:space="preserve">
originally planned for 2 sites totalling 74.6MW, only the 14.4 MW on 90acres got approved. </t>
        </r>
      </text>
    </comment>
    <comment ref="J52" authorId="5">
      <text>
        <r>
          <rPr>
            <b/>
            <sz val="9"/>
            <color indexed="81"/>
            <rFont val="Tahoma"/>
            <family val="2"/>
          </rPr>
          <t>Windows User:</t>
        </r>
        <r>
          <rPr>
            <sz val="9"/>
            <color indexed="81"/>
            <rFont val="Tahoma"/>
            <family val="2"/>
          </rPr>
          <t xml:space="preserve">
just needed to fill the empty slot. </t>
        </r>
      </text>
    </comment>
    <comment ref="F53" authorId="5">
      <text>
        <r>
          <rPr>
            <b/>
            <sz val="9"/>
            <color indexed="81"/>
            <rFont val="Tahoma"/>
            <family val="2"/>
          </rPr>
          <t>Windows User:</t>
        </r>
        <r>
          <rPr>
            <sz val="9"/>
            <color indexed="81"/>
            <rFont val="Tahoma"/>
            <family val="2"/>
          </rPr>
          <t xml:space="preserve">
specified dc
</t>
        </r>
      </text>
    </comment>
    <comment ref="Y54" authorId="4">
      <text>
        <r>
          <rPr>
            <b/>
            <sz val="9"/>
            <color indexed="81"/>
            <rFont val="Tahoma"/>
            <family val="2"/>
          </rPr>
          <t>Clinton Campbell:</t>
        </r>
        <r>
          <rPr>
            <sz val="9"/>
            <color indexed="81"/>
            <rFont val="Tahoma"/>
            <family val="2"/>
          </rPr>
          <t xml:space="preserve">
looks fixed(pretty sure they stated tracking)</t>
        </r>
      </text>
    </comment>
    <comment ref="B55" authorId="3">
      <text>
        <r>
          <rPr>
            <b/>
            <sz val="8"/>
            <color indexed="81"/>
            <rFont val="Tahoma"/>
            <family val="2"/>
          </rPr>
          <t>ccampbel:</t>
        </r>
        <r>
          <rPr>
            <sz val="8"/>
            <color indexed="81"/>
            <rFont val="Tahoma"/>
            <family val="2"/>
          </rPr>
          <t xml:space="preserve">
added picture
size was decreased from initial ratings</t>
        </r>
      </text>
    </comment>
    <comment ref="F55" authorId="3">
      <text>
        <r>
          <rPr>
            <b/>
            <sz val="8"/>
            <color indexed="81"/>
            <rFont val="Tahoma"/>
            <family val="2"/>
          </rPr>
          <t>ccampbel:</t>
        </r>
        <r>
          <rPr>
            <sz val="8"/>
            <color indexed="81"/>
            <rFont val="Tahoma"/>
            <family val="2"/>
          </rPr>
          <t xml:space="preserve">
was 21500DC 18000AC
now 17200DC 15500AC</t>
        </r>
      </text>
    </comment>
    <comment ref="J55" authorId="3">
      <text>
        <r>
          <rPr>
            <b/>
            <sz val="8"/>
            <color indexed="81"/>
            <rFont val="Tahoma"/>
            <family val="2"/>
          </rPr>
          <t>ccampbel:</t>
        </r>
        <r>
          <rPr>
            <sz val="8"/>
            <color indexed="81"/>
            <rFont val="Tahoma"/>
            <family val="2"/>
          </rPr>
          <t xml:space="preserve">
was 386, now over 200</t>
        </r>
      </text>
    </comment>
    <comment ref="H57" authorId="5">
      <text>
        <r>
          <rPr>
            <b/>
            <sz val="9"/>
            <color indexed="81"/>
            <rFont val="Tahoma"/>
            <family val="2"/>
          </rPr>
          <t>Windows User:</t>
        </r>
        <r>
          <rPr>
            <sz val="9"/>
            <color indexed="81"/>
            <rFont val="Tahoma"/>
            <family val="2"/>
          </rPr>
          <t xml:space="preserve">
one site says 75168, another at completion says 93000
</t>
        </r>
      </text>
    </comment>
    <comment ref="B58" authorId="3">
      <text>
        <r>
          <rPr>
            <b/>
            <sz val="8"/>
            <color indexed="81"/>
            <rFont val="Tahoma"/>
            <family val="2"/>
          </rPr>
          <t>ccampbel:</t>
        </r>
        <r>
          <rPr>
            <sz val="8"/>
            <color indexed="81"/>
            <rFont val="Tahoma"/>
            <family val="2"/>
          </rPr>
          <t xml:space="preserve">
2 axis tracking placed where it would fit on land. Odd Shape
</t>
        </r>
      </text>
    </comment>
    <comment ref="F58" authorId="3">
      <text>
        <r>
          <rPr>
            <b/>
            <sz val="8"/>
            <color indexed="81"/>
            <rFont val="Tahoma"/>
            <family val="2"/>
          </rPr>
          <t>ccampbel:</t>
        </r>
        <r>
          <rPr>
            <sz val="8"/>
            <color indexed="81"/>
            <rFont val="Tahoma"/>
            <family val="2"/>
          </rPr>
          <t xml:space="preserve">
specified DC
</t>
        </r>
      </text>
    </comment>
    <comment ref="O58" authorId="3">
      <text>
        <r>
          <rPr>
            <b/>
            <sz val="8"/>
            <color indexed="81"/>
            <rFont val="Tahoma"/>
            <family val="2"/>
          </rPr>
          <t>ccampbel:</t>
        </r>
        <r>
          <rPr>
            <sz val="8"/>
            <color indexed="81"/>
            <rFont val="Tahoma"/>
            <family val="2"/>
          </rPr>
          <t xml:space="preserve">
Spacing doesn't seem optimal
</t>
        </r>
      </text>
    </comment>
    <comment ref="B59"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J59"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T59" authorId="1">
      <text>
        <r>
          <rPr>
            <b/>
            <sz val="8"/>
            <color indexed="81"/>
            <rFont val="Tahoma"/>
            <family val="2"/>
          </rPr>
          <t>Sean Ong:</t>
        </r>
        <r>
          <rPr>
            <sz val="8"/>
            <color indexed="81"/>
            <rFont val="Tahoma"/>
            <family val="2"/>
          </rPr>
          <t xml:space="preserve">
area of tracker/(area around each tracker, including tracker area)
see visio file for a more visual explanation (areas are highlighted)</t>
        </r>
      </text>
    </comment>
    <comment ref="AB59" authorId="0">
      <text>
        <r>
          <rPr>
            <b/>
            <sz val="8"/>
            <color indexed="81"/>
            <rFont val="Tahoma"/>
            <family val="2"/>
          </rPr>
          <t>Author:</t>
        </r>
        <r>
          <rPr>
            <sz val="8"/>
            <color indexed="81"/>
            <rFont val="Tahoma"/>
            <family val="2"/>
          </rPr>
          <t xml:space="preserve">
There was no datasheets found for the actual dual tracking system used at alamosa, however, based on the website, I believe that this would be a reasonable estimate for the type of cells/modules used in the mover XL-ECO system. </t>
        </r>
      </text>
    </comment>
    <comment ref="A62" authorId="4">
      <text>
        <r>
          <rPr>
            <b/>
            <sz val="9"/>
            <color indexed="81"/>
            <rFont val="Tahoma"/>
            <family val="2"/>
          </rPr>
          <t>Clinton Campbell:</t>
        </r>
        <r>
          <rPr>
            <sz val="9"/>
            <color indexed="81"/>
            <rFont val="Tahoma"/>
            <family val="2"/>
          </rPr>
          <t xml:space="preserve">
this one skeps CPV data since it is 2 axis and a very small plant.  Odd shaped panels too.</t>
        </r>
      </text>
    </comment>
    <comment ref="B62" authorId="1">
      <text>
        <r>
          <rPr>
            <b/>
            <sz val="8"/>
            <color indexed="81"/>
            <rFont val="Tahoma"/>
            <family val="2"/>
          </rPr>
          <t>Sean Ong:</t>
        </r>
        <r>
          <rPr>
            <sz val="8"/>
            <color indexed="81"/>
            <rFont val="Tahoma"/>
            <family val="2"/>
          </rPr>
          <t xml:space="preserve">
Prescott Solar Plant comprised of 1axis and 2axis tracking, seperated here</t>
        </r>
      </text>
    </comment>
    <comment ref="J62" authorId="1">
      <text>
        <r>
          <rPr>
            <b/>
            <sz val="8"/>
            <color indexed="81"/>
            <rFont val="Tahoma"/>
            <family val="2"/>
          </rPr>
          <t>Sean Ong:</t>
        </r>
        <r>
          <rPr>
            <sz val="8"/>
            <color indexed="81"/>
            <rFont val="Tahoma"/>
            <family val="2"/>
          </rPr>
          <t xml:space="preserve">
Since this project is not yet complete, I didn't base calcs on 50 acres, but just the "road perimeter" around the respective arrays (see visio file)</t>
        </r>
      </text>
    </comment>
    <comment ref="E65" authorId="3">
      <text>
        <r>
          <rPr>
            <b/>
            <sz val="8"/>
            <color indexed="81"/>
            <rFont val="Tahoma"/>
            <family val="2"/>
          </rPr>
          <t>ccampbel:</t>
        </r>
        <r>
          <rPr>
            <sz val="8"/>
            <color indexed="81"/>
            <rFont val="Tahoma"/>
            <family val="2"/>
          </rPr>
          <t xml:space="preserve">
modules are 60kW AC
</t>
        </r>
      </text>
    </comment>
    <comment ref="F65" authorId="3">
      <text>
        <r>
          <rPr>
            <b/>
            <sz val="8"/>
            <color indexed="81"/>
            <rFont val="Tahoma"/>
            <family val="2"/>
          </rPr>
          <t>ccampbel:</t>
        </r>
        <r>
          <rPr>
            <sz val="8"/>
            <color indexed="81"/>
            <rFont val="Tahoma"/>
            <family val="2"/>
          </rPr>
          <t xml:space="preserve">
84*77KW models
</t>
        </r>
      </text>
    </comment>
    <comment ref="B66"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J66"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Z66" authorId="0">
      <text>
        <r>
          <rPr>
            <b/>
            <sz val="8"/>
            <color indexed="81"/>
            <rFont val="Tahoma"/>
            <family val="2"/>
          </rPr>
          <t>Author:</t>
        </r>
        <r>
          <rPr>
            <sz val="8"/>
            <color indexed="81"/>
            <rFont val="Tahoma"/>
            <family val="2"/>
          </rPr>
          <t xml:space="preserve">
Although I haven't found a detailed description of this, from what I read from various sources, it sounds like these panels are automatically or manually shifted (tilted) depending on the season. That's all I know at the moment.</t>
        </r>
      </text>
    </comment>
    <comment ref="B68" authorId="3">
      <text>
        <r>
          <rPr>
            <b/>
            <sz val="8"/>
            <color indexed="81"/>
            <rFont val="Tahoma"/>
            <family val="2"/>
          </rPr>
          <t>ccampbel:</t>
        </r>
        <r>
          <rPr>
            <sz val="8"/>
            <color indexed="81"/>
            <rFont val="Tahoma"/>
            <family val="2"/>
          </rPr>
          <t xml:space="preserve">
2 or more ground intallation added to the premises. Need to use viseo and find more info.</t>
        </r>
      </text>
    </comment>
    <comment ref="B69" authorId="1">
      <text>
        <r>
          <rPr>
            <b/>
            <sz val="8"/>
            <color indexed="81"/>
            <rFont val="Tahoma"/>
            <family val="2"/>
          </rPr>
          <t>Sean Ong:</t>
        </r>
        <r>
          <rPr>
            <sz val="8"/>
            <color indexed="81"/>
            <rFont val="Tahoma"/>
            <family val="2"/>
          </rPr>
          <t xml:space="preserve">
not too sure the exact land usage of this project, it is in the same project area as the 10 MW space system.
Update: I decided to split evenly the land use based on MW capacity.</t>
        </r>
      </text>
    </comment>
    <comment ref="Z71" authorId="0">
      <text>
        <r>
          <rPr>
            <b/>
            <sz val="8"/>
            <color indexed="81"/>
            <rFont val="Tahoma"/>
            <family val="2"/>
          </rPr>
          <t>Author:</t>
        </r>
        <r>
          <rPr>
            <sz val="8"/>
            <color indexed="81"/>
            <rFont val="Tahoma"/>
            <family val="2"/>
          </rPr>
          <t xml:space="preserve">
"oriented 10 degrees east of true south"</t>
        </r>
      </text>
    </comment>
    <comment ref="AB71" authorId="0">
      <text>
        <r>
          <rPr>
            <b/>
            <sz val="8"/>
            <color indexed="81"/>
            <rFont val="Tahoma"/>
            <family val="2"/>
          </rPr>
          <t>Author:</t>
        </r>
        <r>
          <rPr>
            <sz val="8"/>
            <color indexed="81"/>
            <rFont val="Tahoma"/>
            <family val="2"/>
          </rPr>
          <t xml:space="preserve">
efficiency data not available on datasheets, I could not locate it anywhere, so I found the closest module on the 2008 photon survey which is the sunmodule SW 185 mono. </t>
        </r>
      </text>
    </comment>
    <comment ref="F72" authorId="3">
      <text>
        <r>
          <rPr>
            <b/>
            <sz val="8"/>
            <color indexed="81"/>
            <rFont val="Tahoma"/>
            <family val="2"/>
          </rPr>
          <t>ccampbel:</t>
        </r>
        <r>
          <rPr>
            <sz val="8"/>
            <color indexed="81"/>
            <rFont val="Tahoma"/>
            <family val="2"/>
          </rPr>
          <t xml:space="preserve">
specified dc
</t>
        </r>
      </text>
    </comment>
    <comment ref="O72" authorId="3">
      <text>
        <r>
          <rPr>
            <b/>
            <sz val="8"/>
            <color indexed="81"/>
            <rFont val="Tahoma"/>
            <family val="2"/>
          </rPr>
          <t>ccampbel:</t>
        </r>
        <r>
          <rPr>
            <sz val="8"/>
            <color indexed="81"/>
            <rFont val="Tahoma"/>
            <family val="2"/>
          </rPr>
          <t xml:space="preserve">
no arial image, matched land to posted image.
Tightly packed on land
</t>
        </r>
      </text>
    </comment>
    <comment ref="AB72" authorId="3">
      <text>
        <r>
          <rPr>
            <b/>
            <sz val="8"/>
            <color indexed="81"/>
            <rFont val="Tahoma"/>
            <family val="2"/>
          </rPr>
          <t>ccampbel:</t>
        </r>
        <r>
          <rPr>
            <sz val="8"/>
            <color indexed="81"/>
            <rFont val="Tahoma"/>
            <family val="2"/>
          </rPr>
          <t xml:space="preserve">
assume tianwei panes, 
Tianwei solar panels used by hoku. 280 watt modules from calculation
</t>
        </r>
      </text>
    </comment>
    <comment ref="F78" authorId="3">
      <text>
        <r>
          <rPr>
            <b/>
            <sz val="8"/>
            <color indexed="81"/>
            <rFont val="Tahoma"/>
            <family val="2"/>
          </rPr>
          <t>ccampbel:</t>
        </r>
        <r>
          <rPr>
            <sz val="8"/>
            <color indexed="81"/>
            <rFont val="Tahoma"/>
            <family val="2"/>
          </rPr>
          <t xml:space="preserve">
specified DC
</t>
        </r>
      </text>
    </comment>
    <comment ref="B80" authorId="3">
      <text>
        <r>
          <rPr>
            <b/>
            <sz val="8"/>
            <color indexed="81"/>
            <rFont val="Tahoma"/>
            <family val="2"/>
          </rPr>
          <t>ccampbel:</t>
        </r>
        <r>
          <rPr>
            <sz val="8"/>
            <color indexed="81"/>
            <rFont val="Tahoma"/>
            <family val="2"/>
          </rPr>
          <t xml:space="preserve">
this was added to the 2Mw on the same 30 acres.  Total Capacity brought to 5300KW</t>
        </r>
      </text>
    </comment>
    <comment ref="H80" authorId="3">
      <text>
        <r>
          <rPr>
            <b/>
            <sz val="8"/>
            <color indexed="81"/>
            <rFont val="Tahoma"/>
            <family val="2"/>
          </rPr>
          <t>ccampbel:</t>
        </r>
        <r>
          <rPr>
            <sz val="8"/>
            <color indexed="81"/>
            <rFont val="Tahoma"/>
            <family val="2"/>
          </rPr>
          <t xml:space="preserve">
http://www.today.colostate.edu/story.aspx?id=3004</t>
        </r>
      </text>
    </comment>
    <comment ref="W80" authorId="2">
      <text>
        <r>
          <rPr>
            <b/>
            <sz val="8"/>
            <color indexed="81"/>
            <rFont val="Tahoma"/>
            <family val="2"/>
          </rPr>
          <t>song:</t>
        </r>
        <r>
          <rPr>
            <sz val="8"/>
            <color indexed="81"/>
            <rFont val="Tahoma"/>
            <family val="2"/>
          </rPr>
          <t xml:space="preserve">
expansions of 2MW farm, see references</t>
        </r>
      </text>
    </comment>
    <comment ref="J83" authorId="5">
      <text>
        <r>
          <rPr>
            <b/>
            <sz val="9"/>
            <color indexed="81"/>
            <rFont val="Tahoma"/>
            <family val="2"/>
          </rPr>
          <t>Windows User:</t>
        </r>
        <r>
          <rPr>
            <sz val="9"/>
            <color indexed="81"/>
            <rFont val="Tahoma"/>
            <family val="2"/>
          </rPr>
          <t xml:space="preserve">
sources say 6 acres</t>
        </r>
      </text>
    </comment>
    <comment ref="Y84" authorId="5">
      <text>
        <r>
          <rPr>
            <b/>
            <sz val="9"/>
            <color indexed="81"/>
            <rFont val="Tahoma"/>
            <family val="2"/>
          </rPr>
          <t>Windows User:</t>
        </r>
        <r>
          <rPr>
            <sz val="9"/>
            <color indexed="81"/>
            <rFont val="Tahoma"/>
            <family val="2"/>
          </rPr>
          <t xml:space="preserve">
this looks like a fixed array on maps</t>
        </r>
      </text>
    </comment>
    <comment ref="B86" authorId="3">
      <text>
        <r>
          <rPr>
            <b/>
            <sz val="8"/>
            <color indexed="81"/>
            <rFont val="Tahoma"/>
            <family val="2"/>
          </rPr>
          <t>ccampbel:</t>
        </r>
        <r>
          <rPr>
            <sz val="8"/>
            <color indexed="81"/>
            <rFont val="Tahoma"/>
            <family val="2"/>
          </rPr>
          <t xml:space="preserve">
also known as silver lake solar project on internet
</t>
        </r>
      </text>
    </comment>
    <comment ref="F86" authorId="3">
      <text>
        <r>
          <rPr>
            <b/>
            <sz val="8"/>
            <color indexed="81"/>
            <rFont val="Tahoma"/>
            <family val="2"/>
          </rPr>
          <t>ccampbel:</t>
        </r>
        <r>
          <rPr>
            <sz val="8"/>
            <color indexed="81"/>
            <rFont val="Tahoma"/>
            <family val="2"/>
          </rPr>
          <t xml:space="preserve">
specified DC
</t>
        </r>
      </text>
    </comment>
    <comment ref="J86" authorId="3">
      <text>
        <r>
          <rPr>
            <b/>
            <sz val="8"/>
            <color indexed="81"/>
            <rFont val="Tahoma"/>
            <family val="2"/>
          </rPr>
          <t>ccampbel:</t>
        </r>
        <r>
          <rPr>
            <sz val="8"/>
            <color indexed="81"/>
            <rFont val="Tahoma"/>
            <family val="2"/>
          </rPr>
          <t xml:space="preserve">
9.25 measured
stated 8 acres
</t>
        </r>
      </text>
    </comment>
    <comment ref="Y88" authorId="3">
      <text>
        <r>
          <rPr>
            <b/>
            <sz val="8"/>
            <color indexed="81"/>
            <rFont val="Tahoma"/>
            <family val="2"/>
          </rPr>
          <t>ccampbel:</t>
        </r>
        <r>
          <rPr>
            <sz val="8"/>
            <color indexed="81"/>
            <rFont val="Tahoma"/>
            <family val="2"/>
          </rPr>
          <t xml:space="preserve">
8020 on fixed
312 on tracking
</t>
        </r>
      </text>
    </comment>
    <comment ref="F90" authorId="3">
      <text>
        <r>
          <rPr>
            <b/>
            <sz val="8"/>
            <color indexed="81"/>
            <rFont val="Tahoma"/>
            <family val="2"/>
          </rPr>
          <t>ccampbel:</t>
        </r>
        <r>
          <rPr>
            <sz val="8"/>
            <color indexed="81"/>
            <rFont val="Tahoma"/>
            <family val="2"/>
          </rPr>
          <t xml:space="preserve">
specified dc
</t>
        </r>
      </text>
    </comment>
    <comment ref="O90" authorId="3">
      <text>
        <r>
          <rPr>
            <b/>
            <sz val="8"/>
            <color indexed="81"/>
            <rFont val="Tahoma"/>
            <family val="2"/>
          </rPr>
          <t>ccampbel:</t>
        </r>
        <r>
          <rPr>
            <sz val="8"/>
            <color indexed="81"/>
            <rFont val="Tahoma"/>
            <family val="2"/>
          </rPr>
          <t xml:space="preserve">
number quoted in articles, I found 5.9 for phy and 8 for total</t>
        </r>
      </text>
    </comment>
    <comment ref="E91" authorId="3">
      <text>
        <r>
          <rPr>
            <b/>
            <sz val="8"/>
            <color indexed="81"/>
            <rFont val="Tahoma"/>
            <family val="2"/>
          </rPr>
          <t>ccampbel:</t>
        </r>
        <r>
          <rPr>
            <sz val="8"/>
            <color indexed="81"/>
            <rFont val="Tahoma"/>
            <family val="2"/>
          </rPr>
          <t xml:space="preserve">
most sites claim 2 MW, but factsheets say 2.6MW Dc</t>
        </r>
      </text>
    </comment>
    <comment ref="J91" authorId="5">
      <text>
        <r>
          <rPr>
            <b/>
            <sz val="9"/>
            <color indexed="81"/>
            <rFont val="Tahoma"/>
            <family val="2"/>
          </rPr>
          <t>Windows User:</t>
        </r>
        <r>
          <rPr>
            <sz val="9"/>
            <color indexed="81"/>
            <rFont val="Tahoma"/>
            <family val="2"/>
          </rPr>
          <t xml:space="preserve">
resources say 16, visio shows max of 14.5, actual not farm usage is 13.7 acres</t>
        </r>
      </text>
    </comment>
    <comment ref="E92" authorId="3">
      <text>
        <r>
          <rPr>
            <b/>
            <sz val="8"/>
            <color indexed="81"/>
            <rFont val="Tahoma"/>
            <family val="2"/>
          </rPr>
          <t>ccampbel:</t>
        </r>
        <r>
          <rPr>
            <sz val="8"/>
            <color indexed="81"/>
            <rFont val="Tahoma"/>
            <family val="2"/>
          </rPr>
          <t xml:space="preserve">
SMA 250U inverter 97% average efficiency</t>
        </r>
      </text>
    </comment>
    <comment ref="J92" authorId="3">
      <text>
        <r>
          <rPr>
            <b/>
            <sz val="8"/>
            <color indexed="81"/>
            <rFont val="Tahoma"/>
            <family val="2"/>
          </rPr>
          <t>ccampbel:</t>
        </r>
        <r>
          <rPr>
            <sz val="8"/>
            <color indexed="81"/>
            <rFont val="Tahoma"/>
            <family val="2"/>
          </rPr>
          <t xml:space="preserve">
stated as 18, fenced area is 14.</t>
        </r>
      </text>
    </comment>
    <comment ref="J94" authorId="3">
      <text>
        <r>
          <rPr>
            <b/>
            <sz val="8"/>
            <color indexed="81"/>
            <rFont val="Tahoma"/>
            <family val="2"/>
          </rPr>
          <t>ccampbel:</t>
        </r>
        <r>
          <rPr>
            <sz val="8"/>
            <color indexed="81"/>
            <rFont val="Tahoma"/>
            <family val="2"/>
          </rPr>
          <t xml:space="preserve">
16.5 stated
13.3 measured around the panels, extra 3.2 acres on the side</t>
        </r>
      </text>
    </comment>
    <comment ref="F95" authorId="3">
      <text>
        <r>
          <rPr>
            <b/>
            <sz val="8"/>
            <color indexed="81"/>
            <rFont val="Tahoma"/>
            <family val="2"/>
          </rPr>
          <t>ccampbel:</t>
        </r>
        <r>
          <rPr>
            <sz val="8"/>
            <color indexed="81"/>
            <rFont val="Tahoma"/>
            <family val="2"/>
          </rPr>
          <t xml:space="preserve">
3MWDc from pseg
kearny, NJ</t>
        </r>
      </text>
    </comment>
    <comment ref="O95" authorId="3">
      <text>
        <r>
          <rPr>
            <b/>
            <sz val="8"/>
            <color indexed="81"/>
            <rFont val="Tahoma"/>
            <family val="2"/>
          </rPr>
          <t>ccampbel:</t>
        </r>
        <r>
          <rPr>
            <sz val="8"/>
            <color indexed="81"/>
            <rFont val="Tahoma"/>
            <family val="2"/>
          </rPr>
          <t xml:space="preserve">
no map image yet
</t>
        </r>
      </text>
    </comment>
    <comment ref="O99" authorId="5">
      <text>
        <r>
          <rPr>
            <b/>
            <sz val="9"/>
            <color indexed="81"/>
            <rFont val="Tahoma"/>
            <family val="2"/>
          </rPr>
          <t>Windows User:</t>
        </r>
        <r>
          <rPr>
            <sz val="9"/>
            <color indexed="81"/>
            <rFont val="Tahoma"/>
            <family val="2"/>
          </rPr>
          <t xml:space="preserve">
irregularly shaped
update when images are newer</t>
        </r>
      </text>
    </comment>
    <comment ref="B100" authorId="3">
      <text>
        <r>
          <rPr>
            <b/>
            <sz val="8"/>
            <color indexed="81"/>
            <rFont val="Tahoma"/>
            <family val="2"/>
          </rPr>
          <t>ccampbel:</t>
        </r>
        <r>
          <rPr>
            <sz val="8"/>
            <color indexed="81"/>
            <rFont val="Tahoma"/>
            <family val="2"/>
          </rPr>
          <t xml:space="preserve">
On the roof of a huge covered reservoir.</t>
        </r>
      </text>
    </comment>
    <comment ref="B103" authorId="5">
      <text>
        <r>
          <rPr>
            <b/>
            <sz val="9"/>
            <color indexed="81"/>
            <rFont val="Tahoma"/>
            <family val="2"/>
          </rPr>
          <t>Windows User:</t>
        </r>
        <r>
          <rPr>
            <sz val="9"/>
            <color indexed="81"/>
            <rFont val="Tahoma"/>
            <family val="2"/>
          </rPr>
          <t xml:space="preserve">
these arrays are very closely spaced, edge to edge throughout, increasing in height entire way</t>
        </r>
      </text>
    </comment>
    <comment ref="B104" authorId="1">
      <text>
        <r>
          <rPr>
            <b/>
            <sz val="8"/>
            <color indexed="81"/>
            <rFont val="Tahoma"/>
            <family val="2"/>
          </rPr>
          <t>Sean Ong:</t>
        </r>
        <r>
          <rPr>
            <sz val="8"/>
            <color indexed="81"/>
            <rFont val="Tahoma"/>
            <family val="2"/>
          </rPr>
          <t xml:space="preserve">
2nd or 3rd phase of many. After looking at imagery, it seems that there is much empty land allocated for the panels, but for which the panels have not yet been built. This will cause the total area to be bigger per MW than other similar plants.
March 2011, rest of land filled up increasing output to 6.4MW. CJC</t>
        </r>
      </text>
    </comment>
    <comment ref="H104" authorId="3">
      <text>
        <r>
          <rPr>
            <b/>
            <sz val="8"/>
            <color indexed="81"/>
            <rFont val="Tahoma"/>
            <family val="2"/>
          </rPr>
          <t>ccampbel:</t>
        </r>
        <r>
          <rPr>
            <sz val="8"/>
            <color indexed="81"/>
            <rFont val="Tahoma"/>
            <family val="2"/>
          </rPr>
          <t xml:space="preserve">
orignally said 34980, but there are only 8400</t>
        </r>
      </text>
    </comment>
    <comment ref="J104" authorId="0">
      <text>
        <r>
          <rPr>
            <b/>
            <sz val="8"/>
            <color indexed="81"/>
            <rFont val="Tahoma"/>
            <family val="2"/>
          </rPr>
          <t>Author:</t>
        </r>
        <r>
          <rPr>
            <sz val="8"/>
            <color indexed="81"/>
            <rFont val="Tahoma"/>
            <family val="2"/>
          </rPr>
          <t xml:space="preserve">
online sources report "44" acres, but doesn't really specify what this area is.
Area calculated from imagery yeids 70 acres, but this includes large open spaces reserved for upcoming expansions of this facility. 
Update: Now all spaces are filled 2011
</t>
        </r>
      </text>
    </comment>
    <comment ref="AB104"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AC104" authorId="0">
      <text>
        <r>
          <rPr>
            <b/>
            <sz val="8"/>
            <color indexed="81"/>
            <rFont val="Tahoma"/>
            <family val="2"/>
          </rPr>
          <t>Author:</t>
        </r>
        <r>
          <rPr>
            <sz val="8"/>
            <color indexed="81"/>
            <rFont val="Tahoma"/>
            <family val="2"/>
          </rPr>
          <t xml:space="preserve">
see module model comment</t>
        </r>
      </text>
    </comment>
    <comment ref="AD104"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B107" authorId="1">
      <text>
        <r>
          <rPr>
            <b/>
            <sz val="8"/>
            <color indexed="81"/>
            <rFont val="Tahoma"/>
            <family val="2"/>
          </rPr>
          <t>Sean Ong:</t>
        </r>
        <r>
          <rPr>
            <sz val="8"/>
            <color indexed="81"/>
            <rFont val="Tahoma"/>
            <family val="2"/>
          </rPr>
          <t xml:space="preserve">
land is shared with NASA 1MW PV system, land slit based on MW capacity
found image</t>
        </r>
      </text>
    </comment>
    <comment ref="J107" authorId="3">
      <text>
        <r>
          <rPr>
            <b/>
            <sz val="8"/>
            <color indexed="81"/>
            <rFont val="Tahoma"/>
            <family val="2"/>
          </rPr>
          <t>ccampbel:</t>
        </r>
        <r>
          <rPr>
            <sz val="8"/>
            <color indexed="81"/>
            <rFont val="Tahoma"/>
            <family val="2"/>
          </rPr>
          <t xml:space="preserve">
stated as 45 acres, measured as 48 without open patch of land</t>
        </r>
      </text>
    </comment>
    <comment ref="B108" authorId="1">
      <text>
        <r>
          <rPr>
            <b/>
            <sz val="8"/>
            <color indexed="81"/>
            <rFont val="Tahoma"/>
            <family val="2"/>
          </rPr>
          <t>Sean Ong:</t>
        </r>
        <r>
          <rPr>
            <sz val="8"/>
            <color indexed="81"/>
            <rFont val="Tahoma"/>
            <family val="2"/>
          </rPr>
          <t xml:space="preserve">
first phase in up to about 60 MW project</t>
        </r>
      </text>
    </comment>
    <comment ref="O109" authorId="3">
      <text>
        <r>
          <rPr>
            <b/>
            <sz val="8"/>
            <color indexed="81"/>
            <rFont val="Tahoma"/>
            <family val="2"/>
          </rPr>
          <t>ccampbel:</t>
        </r>
        <r>
          <rPr>
            <sz val="8"/>
            <color indexed="81"/>
            <rFont val="Tahoma"/>
            <family val="2"/>
          </rPr>
          <t xml:space="preserve">
http://www.pseg.com/family/holdings/global/solar_source/pdf/wyandot_factsheet.pdf</t>
        </r>
      </text>
    </comment>
    <comment ref="B110" authorId="5">
      <text>
        <r>
          <rPr>
            <b/>
            <sz val="9"/>
            <color indexed="81"/>
            <rFont val="Tahoma"/>
            <family val="2"/>
          </rPr>
          <t>Windows User:</t>
        </r>
        <r>
          <rPr>
            <sz val="9"/>
            <color indexed="81"/>
            <rFont val="Tahoma"/>
            <family val="2"/>
          </rPr>
          <t xml:space="preserve">
sometimes called fairfield solar project
</t>
        </r>
      </text>
    </comment>
    <comment ref="E110" authorId="5">
      <text>
        <r>
          <rPr>
            <b/>
            <sz val="9"/>
            <color indexed="81"/>
            <rFont val="Tahoma"/>
            <family val="2"/>
          </rPr>
          <t>Windows User:</t>
        </r>
        <r>
          <rPr>
            <sz val="9"/>
            <color indexed="81"/>
            <rFont val="Tahoma"/>
            <family val="2"/>
          </rPr>
          <t xml:space="preserve">
Specified AC
</t>
        </r>
      </text>
    </comment>
    <comment ref="F110" authorId="5">
      <text>
        <r>
          <rPr>
            <b/>
            <sz val="9"/>
            <color indexed="81"/>
            <rFont val="Tahoma"/>
            <family val="2"/>
          </rPr>
          <t>Windows User:</t>
        </r>
        <r>
          <rPr>
            <sz val="9"/>
            <color indexed="81"/>
            <rFont val="Tahoma"/>
            <family val="2"/>
          </rPr>
          <t xml:space="preserve">
235 watt modules
</t>
        </r>
      </text>
    </comment>
    <comment ref="O110" authorId="5">
      <text>
        <r>
          <rPr>
            <b/>
            <sz val="9"/>
            <color indexed="81"/>
            <rFont val="Tahoma"/>
            <family val="2"/>
          </rPr>
          <t>Windows User:</t>
        </r>
        <r>
          <rPr>
            <sz val="9"/>
            <color indexed="81"/>
            <rFont val="Tahoma"/>
            <family val="2"/>
          </rPr>
          <t xml:space="preserve">
http://www.nj.com/cumberland/index.ssf/2011/10/fairfield_solar_project_breaks.html</t>
        </r>
      </text>
    </comment>
    <comment ref="B111" authorId="3">
      <text>
        <r>
          <rPr>
            <b/>
            <sz val="8"/>
            <color indexed="81"/>
            <rFont val="Tahoma"/>
            <family val="2"/>
          </rPr>
          <t>ccampbel:</t>
        </r>
        <r>
          <rPr>
            <sz val="8"/>
            <color indexed="81"/>
            <rFont val="Tahoma"/>
            <family val="2"/>
          </rPr>
          <t xml:space="preserve">
found image of land
</t>
        </r>
      </text>
    </comment>
    <comment ref="E111" authorId="3">
      <text>
        <r>
          <rPr>
            <b/>
            <sz val="8"/>
            <color indexed="81"/>
            <rFont val="Tahoma"/>
            <family val="2"/>
          </rPr>
          <t>ccampbel:</t>
        </r>
        <r>
          <rPr>
            <sz val="8"/>
            <color indexed="81"/>
            <rFont val="Tahoma"/>
            <family val="2"/>
          </rPr>
          <t xml:space="preserve">
http://www.pseg.com/family/holdings/global/solar_source/jacksonville/pdf/fact_sheet.pdf</t>
        </r>
      </text>
    </comment>
    <comment ref="J111" authorId="3">
      <text>
        <r>
          <rPr>
            <b/>
            <sz val="8"/>
            <color indexed="81"/>
            <rFont val="Tahoma"/>
            <family val="2"/>
          </rPr>
          <t>ccampbel:</t>
        </r>
        <r>
          <rPr>
            <sz val="8"/>
            <color indexed="81"/>
            <rFont val="Tahoma"/>
            <family val="2"/>
          </rPr>
          <t xml:space="preserve">
stated as 91, map shows 96 fenced
</t>
        </r>
      </text>
    </comment>
    <comment ref="AB111" authorId="3">
      <text>
        <r>
          <rPr>
            <b/>
            <sz val="8"/>
            <color indexed="81"/>
            <rFont val="Tahoma"/>
            <family val="2"/>
          </rPr>
          <t>ccampbel:</t>
        </r>
        <r>
          <rPr>
            <sz val="8"/>
            <color indexed="81"/>
            <rFont val="Tahoma"/>
            <family val="2"/>
          </rPr>
          <t xml:space="preserve">
general efficiency for thin film cadmium telluride PV
</t>
        </r>
      </text>
    </comment>
    <comment ref="J112" authorId="3">
      <text>
        <r>
          <rPr>
            <b/>
            <sz val="8"/>
            <color indexed="81"/>
            <rFont val="Tahoma"/>
            <family val="2"/>
          </rPr>
          <t>ccampbel:</t>
        </r>
        <r>
          <rPr>
            <sz val="8"/>
            <color indexed="81"/>
            <rFont val="Tahoma"/>
            <family val="2"/>
          </rPr>
          <t xml:space="preserve">
stated as 115 measured 108.  There is extra space not utilized.</t>
        </r>
      </text>
    </comment>
    <comment ref="O113" authorId="5">
      <text>
        <r>
          <rPr>
            <b/>
            <sz val="9"/>
            <color indexed="81"/>
            <rFont val="Tahoma"/>
            <family val="2"/>
          </rPr>
          <t>Windows User:</t>
        </r>
        <r>
          <rPr>
            <sz val="9"/>
            <color indexed="81"/>
            <rFont val="Tahoma"/>
            <family val="2"/>
          </rPr>
          <t xml:space="preserve">
specified panel land
no image
</t>
        </r>
      </text>
    </comment>
    <comment ref="J115" authorId="5">
      <text>
        <r>
          <rPr>
            <b/>
            <sz val="9"/>
            <color indexed="81"/>
            <rFont val="Tahoma"/>
            <family val="2"/>
          </rPr>
          <t>Windows User:</t>
        </r>
        <r>
          <rPr>
            <sz val="9"/>
            <color indexed="81"/>
            <rFont val="Tahoma"/>
            <family val="2"/>
          </rPr>
          <t xml:space="preserve">
check for images later
</t>
        </r>
      </text>
    </comment>
    <comment ref="F119" authorId="3">
      <text>
        <r>
          <rPr>
            <b/>
            <sz val="8"/>
            <color indexed="81"/>
            <rFont val="Tahoma"/>
            <family val="2"/>
          </rPr>
          <t>ccampbel:</t>
        </r>
        <r>
          <rPr>
            <sz val="8"/>
            <color indexed="81"/>
            <rFont val="Tahoma"/>
            <family val="2"/>
          </rPr>
          <t xml:space="preserve">
3.2 MWdc from pseg
</t>
        </r>
      </text>
    </comment>
    <comment ref="W119" authorId="4">
      <text>
        <r>
          <rPr>
            <b/>
            <sz val="9"/>
            <color indexed="81"/>
            <rFont val="Tahoma"/>
            <family val="2"/>
          </rPr>
          <t>Clinton Campbell:</t>
        </r>
        <r>
          <rPr>
            <sz val="9"/>
            <color indexed="81"/>
            <rFont val="Tahoma"/>
            <family val="2"/>
          </rPr>
          <t xml:space="preserve">
next to linden generator station</t>
        </r>
      </text>
    </comment>
    <comment ref="O120" authorId="3">
      <text>
        <r>
          <rPr>
            <b/>
            <sz val="8"/>
            <color indexed="81"/>
            <rFont val="Tahoma"/>
            <family val="2"/>
          </rPr>
          <t>ccampbel:</t>
        </r>
        <r>
          <rPr>
            <sz val="8"/>
            <color indexed="81"/>
            <rFont val="Tahoma"/>
            <family val="2"/>
          </rPr>
          <t xml:space="preserve">
specified in article
</t>
        </r>
      </text>
    </comment>
    <comment ref="W120" authorId="3">
      <text>
        <r>
          <rPr>
            <b/>
            <sz val="8"/>
            <color indexed="81"/>
            <rFont val="Tahoma"/>
            <family val="2"/>
          </rPr>
          <t>ccampbel:</t>
        </r>
        <r>
          <rPr>
            <sz val="8"/>
            <color indexed="81"/>
            <rFont val="Tahoma"/>
            <family val="2"/>
          </rPr>
          <t xml:space="preserve">
282 Cottage St.  springfield MA, but map doesn't show location
</t>
        </r>
      </text>
    </comment>
    <comment ref="B121" authorId="5">
      <text>
        <r>
          <rPr>
            <b/>
            <sz val="9"/>
            <color indexed="81"/>
            <rFont val="Tahoma"/>
            <family val="2"/>
          </rPr>
          <t>Windows User:</t>
        </r>
        <r>
          <rPr>
            <sz val="9"/>
            <color indexed="81"/>
            <rFont val="Tahoma"/>
            <family val="2"/>
          </rPr>
          <t xml:space="preserve">
also referred to as shelby solar farm in kings mountain NC  (Different than the SC site)
</t>
        </r>
      </text>
    </comment>
    <comment ref="W121" authorId="5">
      <text>
        <r>
          <rPr>
            <b/>
            <sz val="9"/>
            <color indexed="81"/>
            <rFont val="Tahoma"/>
            <family val="2"/>
          </rPr>
          <t>Windows User:</t>
        </r>
        <r>
          <rPr>
            <sz val="9"/>
            <color indexed="81"/>
            <rFont val="Tahoma"/>
            <family val="2"/>
          </rPr>
          <t xml:space="preserve">
dixon dairy road in Kings Mountain</t>
        </r>
      </text>
    </comment>
    <comment ref="W122" authorId="3">
      <text>
        <r>
          <rPr>
            <b/>
            <sz val="8"/>
            <color indexed="81"/>
            <rFont val="Tahoma"/>
            <family val="2"/>
          </rPr>
          <t>ccampbel:</t>
        </r>
        <r>
          <rPr>
            <sz val="8"/>
            <color indexed="81"/>
            <rFont val="Tahoma"/>
            <family val="2"/>
          </rPr>
          <t xml:space="preserve">
North of downtown
Not on maps as of 2/2012
</t>
        </r>
      </text>
    </comment>
    <comment ref="W123" authorId="3">
      <text>
        <r>
          <rPr>
            <b/>
            <sz val="8"/>
            <color indexed="81"/>
            <rFont val="Tahoma"/>
            <family val="2"/>
          </rPr>
          <t xml:space="preserve">ccampbel:
Not sure about this  being the correct site.  Matches stated acrage in the right part of town.  To new for maps
</t>
        </r>
      </text>
    </comment>
    <comment ref="AB178" authorId="3">
      <text>
        <r>
          <rPr>
            <b/>
            <sz val="8"/>
            <color indexed="81"/>
            <rFont val="Tahoma"/>
            <family val="2"/>
          </rPr>
          <t>ccampbel:</t>
        </r>
        <r>
          <rPr>
            <sz val="8"/>
            <color indexed="81"/>
            <rFont val="Tahoma"/>
            <family val="2"/>
          </rPr>
          <t xml:space="preserve">
http://www.solardesigntool.com/components/module-panel-solar/Sunpower/SPR-320E-WHT-D/specification-data-sheet.html;jsessionid=F3CDAC6C1788328FCCFF1761D0B1ADFB
</t>
        </r>
      </text>
    </comment>
    <comment ref="E179" authorId="5">
      <text>
        <r>
          <rPr>
            <b/>
            <sz val="9"/>
            <color indexed="81"/>
            <rFont val="Tahoma"/>
            <family val="2"/>
          </rPr>
          <t>Windows User:</t>
        </r>
        <r>
          <rPr>
            <sz val="9"/>
            <color indexed="81"/>
            <rFont val="Tahoma"/>
            <family val="2"/>
          </rPr>
          <t xml:space="preserve">
specified AC
</t>
        </r>
      </text>
    </comment>
    <comment ref="O179" authorId="5">
      <text>
        <r>
          <rPr>
            <b/>
            <sz val="9"/>
            <color indexed="81"/>
            <rFont val="Tahoma"/>
            <family val="2"/>
          </rPr>
          <t>Windows User:</t>
        </r>
        <r>
          <rPr>
            <sz val="9"/>
            <color indexed="81"/>
            <rFont val="Tahoma"/>
            <family val="2"/>
          </rPr>
          <t xml:space="preserve">
partial image
update when image updates</t>
        </r>
      </text>
    </comment>
    <comment ref="E180" authorId="3">
      <text>
        <r>
          <rPr>
            <b/>
            <sz val="8"/>
            <color indexed="81"/>
            <rFont val="Tahoma"/>
            <family val="2"/>
          </rPr>
          <t>ccampbel:</t>
        </r>
        <r>
          <rPr>
            <sz val="8"/>
            <color indexed="81"/>
            <rFont val="Tahoma"/>
            <family val="2"/>
          </rPr>
          <t xml:space="preserve">
specified AC
</t>
        </r>
      </text>
    </comment>
    <comment ref="E181" authorId="5">
      <text>
        <r>
          <rPr>
            <b/>
            <sz val="9"/>
            <color indexed="81"/>
            <rFont val="Tahoma"/>
            <family val="2"/>
          </rPr>
          <t>Windows User:</t>
        </r>
        <r>
          <rPr>
            <sz val="9"/>
            <color indexed="81"/>
            <rFont val="Tahoma"/>
            <family val="2"/>
          </rPr>
          <t xml:space="preserve">
specified AC</t>
        </r>
      </text>
    </comment>
    <comment ref="W181" authorId="5">
      <text>
        <r>
          <rPr>
            <b/>
            <sz val="9"/>
            <color indexed="81"/>
            <rFont val="Tahoma"/>
            <family val="2"/>
          </rPr>
          <t>Windows User:</t>
        </r>
        <r>
          <rPr>
            <sz val="9"/>
            <color indexed="81"/>
            <rFont val="Tahoma"/>
            <family val="2"/>
          </rPr>
          <t xml:space="preserve">
Said property is located east of S. Road 1 East and between E. Road 2 South and E. Road 4 South</t>
        </r>
      </text>
    </comment>
    <comment ref="E183" authorId="5">
      <text>
        <r>
          <rPr>
            <b/>
            <sz val="9"/>
            <color indexed="81"/>
            <rFont val="Tahoma"/>
            <family val="2"/>
          </rPr>
          <t>Windows User:</t>
        </r>
        <r>
          <rPr>
            <sz val="9"/>
            <color indexed="81"/>
            <rFont val="Tahoma"/>
            <family val="2"/>
          </rPr>
          <t xml:space="preserve">
specified ac
</t>
        </r>
      </text>
    </comment>
    <comment ref="B184" authorId="3">
      <text>
        <r>
          <rPr>
            <b/>
            <sz val="8"/>
            <color indexed="81"/>
            <rFont val="Tahoma"/>
            <family val="2"/>
          </rPr>
          <t>ccampbel:</t>
        </r>
        <r>
          <rPr>
            <sz val="8"/>
            <color indexed="81"/>
            <rFont val="Tahoma"/>
            <family val="2"/>
          </rPr>
          <t xml:space="preserve">
found location and image
</t>
        </r>
      </text>
    </comment>
    <comment ref="E184" authorId="3">
      <text>
        <r>
          <rPr>
            <b/>
            <sz val="8"/>
            <color indexed="81"/>
            <rFont val="Tahoma"/>
            <family val="2"/>
          </rPr>
          <t>ccampbel:</t>
        </r>
        <r>
          <rPr>
            <sz val="8"/>
            <color indexed="81"/>
            <rFont val="Tahoma"/>
            <family val="2"/>
          </rPr>
          <t xml:space="preserve">
25MW ac pg 6.
http://seia.org/galleries/default-file/2009%20Solar%20Industry%20Year%20in%20Review.pdf</t>
        </r>
      </text>
    </comment>
    <comment ref="F186" authorId="3">
      <text>
        <r>
          <rPr>
            <b/>
            <sz val="8"/>
            <color indexed="81"/>
            <rFont val="Tahoma"/>
            <family val="2"/>
          </rPr>
          <t>ccampbel:</t>
        </r>
        <r>
          <rPr>
            <sz val="8"/>
            <color indexed="81"/>
            <rFont val="Tahoma"/>
            <family val="2"/>
          </rPr>
          <t xml:space="preserve">
Factsheet 110000*320Watt panesl</t>
        </r>
      </text>
    </comment>
    <comment ref="AE187" authorId="5">
      <text>
        <r>
          <rPr>
            <b/>
            <sz val="9"/>
            <color indexed="81"/>
            <rFont val="Tahoma"/>
            <family val="2"/>
          </rPr>
          <t>Windows User:</t>
        </r>
        <r>
          <rPr>
            <sz val="9"/>
            <color indexed="81"/>
            <rFont val="Tahoma"/>
            <family val="2"/>
          </rPr>
          <t xml:space="preserve">
approved
</t>
        </r>
      </text>
    </comment>
    <comment ref="AE188" authorId="5">
      <text>
        <r>
          <rPr>
            <b/>
            <sz val="9"/>
            <color indexed="81"/>
            <rFont val="Tahoma"/>
            <family val="2"/>
          </rPr>
          <t>Windows User:</t>
        </r>
        <r>
          <rPr>
            <sz val="9"/>
            <color indexed="81"/>
            <rFont val="Tahoma"/>
            <family val="2"/>
          </rPr>
          <t xml:space="preserve">
construction to start in 2012
</t>
        </r>
      </text>
    </comment>
    <comment ref="O189" authorId="3">
      <text>
        <r>
          <rPr>
            <b/>
            <sz val="8"/>
            <color indexed="81"/>
            <rFont val="Tahoma"/>
            <family val="2"/>
          </rPr>
          <t>ccampbel:</t>
        </r>
        <r>
          <rPr>
            <sz val="8"/>
            <color indexed="81"/>
            <rFont val="Tahoma"/>
            <family val="2"/>
          </rPr>
          <t xml:space="preserve">
no images</t>
        </r>
      </text>
    </comment>
    <comment ref="F190" authorId="3">
      <text>
        <r>
          <rPr>
            <b/>
            <sz val="8"/>
            <color indexed="81"/>
            <rFont val="Tahoma"/>
            <family val="2"/>
          </rPr>
          <t>ccampbel:</t>
        </r>
        <r>
          <rPr>
            <sz val="8"/>
            <color indexed="81"/>
            <rFont val="Tahoma"/>
            <family val="2"/>
          </rPr>
          <t xml:space="preserve">
assuming the 75W modules used</t>
        </r>
      </text>
    </comment>
    <comment ref="G190" authorId="3">
      <text>
        <r>
          <rPr>
            <b/>
            <sz val="8"/>
            <color indexed="81"/>
            <rFont val="Tahoma"/>
            <family val="2"/>
          </rPr>
          <t>ccampbel:</t>
        </r>
        <r>
          <rPr>
            <sz val="8"/>
            <color indexed="81"/>
            <rFont val="Tahoma"/>
            <family val="2"/>
          </rPr>
          <t xml:space="preserve">
1.36 billion total investment, 713mil in equity investment through 2013</t>
        </r>
      </text>
    </comment>
    <comment ref="O190" authorId="3">
      <text>
        <r>
          <rPr>
            <b/>
            <sz val="8"/>
            <color indexed="81"/>
            <rFont val="Tahoma"/>
            <family val="2"/>
          </rPr>
          <t>ccampbel:</t>
        </r>
        <r>
          <rPr>
            <sz val="8"/>
            <color indexed="81"/>
            <rFont val="Tahoma"/>
            <family val="2"/>
          </rPr>
          <t xml:space="preserve">
project_r2009-02239_deir.pdf
pg 139 line 5
</t>
        </r>
      </text>
    </comment>
    <comment ref="AB190" authorId="3">
      <text>
        <r>
          <rPr>
            <b/>
            <sz val="8"/>
            <color indexed="81"/>
            <rFont val="Tahoma"/>
            <family val="2"/>
          </rPr>
          <t>ccampbel:</t>
        </r>
        <r>
          <rPr>
            <sz val="8"/>
            <color indexed="81"/>
            <rFont val="Tahoma"/>
            <family val="2"/>
          </rPr>
          <t xml:space="preserve">
http://www.focusvoltaico.com/en/photovoltaic-panels/catalogue/details/110/113
</t>
        </r>
      </text>
    </comment>
    <comment ref="B191" authorId="3">
      <text>
        <r>
          <rPr>
            <b/>
            <sz val="8"/>
            <color indexed="81"/>
            <rFont val="Tahoma"/>
            <family val="2"/>
          </rPr>
          <t>ccampbel:</t>
        </r>
        <r>
          <rPr>
            <sz val="8"/>
            <color indexed="81"/>
            <rFont val="Tahoma"/>
            <family val="2"/>
          </rPr>
          <t xml:space="preserve">
https://lpo.energy.gov/wp-content/uploads/2010/10/EA-1840_CVSR_Final_EA_08-20112.pdf</t>
        </r>
      </text>
    </comment>
    <comment ref="O191" authorId="3">
      <text>
        <r>
          <rPr>
            <b/>
            <sz val="8"/>
            <color indexed="81"/>
            <rFont val="Tahoma"/>
            <family val="2"/>
          </rPr>
          <t>ccampbel:</t>
        </r>
        <r>
          <rPr>
            <sz val="8"/>
            <color indexed="81"/>
            <rFont val="Tahoma"/>
            <family val="2"/>
          </rPr>
          <t xml:space="preserve">
no images</t>
        </r>
      </text>
    </comment>
    <comment ref="B192" authorId="3">
      <text>
        <r>
          <rPr>
            <b/>
            <sz val="8"/>
            <color indexed="81"/>
            <rFont val="Tahoma"/>
            <family val="2"/>
          </rPr>
          <t>ccampbel:</t>
        </r>
        <r>
          <rPr>
            <sz val="8"/>
            <color indexed="81"/>
            <rFont val="Tahoma"/>
            <family val="2"/>
          </rPr>
          <t xml:space="preserve">
updated 2/2012  was 400MW, now 250MW</t>
        </r>
      </text>
    </comment>
    <comment ref="J192" authorId="3">
      <text>
        <r>
          <rPr>
            <b/>
            <sz val="8"/>
            <color indexed="81"/>
            <rFont val="Tahoma"/>
            <family val="2"/>
          </rPr>
          <t>ccampbel:</t>
        </r>
        <r>
          <rPr>
            <sz val="8"/>
            <color indexed="81"/>
            <rFont val="Tahoma"/>
            <family val="2"/>
          </rPr>
          <t xml:space="preserve">
was 7925 acres
now 2500
</t>
        </r>
      </text>
    </comment>
    <comment ref="M192" authorId="2">
      <text>
        <r>
          <rPr>
            <b/>
            <sz val="8"/>
            <color indexed="81"/>
            <rFont val="Tahoma"/>
            <family val="2"/>
          </rPr>
          <t>song:</t>
        </r>
        <r>
          <rPr>
            <sz val="8"/>
            <color indexed="81"/>
            <rFont val="Tahoma"/>
            <family val="2"/>
          </rPr>
          <t xml:space="preserve">
large because of drainage controls </t>
        </r>
      </text>
    </comment>
    <comment ref="AE195" authorId="5">
      <text>
        <r>
          <rPr>
            <b/>
            <sz val="9"/>
            <color indexed="81"/>
            <rFont val="Tahoma"/>
            <family val="2"/>
          </rPr>
          <t>Windows User:</t>
        </r>
        <r>
          <rPr>
            <sz val="9"/>
            <color indexed="81"/>
            <rFont val="Tahoma"/>
            <family val="2"/>
          </rPr>
          <t xml:space="preserve">
Construction to start 2012</t>
        </r>
      </text>
    </comment>
    <comment ref="Y197" authorId="3">
      <text>
        <r>
          <rPr>
            <b/>
            <sz val="8"/>
            <color indexed="81"/>
            <rFont val="Tahoma"/>
            <family val="2"/>
          </rPr>
          <t>ccampbel:</t>
        </r>
        <r>
          <rPr>
            <sz val="8"/>
            <color indexed="81"/>
            <rFont val="Tahoma"/>
            <family val="2"/>
          </rPr>
          <t xml:space="preserve">
assuming fixed from photo</t>
        </r>
      </text>
    </comment>
    <comment ref="B198" authorId="3">
      <text>
        <r>
          <rPr>
            <b/>
            <sz val="8"/>
            <color indexed="81"/>
            <rFont val="Tahoma"/>
            <family val="2"/>
          </rPr>
          <t>ccampbel:</t>
        </r>
        <r>
          <rPr>
            <sz val="8"/>
            <color indexed="81"/>
            <rFont val="Tahoma"/>
            <family val="2"/>
          </rPr>
          <t xml:space="preserve">
No info about actually moving forward, or cancellation of project.
Maybe BP dropped it with the gulf oil spill.  Update.  BP Solar no longer exist
</t>
        </r>
      </text>
    </comment>
    <comment ref="F199" authorId="1">
      <text>
        <r>
          <rPr>
            <b/>
            <sz val="8"/>
            <color indexed="81"/>
            <rFont val="Tahoma"/>
            <family val="2"/>
          </rPr>
          <t>Sean Ong:</t>
        </r>
        <r>
          <rPr>
            <sz val="8"/>
            <color indexed="81"/>
            <rFont val="Tahoma"/>
            <family val="2"/>
          </rPr>
          <t xml:space="preserve">
one of the links calimed that each array was 1MW AC or 1.2MW DC (21 arrays). See links txt file for more info.</t>
        </r>
      </text>
    </comment>
    <comment ref="J199" authorId="3">
      <text>
        <r>
          <rPr>
            <b/>
            <sz val="8"/>
            <color indexed="81"/>
            <rFont val="Tahoma"/>
            <family val="2"/>
          </rPr>
          <t>ccampbel:</t>
        </r>
        <r>
          <rPr>
            <sz val="8"/>
            <color indexed="81"/>
            <rFont val="Tahoma"/>
            <family val="2"/>
          </rPr>
          <t xml:space="preserve">
stated as 200, measured 186
</t>
        </r>
      </text>
    </comment>
    <comment ref="E200" authorId="3">
      <text>
        <r>
          <rPr>
            <b/>
            <sz val="8"/>
            <color indexed="81"/>
            <rFont val="Tahoma"/>
            <family val="2"/>
          </rPr>
          <t>ccampbel:</t>
        </r>
        <r>
          <rPr>
            <sz val="8"/>
            <color indexed="81"/>
            <rFont val="Tahoma"/>
            <family val="2"/>
          </rPr>
          <t xml:space="preserve">
30000kW AC</t>
        </r>
      </text>
    </comment>
    <comment ref="B202" authorId="4">
      <text>
        <r>
          <rPr>
            <b/>
            <sz val="9"/>
            <color indexed="81"/>
            <rFont val="Tahoma"/>
            <family val="2"/>
          </rPr>
          <t>Clinton Campbell:</t>
        </r>
        <r>
          <rPr>
            <sz val="9"/>
            <color indexed="81"/>
            <rFont val="Tahoma"/>
            <family val="2"/>
          </rPr>
          <t xml:space="preserve">
http://www.blm.gov/ca/st/en/fo/palmsprings/Solar_Projects/Desert_Sunlight.html</t>
        </r>
      </text>
    </comment>
    <comment ref="B203" authorId="3">
      <text>
        <r>
          <rPr>
            <b/>
            <sz val="8"/>
            <color indexed="81"/>
            <rFont val="Tahoma"/>
            <family val="2"/>
          </rPr>
          <t>ccampbel:</t>
        </r>
        <r>
          <rPr>
            <sz val="8"/>
            <color indexed="81"/>
            <rFont val="Tahoma"/>
            <family val="2"/>
          </rPr>
          <t xml:space="preserve">
3 separate projects built on the same site, by the same company totalling 45 MW.
Google Maps</t>
        </r>
      </text>
    </comment>
    <comment ref="B204" authorId="1">
      <text>
        <r>
          <rPr>
            <b/>
            <sz val="8"/>
            <color indexed="81"/>
            <rFont val="Tahoma"/>
            <family val="2"/>
          </rPr>
          <t>Sean Ong:</t>
        </r>
        <r>
          <rPr>
            <sz val="8"/>
            <color indexed="81"/>
            <rFont val="Tahoma"/>
            <family val="2"/>
          </rPr>
          <t xml:space="preserve">
Expansion of El Dorado Solar, so look into the el dorado solar folder
Also sempra mesquite 150MW project on same land?</t>
        </r>
      </text>
    </comment>
    <comment ref="F204" authorId="1">
      <text>
        <r>
          <rPr>
            <b/>
            <sz val="8"/>
            <color indexed="81"/>
            <rFont val="Tahoma"/>
            <family val="2"/>
          </rPr>
          <t>Sean Ong:</t>
        </r>
        <r>
          <rPr>
            <sz val="8"/>
            <color indexed="81"/>
            <rFont val="Tahoma"/>
            <family val="2"/>
          </rPr>
          <t xml:space="preserve">
based on el dorado's scale factor of 1.2 and also FSE blythe had the same scale factor</t>
        </r>
      </text>
    </comment>
    <comment ref="J204" authorId="3">
      <text>
        <r>
          <rPr>
            <b/>
            <sz val="8"/>
            <color indexed="81"/>
            <rFont val="Tahoma"/>
            <family val="2"/>
          </rPr>
          <t>ccampbel:</t>
        </r>
        <r>
          <rPr>
            <sz val="8"/>
            <color indexed="81"/>
            <rFont val="Tahoma"/>
            <family val="2"/>
          </rPr>
          <t xml:space="preserve">
Sempras factsheet says 450 acres and almost a million panesl Also rates as 58MW</t>
        </r>
      </text>
    </comment>
    <comment ref="F205" authorId="5">
      <text>
        <r>
          <rPr>
            <b/>
            <sz val="9"/>
            <color indexed="81"/>
            <rFont val="Tahoma"/>
            <family val="2"/>
          </rPr>
          <t>Windows User:</t>
        </r>
        <r>
          <rPr>
            <sz val="9"/>
            <color indexed="81"/>
            <rFont val="Tahoma"/>
            <family val="2"/>
          </rPr>
          <t xml:space="preserve">
may be as high as 80000
</t>
        </r>
      </text>
    </comment>
    <comment ref="J206" authorId="3">
      <text>
        <r>
          <rPr>
            <b/>
            <sz val="8"/>
            <color indexed="81"/>
            <rFont val="Tahoma"/>
            <family val="2"/>
          </rPr>
          <t>ccampbel:</t>
        </r>
        <r>
          <rPr>
            <sz val="8"/>
            <color indexed="81"/>
            <rFont val="Tahoma"/>
            <family val="2"/>
          </rPr>
          <t xml:space="preserve">
http://www.blm.gov/pgdata/etc/medialib/blm/nv/field_offices/las_vegas_field_office/energy/nextlight_-_other/nextlight_map.Par.94625.File.dat/Project%20Fact%20Sheet%2002Nov10.pdf
</t>
        </r>
      </text>
    </comment>
    <comment ref="AF208" authorId="1">
      <text>
        <r>
          <rPr>
            <b/>
            <sz val="8"/>
            <color indexed="81"/>
            <rFont val="Tahoma"/>
            <family val="2"/>
          </rPr>
          <t>Sean Ong:</t>
        </r>
        <r>
          <rPr>
            <sz val="8"/>
            <color indexed="81"/>
            <rFont val="Tahoma"/>
            <family val="2"/>
          </rPr>
          <t xml:space="preserve">
on link at right: "The three main project components will require a total of about 4,410 acres – 4,090 acres for the Solar Farm, 230 acres for the transmission corridor, and 90 acres for the substation."
on BLM front page link:
"7040 acres"
http://www.blm.gov/wo/st/en/prog/energy/renewable_energy/fast-track_renewable.html
</t>
        </r>
      </text>
    </comment>
    <comment ref="B209" authorId="5">
      <text>
        <r>
          <rPr>
            <b/>
            <sz val="9"/>
            <color indexed="81"/>
            <rFont val="Tahoma"/>
            <family val="2"/>
          </rPr>
          <t>Windows User:</t>
        </r>
        <r>
          <rPr>
            <sz val="9"/>
            <color indexed="81"/>
            <rFont val="Tahoma"/>
            <family val="2"/>
          </rPr>
          <t xml:space="preserve">
largest farm under construction
</t>
        </r>
      </text>
    </comment>
    <comment ref="E209" authorId="5">
      <text>
        <r>
          <rPr>
            <b/>
            <sz val="9"/>
            <color indexed="81"/>
            <rFont val="Tahoma"/>
            <family val="2"/>
          </rPr>
          <t>Windows User:</t>
        </r>
        <r>
          <rPr>
            <sz val="9"/>
            <color indexed="81"/>
            <rFont val="Tahoma"/>
            <family val="2"/>
          </rPr>
          <t xml:space="preserve">
specified ac
</t>
        </r>
      </text>
    </comment>
    <comment ref="B210" authorId="3">
      <text>
        <r>
          <rPr>
            <b/>
            <sz val="8"/>
            <color indexed="81"/>
            <rFont val="Tahoma"/>
            <family val="2"/>
          </rPr>
          <t>ccampbel:</t>
        </r>
        <r>
          <rPr>
            <sz val="8"/>
            <color indexed="81"/>
            <rFont val="Tahoma"/>
            <family val="2"/>
          </rPr>
          <t xml:space="preserve">
information still lacking</t>
        </r>
      </text>
    </comment>
    <comment ref="W215" authorId="5">
      <text>
        <r>
          <rPr>
            <b/>
            <sz val="9"/>
            <color indexed="81"/>
            <rFont val="Tahoma"/>
            <family val="2"/>
          </rPr>
          <t>Windows User:</t>
        </r>
        <r>
          <rPr>
            <sz val="9"/>
            <color indexed="81"/>
            <rFont val="Tahoma"/>
            <family val="2"/>
          </rPr>
          <t xml:space="preserve">
approximate location
</t>
        </r>
      </text>
    </comment>
    <comment ref="W217" authorId="5">
      <text>
        <r>
          <rPr>
            <b/>
            <sz val="9"/>
            <color indexed="81"/>
            <rFont val="Tahoma"/>
            <family val="2"/>
          </rPr>
          <t>Windows User:</t>
        </r>
        <r>
          <rPr>
            <sz val="9"/>
            <color indexed="81"/>
            <rFont val="Tahoma"/>
            <family val="2"/>
          </rPr>
          <t xml:space="preserve">
approximate
</t>
        </r>
      </text>
    </comment>
    <comment ref="B225" authorId="3">
      <text>
        <r>
          <rPr>
            <b/>
            <sz val="8"/>
            <color indexed="81"/>
            <rFont val="Tahoma"/>
            <family val="2"/>
          </rPr>
          <t>ccampbel:</t>
        </r>
        <r>
          <rPr>
            <sz val="8"/>
            <color indexed="81"/>
            <rFont val="Tahoma"/>
            <family val="2"/>
          </rPr>
          <t xml:space="preserve">
Pending financing, since laws allowing passing cost to utility customers wasn't passed.</t>
        </r>
      </text>
    </comment>
    <comment ref="E227" authorId="5">
      <text>
        <r>
          <rPr>
            <b/>
            <sz val="9"/>
            <color indexed="81"/>
            <rFont val="Tahoma"/>
            <family val="2"/>
          </rPr>
          <t>Windows User:</t>
        </r>
        <r>
          <rPr>
            <sz val="9"/>
            <color indexed="81"/>
            <rFont val="Tahoma"/>
            <family val="2"/>
          </rPr>
          <t xml:space="preserve">
may be 50000MWAC</t>
        </r>
      </text>
    </comment>
    <comment ref="G230" authorId="3">
      <text>
        <r>
          <rPr>
            <b/>
            <sz val="8"/>
            <color indexed="81"/>
            <rFont val="Tahoma"/>
            <family val="2"/>
          </rPr>
          <t>ccampbel:</t>
        </r>
        <r>
          <rPr>
            <sz val="8"/>
            <color indexed="81"/>
            <rFont val="Tahoma"/>
            <family val="2"/>
          </rPr>
          <t xml:space="preserve">
how much loaned by DOE
</t>
        </r>
      </text>
    </comment>
    <comment ref="B236" authorId="3">
      <text>
        <r>
          <rPr>
            <b/>
            <sz val="8"/>
            <color indexed="81"/>
            <rFont val="Tahoma"/>
            <family val="2"/>
          </rPr>
          <t>ccampbel:</t>
        </r>
        <r>
          <rPr>
            <sz val="8"/>
            <color indexed="81"/>
            <rFont val="Tahoma"/>
            <family val="2"/>
          </rPr>
          <t xml:space="preserve">
No new information since it was announced. Still on SEIA projects- no name
</t>
        </r>
      </text>
    </comment>
    <comment ref="B237" authorId="3">
      <text>
        <r>
          <rPr>
            <b/>
            <sz val="8"/>
            <color indexed="81"/>
            <rFont val="Tahoma"/>
            <family val="2"/>
          </rPr>
          <t>ccampbel:</t>
        </r>
        <r>
          <rPr>
            <sz val="8"/>
            <color indexed="81"/>
            <rFont val="Tahoma"/>
            <family val="2"/>
          </rPr>
          <t xml:space="preserve">
land use approved by blm.gov.  First phase 175MW, second 100MW</t>
        </r>
      </text>
    </comment>
    <comment ref="E237" authorId="3">
      <text>
        <r>
          <rPr>
            <b/>
            <sz val="8"/>
            <color indexed="81"/>
            <rFont val="Tahoma"/>
            <family val="2"/>
          </rPr>
          <t>ccampbel:</t>
        </r>
        <r>
          <rPr>
            <sz val="8"/>
            <color indexed="81"/>
            <rFont val="Tahoma"/>
            <family val="2"/>
          </rPr>
          <t xml:space="preserve">
BLM documents</t>
        </r>
      </text>
    </comment>
    <comment ref="J237" authorId="3">
      <text>
        <r>
          <rPr>
            <b/>
            <sz val="8"/>
            <color indexed="81"/>
            <rFont val="Tahoma"/>
            <family val="2"/>
          </rPr>
          <t>ccampbel:</t>
        </r>
        <r>
          <rPr>
            <sz val="8"/>
            <color indexed="81"/>
            <rFont val="Tahoma"/>
            <family val="2"/>
          </rPr>
          <t xml:space="preserve">
was 1150 now 2067</t>
        </r>
      </text>
    </comment>
    <comment ref="B238" authorId="5">
      <text>
        <r>
          <rPr>
            <b/>
            <sz val="9"/>
            <color indexed="81"/>
            <rFont val="Tahoma"/>
            <family val="2"/>
          </rPr>
          <t>Windows User:</t>
        </r>
        <r>
          <rPr>
            <sz val="9"/>
            <color indexed="81"/>
            <rFont val="Tahoma"/>
            <family val="2"/>
          </rPr>
          <t xml:space="preserve">
Possibly not one chunk in a single location.  A minimum of 20 farms
</t>
        </r>
      </text>
    </comment>
    <comment ref="B240" authorId="3">
      <text>
        <r>
          <rPr>
            <b/>
            <sz val="8"/>
            <color indexed="81"/>
            <rFont val="Tahoma"/>
            <family val="2"/>
          </rPr>
          <t>ccampbel:</t>
        </r>
        <r>
          <rPr>
            <sz val="8"/>
            <color indexed="81"/>
            <rFont val="Tahoma"/>
            <family val="2"/>
          </rPr>
          <t xml:space="preserve">
construction to begin in 2013
DOD says 440MW on 3288acres</t>
        </r>
      </text>
    </comment>
    <comment ref="E240" authorId="3">
      <text>
        <r>
          <rPr>
            <b/>
            <sz val="8"/>
            <color indexed="81"/>
            <rFont val="Tahoma"/>
            <family val="2"/>
          </rPr>
          <t>ccampbel:</t>
        </r>
        <r>
          <rPr>
            <sz val="8"/>
            <color indexed="81"/>
            <rFont val="Tahoma"/>
            <family val="2"/>
          </rPr>
          <t xml:space="preserve">
stated as both numbers, not specifying ac or dc
</t>
        </r>
      </text>
    </comment>
    <comment ref="B241" authorId="3">
      <text>
        <r>
          <rPr>
            <b/>
            <sz val="8"/>
            <color indexed="81"/>
            <rFont val="Tahoma"/>
            <family val="2"/>
          </rPr>
          <t>ccampbel:</t>
        </r>
        <r>
          <rPr>
            <sz val="8"/>
            <color indexed="81"/>
            <rFont val="Tahoma"/>
            <family val="2"/>
          </rPr>
          <t xml:space="preserve">
this is what the final build size of Mesquite solar should be when all phases completed
</t>
        </r>
      </text>
    </comment>
    <comment ref="W254" authorId="4">
      <text>
        <r>
          <rPr>
            <b/>
            <sz val="9"/>
            <color indexed="81"/>
            <rFont val="Tahoma"/>
            <family val="2"/>
          </rPr>
          <t>Clinton Campbell:</t>
        </r>
        <r>
          <rPr>
            <sz val="9"/>
            <color indexed="81"/>
            <rFont val="Tahoma"/>
            <family val="2"/>
          </rPr>
          <t xml:space="preserve">
</t>
        </r>
      </text>
    </comment>
    <comment ref="B466" authorId="1">
      <text>
        <r>
          <rPr>
            <b/>
            <sz val="9"/>
            <color indexed="81"/>
            <rFont val="Tahoma"/>
            <family val="2"/>
          </rPr>
          <t>Sean Ong:</t>
        </r>
        <r>
          <rPr>
            <sz val="9"/>
            <color indexed="81"/>
            <rFont val="Tahoma"/>
            <family val="2"/>
          </rPr>
          <t xml:space="preserve">
removed because it implies using 5% efficiency modules (see e-mail I sent on 4/18/2013)
Sean Ong</t>
        </r>
      </text>
    </comment>
    <comment ref="F466" authorId="5">
      <text>
        <r>
          <rPr>
            <b/>
            <sz val="9"/>
            <color indexed="81"/>
            <rFont val="Tahoma"/>
            <family val="2"/>
          </rPr>
          <t>Windows User:</t>
        </r>
        <r>
          <rPr>
            <sz val="9"/>
            <color indexed="81"/>
            <rFont val="Tahoma"/>
            <family val="2"/>
          </rPr>
          <t xml:space="preserve">
initial reports said 45000, one later says 40500
</t>
        </r>
      </text>
    </comment>
    <comment ref="J466" authorId="5">
      <text>
        <r>
          <rPr>
            <b/>
            <sz val="9"/>
            <color indexed="81"/>
            <rFont val="Tahoma"/>
            <family val="2"/>
          </rPr>
          <t>Windows User:</t>
        </r>
        <r>
          <rPr>
            <sz val="9"/>
            <color indexed="81"/>
            <rFont val="Tahoma"/>
            <family val="2"/>
          </rPr>
          <t xml:space="preserve">
many initial reports say 516,  one says 422
http://www.vvdailypress.com/articles/plant-22188-san-solar.html
</t>
        </r>
      </text>
    </comment>
  </commentList>
</comments>
</file>

<file path=xl/comments10.xml><?xml version="1.0" encoding="utf-8"?>
<comments xmlns="http://schemas.openxmlformats.org/spreadsheetml/2006/main">
  <authors>
    <author>Author</author>
    <author>Clinton Campbell</author>
    <author>ccampbel</author>
    <author>Windows User</author>
    <author>song</author>
    <author>Sean Ong</author>
  </authors>
  <commentList>
    <comment ref="AI2" authorId="0">
      <text>
        <r>
          <rPr>
            <b/>
            <sz val="8"/>
            <color indexed="81"/>
            <rFont val="Tahoma"/>
            <family val="2"/>
          </rPr>
          <t>Author:</t>
        </r>
        <r>
          <rPr>
            <sz val="8"/>
            <color indexed="81"/>
            <rFont val="Tahoma"/>
            <family val="2"/>
          </rPr>
          <t xml:space="preserve">
Green highlight means that original AC data was included. White means that AC data was based on the weighted average of all other PV farms that had AC data</t>
        </r>
      </text>
    </comment>
    <comment ref="C7" authorId="1">
      <text>
        <r>
          <rPr>
            <b/>
            <sz val="9"/>
            <color indexed="81"/>
            <rFont val="Tahoma"/>
            <family val="2"/>
          </rPr>
          <t>Clinton Campbell:</t>
        </r>
        <r>
          <rPr>
            <sz val="9"/>
            <color indexed="81"/>
            <rFont val="Tahoma"/>
            <family val="2"/>
          </rPr>
          <t xml:space="preserve">
10% of peak output of total system
</t>
        </r>
      </text>
    </comment>
    <comment ref="AJ8" authorId="2">
      <text>
        <r>
          <rPr>
            <b/>
            <sz val="8"/>
            <color indexed="81"/>
            <rFont val="Tahoma"/>
            <family val="2"/>
          </rPr>
          <t>ccampbel:</t>
        </r>
        <r>
          <rPr>
            <sz val="8"/>
            <color indexed="81"/>
            <rFont val="Tahoma"/>
            <family val="2"/>
          </rPr>
          <t xml:space="preserve">
only see data for 1000 kW system.</t>
        </r>
      </text>
    </comment>
    <comment ref="K10" authorId="3">
      <text>
        <r>
          <rPr>
            <b/>
            <sz val="9"/>
            <color indexed="81"/>
            <rFont val="Tahoma"/>
            <family val="2"/>
          </rPr>
          <t>Windows User:</t>
        </r>
        <r>
          <rPr>
            <sz val="9"/>
            <color indexed="81"/>
            <rFont val="Tahoma"/>
            <family val="2"/>
          </rPr>
          <t xml:space="preserve">
This plant does not use storage, however one of the NREL reports said that APS was considering the possibility of adding 6 hours of storage, suggesting that the plant is designed to be able to handle 6 hours of storage
http://www.nrel.gov/csp/troughnet/pdfs/37077.pdf</t>
        </r>
      </text>
    </comment>
    <comment ref="AJ10" authorId="2">
      <text>
        <r>
          <rPr>
            <b/>
            <sz val="8"/>
            <color indexed="81"/>
            <rFont val="Tahoma"/>
            <family val="2"/>
          </rPr>
          <t>ccampbel:</t>
        </r>
        <r>
          <rPr>
            <sz val="8"/>
            <color indexed="81"/>
            <rFont val="Tahoma"/>
            <family val="2"/>
          </rPr>
          <t xml:space="preserve">
3918KWdc, 3500KWac,Some of this is on buildings and at other sites.
</t>
        </r>
      </text>
    </comment>
    <comment ref="A11" authorId="1">
      <text>
        <r>
          <rPr>
            <b/>
            <sz val="9"/>
            <color indexed="81"/>
            <rFont val="Tahoma"/>
            <family val="2"/>
          </rPr>
          <t>Clinton Campbell:</t>
        </r>
        <r>
          <rPr>
            <sz val="9"/>
            <color indexed="81"/>
            <rFont val="Tahoma"/>
            <family val="2"/>
          </rPr>
          <t xml:space="preserve">
currently facing issues with kit foxes and ancient human settlement on proposed land</t>
        </r>
      </text>
    </comment>
    <comment ref="AF11" authorId="0">
      <text>
        <r>
          <rPr>
            <b/>
            <sz val="8"/>
            <color indexed="81"/>
            <rFont val="Tahoma"/>
            <family val="2"/>
          </rPr>
          <t>Author:</t>
        </r>
        <r>
          <rPr>
            <sz val="8"/>
            <color indexed="81"/>
            <rFont val="Tahoma"/>
            <family val="2"/>
          </rPr>
          <t xml:space="preserve">
Also known as Anheuser Busch Fairfield</t>
        </r>
      </text>
    </comment>
    <comment ref="C12" authorId="1">
      <text>
        <r>
          <rPr>
            <b/>
            <sz val="9"/>
            <color indexed="81"/>
            <rFont val="Tahoma"/>
            <family val="2"/>
          </rPr>
          <t>Clinton Campbell:</t>
        </r>
        <r>
          <rPr>
            <sz val="9"/>
            <color indexed="81"/>
            <rFont val="Tahoma"/>
            <family val="2"/>
          </rPr>
          <t xml:space="preserve">
2.5MW ADDED IN 2010
</t>
        </r>
      </text>
    </comment>
    <comment ref="B13" authorId="1">
      <text>
        <r>
          <rPr>
            <b/>
            <sz val="9"/>
            <color indexed="81"/>
            <rFont val="Tahoma"/>
            <family val="2"/>
          </rPr>
          <t>Clinton Campbell:</t>
        </r>
        <r>
          <rPr>
            <sz val="9"/>
            <color indexed="81"/>
            <rFont val="Tahoma"/>
            <family val="2"/>
          </rPr>
          <t xml:space="preserve">
Currently bankrupt and auctioning off equiptment from site.
</t>
        </r>
      </text>
    </comment>
    <comment ref="C14" authorId="2">
      <text>
        <r>
          <rPr>
            <b/>
            <sz val="9"/>
            <color indexed="81"/>
            <rFont val="Tahoma"/>
            <charset val="1"/>
          </rPr>
          <t>ccampbel:</t>
        </r>
        <r>
          <rPr>
            <sz val="9"/>
            <color indexed="81"/>
            <rFont val="Tahoma"/>
            <charset val="1"/>
          </rPr>
          <t xml:space="preserve">
2 towers
</t>
        </r>
      </text>
    </comment>
    <comment ref="AI19" authorId="2">
      <text>
        <r>
          <rPr>
            <b/>
            <sz val="8"/>
            <color indexed="81"/>
            <rFont val="Tahoma"/>
            <family val="2"/>
          </rPr>
          <t>ccampbel:</t>
        </r>
        <r>
          <rPr>
            <sz val="8"/>
            <color indexed="81"/>
            <rFont val="Tahoma"/>
            <family val="2"/>
          </rPr>
          <t xml:space="preserve">
assuming the 1MW label is ac, since calculated capacity is 1.16MW
</t>
        </r>
      </text>
    </comment>
    <comment ref="AJ19" authorId="2">
      <text>
        <r>
          <rPr>
            <b/>
            <sz val="8"/>
            <color indexed="81"/>
            <rFont val="Tahoma"/>
            <family val="2"/>
          </rPr>
          <t>ccampbel:</t>
        </r>
        <r>
          <rPr>
            <sz val="8"/>
            <color indexed="81"/>
            <rFont val="Tahoma"/>
            <family val="2"/>
          </rPr>
          <t xml:space="preserve">
225w*5152 panels
</t>
        </r>
      </text>
    </comment>
    <comment ref="B20" authorId="1">
      <text>
        <r>
          <rPr>
            <b/>
            <sz val="9"/>
            <color indexed="81"/>
            <rFont val="Tahoma"/>
            <family val="2"/>
          </rPr>
          <t>Clinton Campbell:</t>
        </r>
        <r>
          <rPr>
            <sz val="9"/>
            <color indexed="81"/>
            <rFont val="Tahoma"/>
            <family val="2"/>
          </rPr>
          <t xml:space="preserve">
actually used as heat for oil refining and drilling.  13MWe, 29MWT
</t>
        </r>
      </text>
    </comment>
    <comment ref="D20" authorId="1">
      <text>
        <r>
          <rPr>
            <b/>
            <sz val="9"/>
            <color indexed="81"/>
            <rFont val="Tahoma"/>
            <family val="2"/>
          </rPr>
          <t>Clinton Campbell:</t>
        </r>
        <r>
          <rPr>
            <sz val="9"/>
            <color indexed="81"/>
            <rFont val="Tahoma"/>
            <family val="2"/>
          </rPr>
          <t xml:space="preserve">
Stated as 100 acres. Measured 86</t>
        </r>
      </text>
    </comment>
    <comment ref="C21" authorId="2">
      <text>
        <r>
          <rPr>
            <b/>
            <sz val="9"/>
            <color indexed="81"/>
            <rFont val="Tahoma"/>
            <charset val="1"/>
          </rPr>
          <t>ccampbel:</t>
        </r>
        <r>
          <rPr>
            <sz val="9"/>
            <color indexed="81"/>
            <rFont val="Tahoma"/>
            <charset val="1"/>
          </rPr>
          <t xml:space="preserve">
3 towers</t>
        </r>
      </text>
    </comment>
    <comment ref="B22" authorId="1">
      <text>
        <r>
          <rPr>
            <b/>
            <sz val="9"/>
            <color indexed="81"/>
            <rFont val="Tahoma"/>
            <family val="2"/>
          </rPr>
          <t>Clinton Campbell:</t>
        </r>
        <r>
          <rPr>
            <sz val="9"/>
            <color indexed="81"/>
            <rFont val="Tahoma"/>
            <family val="2"/>
          </rPr>
          <t xml:space="preserve">
what would happen if used to boost a coal plant</t>
        </r>
      </text>
    </comment>
    <comment ref="AJ22" authorId="2">
      <text>
        <r>
          <rPr>
            <b/>
            <sz val="8"/>
            <color indexed="81"/>
            <rFont val="Tahoma"/>
            <family val="2"/>
          </rPr>
          <t>ccampbel:</t>
        </r>
        <r>
          <rPr>
            <sz val="8"/>
            <color indexed="81"/>
            <rFont val="Tahoma"/>
            <family val="2"/>
          </rPr>
          <t xml:space="preserve">
was 2000, second phase of 3.5MW completed December 2010.  Look below for second phase</t>
        </r>
      </text>
    </comment>
    <comment ref="AJ25" authorId="2">
      <text>
        <r>
          <rPr>
            <b/>
            <sz val="8"/>
            <color indexed="81"/>
            <rFont val="Tahoma"/>
            <family val="2"/>
          </rPr>
          <t>ccampbel:</t>
        </r>
        <r>
          <rPr>
            <sz val="8"/>
            <color indexed="81"/>
            <rFont val="Tahoma"/>
            <family val="2"/>
          </rPr>
          <t xml:space="preserve">
stated as DC
</t>
        </r>
      </text>
    </comment>
    <comment ref="D26" authorId="4">
      <text>
        <r>
          <rPr>
            <b/>
            <sz val="8"/>
            <color indexed="81"/>
            <rFont val="Tahoma"/>
            <family val="2"/>
          </rPr>
          <t>song:</t>
        </r>
        <r>
          <rPr>
            <sz val="8"/>
            <color indexed="81"/>
            <rFont val="Tahoma"/>
            <family val="2"/>
          </rPr>
          <t xml:space="preserve">
http://www.energy.ca.gov/sitingcases/ricesolar/documents/applicant/afc/Volume_1/RSEP_0%200_Executive_Summary.pdf
or PDF in source folder
page 4.</t>
        </r>
      </text>
    </comment>
    <comment ref="AF26" authorId="5">
      <text>
        <r>
          <rPr>
            <b/>
            <sz val="8"/>
            <color indexed="81"/>
            <rFont val="Tahoma"/>
            <family val="2"/>
          </rPr>
          <t>Sean Ong:</t>
        </r>
        <r>
          <rPr>
            <sz val="8"/>
            <color indexed="81"/>
            <rFont val="Tahoma"/>
            <family val="2"/>
          </rPr>
          <t xml:space="preserve">
Prescott Solar Plant comprised of 1axis and 2axis tracking, seperated here.
There are two different types of 1-axis tracking (horizontal, and tilted). This section only represents the horizontal. The tilted is an additional 384 kW DC. I will add that in the future.</t>
        </r>
      </text>
    </comment>
    <comment ref="AE27" authorId="2">
      <text>
        <r>
          <rPr>
            <b/>
            <sz val="8"/>
            <color indexed="81"/>
            <rFont val="Tahoma"/>
            <family val="2"/>
          </rPr>
          <t>ccampbel:</t>
        </r>
        <r>
          <rPr>
            <sz val="8"/>
            <color indexed="81"/>
            <rFont val="Tahoma"/>
            <family val="2"/>
          </rPr>
          <t xml:space="preserve">
I don’t' think this ever made it off the ground, and the area was taken off of the prime solar energy list.</t>
        </r>
      </text>
    </comment>
    <comment ref="AJ29" authorId="2">
      <text>
        <r>
          <rPr>
            <b/>
            <sz val="8"/>
            <color indexed="81"/>
            <rFont val="Tahoma"/>
            <family val="2"/>
          </rPr>
          <t>ccampbel:</t>
        </r>
        <r>
          <rPr>
            <sz val="8"/>
            <color indexed="81"/>
            <rFont val="Tahoma"/>
            <family val="2"/>
          </rPr>
          <t xml:space="preserve">
american capital energy says 4.4MWDC
http://www.americancapitalenergy.com/yardville-solar-farm/</t>
        </r>
      </text>
    </comment>
    <comment ref="C30" authorId="2">
      <text>
        <r>
          <rPr>
            <b/>
            <sz val="9"/>
            <color indexed="81"/>
            <rFont val="Tahoma"/>
            <charset val="1"/>
          </rPr>
          <t>ccampbel:</t>
        </r>
        <r>
          <rPr>
            <sz val="9"/>
            <color indexed="81"/>
            <rFont val="Tahoma"/>
            <charset val="1"/>
          </rPr>
          <t xml:space="preserve">
2 towers
</t>
        </r>
      </text>
    </comment>
    <comment ref="F30" authorId="1">
      <text>
        <r>
          <rPr>
            <b/>
            <sz val="9"/>
            <color indexed="81"/>
            <rFont val="Tahoma"/>
            <family val="2"/>
          </rPr>
          <t>Clinton Campbell:</t>
        </r>
        <r>
          <rPr>
            <sz val="9"/>
            <color indexed="81"/>
            <rFont val="Tahoma"/>
            <family val="2"/>
          </rPr>
          <t xml:space="preserve">
4300 radius heliostat structure*2+ 80000bldng+5000+5000+11000 = 116277096 sqft 
</t>
        </r>
      </text>
    </comment>
    <comment ref="AJ33" authorId="2">
      <text>
        <r>
          <rPr>
            <b/>
            <sz val="8"/>
            <color indexed="81"/>
            <rFont val="Tahoma"/>
            <family val="2"/>
          </rPr>
          <t>ccampbel:</t>
        </r>
        <r>
          <rPr>
            <sz val="8"/>
            <color indexed="81"/>
            <rFont val="Tahoma"/>
            <family val="2"/>
          </rPr>
          <t xml:space="preserve">
http://www.slideshare.net/solarszaro/greenovations-ouc-presentation
specifies DC
</t>
        </r>
      </text>
    </comment>
    <comment ref="AE35" authorId="2">
      <text>
        <r>
          <rPr>
            <b/>
            <sz val="8"/>
            <color indexed="81"/>
            <rFont val="Tahoma"/>
            <family val="2"/>
          </rPr>
          <t>ccampbel:</t>
        </r>
        <r>
          <rPr>
            <sz val="8"/>
            <color indexed="81"/>
            <rFont val="Tahoma"/>
            <family val="2"/>
          </rPr>
          <t xml:space="preserve">
found aerial image of site</t>
        </r>
      </text>
    </comment>
    <comment ref="AF38"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AJ39" authorId="3">
      <text>
        <r>
          <rPr>
            <b/>
            <sz val="9"/>
            <color indexed="81"/>
            <rFont val="Tahoma"/>
            <family val="2"/>
          </rPr>
          <t>Windows User:</t>
        </r>
        <r>
          <rPr>
            <sz val="9"/>
            <color indexed="81"/>
            <rFont val="Tahoma"/>
            <family val="2"/>
          </rPr>
          <t xml:space="preserve">
Specified DC
</t>
        </r>
      </text>
    </comment>
    <comment ref="AJ42" authorId="3">
      <text>
        <r>
          <rPr>
            <b/>
            <sz val="9"/>
            <color indexed="81"/>
            <rFont val="Tahoma"/>
            <family val="2"/>
          </rPr>
          <t>Windows User:</t>
        </r>
        <r>
          <rPr>
            <sz val="9"/>
            <color indexed="81"/>
            <rFont val="Tahoma"/>
            <family val="2"/>
          </rPr>
          <t xml:space="preserve">
specified dc
</t>
        </r>
      </text>
    </comment>
    <comment ref="AI45" authorId="3">
      <text>
        <r>
          <rPr>
            <b/>
            <sz val="9"/>
            <color indexed="81"/>
            <rFont val="Tahoma"/>
            <family val="2"/>
          </rPr>
          <t>Windows User:</t>
        </r>
        <r>
          <rPr>
            <sz val="9"/>
            <color indexed="81"/>
            <rFont val="Tahoma"/>
            <family val="2"/>
          </rPr>
          <t xml:space="preserve">
400 is actually fixed axis</t>
        </r>
      </text>
    </comment>
    <comment ref="AJ46" authorId="3">
      <text>
        <r>
          <rPr>
            <b/>
            <sz val="9"/>
            <color indexed="81"/>
            <rFont val="Tahoma"/>
            <family val="2"/>
          </rPr>
          <t>Windows User:</t>
        </r>
        <r>
          <rPr>
            <sz val="9"/>
            <color indexed="81"/>
            <rFont val="Tahoma"/>
            <family val="2"/>
          </rPr>
          <t xml:space="preserve">
http://www.weitz.com/project/aps-prescott/
specified 11.75MW, not 10MW</t>
        </r>
      </text>
    </comment>
    <comment ref="AF49" authorId="2">
      <text>
        <r>
          <rPr>
            <b/>
            <sz val="8"/>
            <color indexed="81"/>
            <rFont val="Tahoma"/>
            <family val="2"/>
          </rPr>
          <t>ccampbel:</t>
        </r>
        <r>
          <rPr>
            <sz val="8"/>
            <color indexed="81"/>
            <rFont val="Tahoma"/>
            <family val="2"/>
          </rPr>
          <t xml:space="preserve">
originally planned for 2 sites totalling 74.6MW, only the 14.4 MW on 90acres got approved. </t>
        </r>
      </text>
    </comment>
    <comment ref="AJ53" authorId="3">
      <text>
        <r>
          <rPr>
            <b/>
            <sz val="9"/>
            <color indexed="81"/>
            <rFont val="Tahoma"/>
            <family val="2"/>
          </rPr>
          <t>Windows User:</t>
        </r>
        <r>
          <rPr>
            <sz val="9"/>
            <color indexed="81"/>
            <rFont val="Tahoma"/>
            <family val="2"/>
          </rPr>
          <t xml:space="preserve">
specified dc
</t>
        </r>
      </text>
    </comment>
    <comment ref="AF55" authorId="2">
      <text>
        <r>
          <rPr>
            <b/>
            <sz val="8"/>
            <color indexed="81"/>
            <rFont val="Tahoma"/>
            <family val="2"/>
          </rPr>
          <t>ccampbel:</t>
        </r>
        <r>
          <rPr>
            <sz val="8"/>
            <color indexed="81"/>
            <rFont val="Tahoma"/>
            <family val="2"/>
          </rPr>
          <t xml:space="preserve">
added picture
size was decreased from initial ratings</t>
        </r>
      </text>
    </comment>
    <comment ref="AJ55" authorId="2">
      <text>
        <r>
          <rPr>
            <b/>
            <sz val="8"/>
            <color indexed="81"/>
            <rFont val="Tahoma"/>
            <family val="2"/>
          </rPr>
          <t>ccampbel:</t>
        </r>
        <r>
          <rPr>
            <sz val="8"/>
            <color indexed="81"/>
            <rFont val="Tahoma"/>
            <family val="2"/>
          </rPr>
          <t xml:space="preserve">
was 21500DC 18000AC
now 17200DC 15500AC</t>
        </r>
      </text>
    </comment>
    <comment ref="AF58" authorId="2">
      <text>
        <r>
          <rPr>
            <b/>
            <sz val="8"/>
            <color indexed="81"/>
            <rFont val="Tahoma"/>
            <family val="2"/>
          </rPr>
          <t>ccampbel:</t>
        </r>
        <r>
          <rPr>
            <sz val="8"/>
            <color indexed="81"/>
            <rFont val="Tahoma"/>
            <family val="2"/>
          </rPr>
          <t xml:space="preserve">
2 axis tracking placed where it would fit on land. Odd Shape
</t>
        </r>
      </text>
    </comment>
    <comment ref="AJ58" authorId="2">
      <text>
        <r>
          <rPr>
            <b/>
            <sz val="8"/>
            <color indexed="81"/>
            <rFont val="Tahoma"/>
            <family val="2"/>
          </rPr>
          <t>ccampbel:</t>
        </r>
        <r>
          <rPr>
            <sz val="8"/>
            <color indexed="81"/>
            <rFont val="Tahoma"/>
            <family val="2"/>
          </rPr>
          <t xml:space="preserve">
specified DC
</t>
        </r>
      </text>
    </comment>
    <comment ref="AF59"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AE62" authorId="1">
      <text>
        <r>
          <rPr>
            <b/>
            <sz val="9"/>
            <color indexed="81"/>
            <rFont val="Tahoma"/>
            <family val="2"/>
          </rPr>
          <t>Clinton Campbell:</t>
        </r>
        <r>
          <rPr>
            <sz val="9"/>
            <color indexed="81"/>
            <rFont val="Tahoma"/>
            <family val="2"/>
          </rPr>
          <t xml:space="preserve">
this one skeps CPV data since it is 2 axis and a very small plant.  Odd shaped panels too.</t>
        </r>
      </text>
    </comment>
    <comment ref="AF62" authorId="5">
      <text>
        <r>
          <rPr>
            <b/>
            <sz val="8"/>
            <color indexed="81"/>
            <rFont val="Tahoma"/>
            <family val="2"/>
          </rPr>
          <t>Sean Ong:</t>
        </r>
        <r>
          <rPr>
            <sz val="8"/>
            <color indexed="81"/>
            <rFont val="Tahoma"/>
            <family val="2"/>
          </rPr>
          <t xml:space="preserve">
Prescott Solar Plant comprised of 1axis and 2axis tracking, seperated here</t>
        </r>
      </text>
    </comment>
    <comment ref="AI65" authorId="2">
      <text>
        <r>
          <rPr>
            <b/>
            <sz val="8"/>
            <color indexed="81"/>
            <rFont val="Tahoma"/>
            <family val="2"/>
          </rPr>
          <t>ccampbel:</t>
        </r>
        <r>
          <rPr>
            <sz val="8"/>
            <color indexed="81"/>
            <rFont val="Tahoma"/>
            <family val="2"/>
          </rPr>
          <t xml:space="preserve">
modules are 60kW AC
</t>
        </r>
      </text>
    </comment>
    <comment ref="AJ65" authorId="2">
      <text>
        <r>
          <rPr>
            <b/>
            <sz val="8"/>
            <color indexed="81"/>
            <rFont val="Tahoma"/>
            <family val="2"/>
          </rPr>
          <t>ccampbel:</t>
        </r>
        <r>
          <rPr>
            <sz val="8"/>
            <color indexed="81"/>
            <rFont val="Tahoma"/>
            <family val="2"/>
          </rPr>
          <t xml:space="preserve">
84*77KW models
</t>
        </r>
      </text>
    </comment>
    <comment ref="AF66"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AF68" authorId="2">
      <text>
        <r>
          <rPr>
            <b/>
            <sz val="8"/>
            <color indexed="81"/>
            <rFont val="Tahoma"/>
            <family val="2"/>
          </rPr>
          <t>ccampbel:</t>
        </r>
        <r>
          <rPr>
            <sz val="8"/>
            <color indexed="81"/>
            <rFont val="Tahoma"/>
            <family val="2"/>
          </rPr>
          <t xml:space="preserve">
2 or more ground intallation added to the premises. Need to use viseo and find more info.</t>
        </r>
      </text>
    </comment>
    <comment ref="AF69" authorId="5">
      <text>
        <r>
          <rPr>
            <b/>
            <sz val="8"/>
            <color indexed="81"/>
            <rFont val="Tahoma"/>
            <family val="2"/>
          </rPr>
          <t>Sean Ong:</t>
        </r>
        <r>
          <rPr>
            <sz val="8"/>
            <color indexed="81"/>
            <rFont val="Tahoma"/>
            <family val="2"/>
          </rPr>
          <t xml:space="preserve">
not too sure the exact land usage of this project, it is in the same project area as the 10 MW space system.
Update: I decided to split evenly the land use based on MW capacity.</t>
        </r>
      </text>
    </comment>
    <comment ref="AJ72" authorId="2">
      <text>
        <r>
          <rPr>
            <b/>
            <sz val="8"/>
            <color indexed="81"/>
            <rFont val="Tahoma"/>
            <family val="2"/>
          </rPr>
          <t>ccampbel:</t>
        </r>
        <r>
          <rPr>
            <sz val="8"/>
            <color indexed="81"/>
            <rFont val="Tahoma"/>
            <family val="2"/>
          </rPr>
          <t xml:space="preserve">
specified dc
</t>
        </r>
      </text>
    </comment>
    <comment ref="AJ78" authorId="2">
      <text>
        <r>
          <rPr>
            <b/>
            <sz val="8"/>
            <color indexed="81"/>
            <rFont val="Tahoma"/>
            <family val="2"/>
          </rPr>
          <t>ccampbel:</t>
        </r>
        <r>
          <rPr>
            <sz val="8"/>
            <color indexed="81"/>
            <rFont val="Tahoma"/>
            <family val="2"/>
          </rPr>
          <t xml:space="preserve">
specified DC
</t>
        </r>
      </text>
    </comment>
    <comment ref="AF80" authorId="2">
      <text>
        <r>
          <rPr>
            <b/>
            <sz val="8"/>
            <color indexed="81"/>
            <rFont val="Tahoma"/>
            <family val="2"/>
          </rPr>
          <t>ccampbel:</t>
        </r>
        <r>
          <rPr>
            <sz val="8"/>
            <color indexed="81"/>
            <rFont val="Tahoma"/>
            <family val="2"/>
          </rPr>
          <t xml:space="preserve">
this was added to the 2Mw on the same 30 acres.  Total Capacity brought to 5300KW</t>
        </r>
      </text>
    </comment>
    <comment ref="AF86" authorId="2">
      <text>
        <r>
          <rPr>
            <b/>
            <sz val="8"/>
            <color indexed="81"/>
            <rFont val="Tahoma"/>
            <family val="2"/>
          </rPr>
          <t>ccampbel:</t>
        </r>
        <r>
          <rPr>
            <sz val="8"/>
            <color indexed="81"/>
            <rFont val="Tahoma"/>
            <family val="2"/>
          </rPr>
          <t xml:space="preserve">
also known as silver lake solar project on internet
</t>
        </r>
      </text>
    </comment>
    <comment ref="AJ86" authorId="2">
      <text>
        <r>
          <rPr>
            <b/>
            <sz val="8"/>
            <color indexed="81"/>
            <rFont val="Tahoma"/>
            <family val="2"/>
          </rPr>
          <t>ccampbel:</t>
        </r>
        <r>
          <rPr>
            <sz val="8"/>
            <color indexed="81"/>
            <rFont val="Tahoma"/>
            <family val="2"/>
          </rPr>
          <t xml:space="preserve">
specified DC
</t>
        </r>
      </text>
    </comment>
    <comment ref="AJ90" authorId="2">
      <text>
        <r>
          <rPr>
            <b/>
            <sz val="8"/>
            <color indexed="81"/>
            <rFont val="Tahoma"/>
            <family val="2"/>
          </rPr>
          <t>ccampbel:</t>
        </r>
        <r>
          <rPr>
            <sz val="8"/>
            <color indexed="81"/>
            <rFont val="Tahoma"/>
            <family val="2"/>
          </rPr>
          <t xml:space="preserve">
specified dc
</t>
        </r>
      </text>
    </comment>
    <comment ref="AI91" authorId="2">
      <text>
        <r>
          <rPr>
            <b/>
            <sz val="8"/>
            <color indexed="81"/>
            <rFont val="Tahoma"/>
            <family val="2"/>
          </rPr>
          <t>ccampbel:</t>
        </r>
        <r>
          <rPr>
            <sz val="8"/>
            <color indexed="81"/>
            <rFont val="Tahoma"/>
            <family val="2"/>
          </rPr>
          <t xml:space="preserve">
most sites claim 2 MW, but factsheets say 2.6MW Dc</t>
        </r>
      </text>
    </comment>
    <comment ref="AI92" authorId="2">
      <text>
        <r>
          <rPr>
            <b/>
            <sz val="8"/>
            <color indexed="81"/>
            <rFont val="Tahoma"/>
            <family val="2"/>
          </rPr>
          <t>ccampbel:</t>
        </r>
        <r>
          <rPr>
            <sz val="8"/>
            <color indexed="81"/>
            <rFont val="Tahoma"/>
            <family val="2"/>
          </rPr>
          <t xml:space="preserve">
SMA 250U inverter 97% average efficiency</t>
        </r>
      </text>
    </comment>
    <comment ref="AJ95" authorId="2">
      <text>
        <r>
          <rPr>
            <b/>
            <sz val="8"/>
            <color indexed="81"/>
            <rFont val="Tahoma"/>
            <family val="2"/>
          </rPr>
          <t>ccampbel:</t>
        </r>
        <r>
          <rPr>
            <sz val="8"/>
            <color indexed="81"/>
            <rFont val="Tahoma"/>
            <family val="2"/>
          </rPr>
          <t xml:space="preserve">
3MWDc from pseg
kearny, NJ</t>
        </r>
      </text>
    </comment>
    <comment ref="AF100" authorId="2">
      <text>
        <r>
          <rPr>
            <b/>
            <sz val="8"/>
            <color indexed="81"/>
            <rFont val="Tahoma"/>
            <family val="2"/>
          </rPr>
          <t>ccampbel:</t>
        </r>
        <r>
          <rPr>
            <sz val="8"/>
            <color indexed="81"/>
            <rFont val="Tahoma"/>
            <family val="2"/>
          </rPr>
          <t xml:space="preserve">
On the roof of a huge covered reservoir.</t>
        </r>
      </text>
    </comment>
    <comment ref="AF103" authorId="3">
      <text>
        <r>
          <rPr>
            <b/>
            <sz val="9"/>
            <color indexed="81"/>
            <rFont val="Tahoma"/>
            <family val="2"/>
          </rPr>
          <t>Windows User:</t>
        </r>
        <r>
          <rPr>
            <sz val="9"/>
            <color indexed="81"/>
            <rFont val="Tahoma"/>
            <family val="2"/>
          </rPr>
          <t xml:space="preserve">
these arrays are very closely spaced, edge to edge throughout, increasing in height entire way</t>
        </r>
      </text>
    </comment>
    <comment ref="AF104" authorId="5">
      <text>
        <r>
          <rPr>
            <b/>
            <sz val="8"/>
            <color indexed="81"/>
            <rFont val="Tahoma"/>
            <family val="2"/>
          </rPr>
          <t>Sean Ong:</t>
        </r>
        <r>
          <rPr>
            <sz val="8"/>
            <color indexed="81"/>
            <rFont val="Tahoma"/>
            <family val="2"/>
          </rPr>
          <t xml:space="preserve">
2nd or 3rd phase of many. After looking at imagery, it seems that there is much empty land allocated for the panels, but for which the panels have not yet been built. This will cause the total area to be bigger per MW than other similar plants.
March 2011, rest of land filled up increasing output to 6.4MW. CJC</t>
        </r>
      </text>
    </comment>
    <comment ref="AF107" authorId="5">
      <text>
        <r>
          <rPr>
            <b/>
            <sz val="8"/>
            <color indexed="81"/>
            <rFont val="Tahoma"/>
            <family val="2"/>
          </rPr>
          <t>Sean Ong:</t>
        </r>
        <r>
          <rPr>
            <sz val="8"/>
            <color indexed="81"/>
            <rFont val="Tahoma"/>
            <family val="2"/>
          </rPr>
          <t xml:space="preserve">
land is shared with NASA 1MW PV system, land slit based on MW capacity
found image</t>
        </r>
      </text>
    </comment>
    <comment ref="AF108" authorId="5">
      <text>
        <r>
          <rPr>
            <b/>
            <sz val="8"/>
            <color indexed="81"/>
            <rFont val="Tahoma"/>
            <family val="2"/>
          </rPr>
          <t>Sean Ong:</t>
        </r>
        <r>
          <rPr>
            <sz val="8"/>
            <color indexed="81"/>
            <rFont val="Tahoma"/>
            <family val="2"/>
          </rPr>
          <t xml:space="preserve">
first phase in up to about 60 MW project</t>
        </r>
      </text>
    </comment>
    <comment ref="AF110" authorId="3">
      <text>
        <r>
          <rPr>
            <b/>
            <sz val="9"/>
            <color indexed="81"/>
            <rFont val="Tahoma"/>
            <family val="2"/>
          </rPr>
          <t>Windows User:</t>
        </r>
        <r>
          <rPr>
            <sz val="9"/>
            <color indexed="81"/>
            <rFont val="Tahoma"/>
            <family val="2"/>
          </rPr>
          <t xml:space="preserve">
sometimes called fairfield solar project
</t>
        </r>
      </text>
    </comment>
    <comment ref="AI110" authorId="3">
      <text>
        <r>
          <rPr>
            <b/>
            <sz val="9"/>
            <color indexed="81"/>
            <rFont val="Tahoma"/>
            <family val="2"/>
          </rPr>
          <t>Windows User:</t>
        </r>
        <r>
          <rPr>
            <sz val="9"/>
            <color indexed="81"/>
            <rFont val="Tahoma"/>
            <family val="2"/>
          </rPr>
          <t xml:space="preserve">
Specified AC
</t>
        </r>
      </text>
    </comment>
    <comment ref="AJ110" authorId="3">
      <text>
        <r>
          <rPr>
            <b/>
            <sz val="9"/>
            <color indexed="81"/>
            <rFont val="Tahoma"/>
            <family val="2"/>
          </rPr>
          <t>Windows User:</t>
        </r>
        <r>
          <rPr>
            <sz val="9"/>
            <color indexed="81"/>
            <rFont val="Tahoma"/>
            <family val="2"/>
          </rPr>
          <t xml:space="preserve">
235 watt modules
</t>
        </r>
      </text>
    </comment>
    <comment ref="AF111" authorId="2">
      <text>
        <r>
          <rPr>
            <b/>
            <sz val="8"/>
            <color indexed="81"/>
            <rFont val="Tahoma"/>
            <family val="2"/>
          </rPr>
          <t>ccampbel:</t>
        </r>
        <r>
          <rPr>
            <sz val="8"/>
            <color indexed="81"/>
            <rFont val="Tahoma"/>
            <family val="2"/>
          </rPr>
          <t xml:space="preserve">
found image of land
</t>
        </r>
      </text>
    </comment>
    <comment ref="AI111" authorId="2">
      <text>
        <r>
          <rPr>
            <b/>
            <sz val="8"/>
            <color indexed="81"/>
            <rFont val="Tahoma"/>
            <family val="2"/>
          </rPr>
          <t>ccampbel:</t>
        </r>
        <r>
          <rPr>
            <sz val="8"/>
            <color indexed="81"/>
            <rFont val="Tahoma"/>
            <family val="2"/>
          </rPr>
          <t xml:space="preserve">
http://www.pseg.com/family/holdings/global/solar_source/jacksonville/pdf/fact_sheet.pdf</t>
        </r>
      </text>
    </comment>
    <comment ref="AJ119" authorId="2">
      <text>
        <r>
          <rPr>
            <b/>
            <sz val="8"/>
            <color indexed="81"/>
            <rFont val="Tahoma"/>
            <family val="2"/>
          </rPr>
          <t>ccampbel:</t>
        </r>
        <r>
          <rPr>
            <sz val="8"/>
            <color indexed="81"/>
            <rFont val="Tahoma"/>
            <family val="2"/>
          </rPr>
          <t xml:space="preserve">
3.2 MWdc from pseg
</t>
        </r>
      </text>
    </comment>
    <comment ref="AF121" authorId="3">
      <text>
        <r>
          <rPr>
            <b/>
            <sz val="9"/>
            <color indexed="81"/>
            <rFont val="Tahoma"/>
            <family val="2"/>
          </rPr>
          <t>Windows User:</t>
        </r>
        <r>
          <rPr>
            <sz val="9"/>
            <color indexed="81"/>
            <rFont val="Tahoma"/>
            <family val="2"/>
          </rPr>
          <t xml:space="preserve">
also referred to as shelby solar farm in kings mountain NC  (Different than the SC site)
</t>
        </r>
      </text>
    </comment>
    <comment ref="AI182" authorId="3">
      <text>
        <r>
          <rPr>
            <b/>
            <sz val="9"/>
            <color indexed="81"/>
            <rFont val="Tahoma"/>
            <family val="2"/>
          </rPr>
          <t>Windows User:</t>
        </r>
        <r>
          <rPr>
            <sz val="9"/>
            <color indexed="81"/>
            <rFont val="Tahoma"/>
            <family val="2"/>
          </rPr>
          <t xml:space="preserve">
specified AC
</t>
        </r>
      </text>
    </comment>
    <comment ref="AI183" authorId="3">
      <text>
        <r>
          <rPr>
            <b/>
            <sz val="9"/>
            <color indexed="81"/>
            <rFont val="Tahoma"/>
            <family val="2"/>
          </rPr>
          <t>Windows User:</t>
        </r>
        <r>
          <rPr>
            <sz val="9"/>
            <color indexed="81"/>
            <rFont val="Tahoma"/>
            <family val="2"/>
          </rPr>
          <t xml:space="preserve">
specified AC</t>
        </r>
      </text>
    </comment>
    <comment ref="AF185" authorId="2">
      <text>
        <r>
          <rPr>
            <b/>
            <sz val="8"/>
            <color indexed="81"/>
            <rFont val="Tahoma"/>
            <family val="2"/>
          </rPr>
          <t>ccampbel:</t>
        </r>
        <r>
          <rPr>
            <sz val="8"/>
            <color indexed="81"/>
            <rFont val="Tahoma"/>
            <family val="2"/>
          </rPr>
          <t xml:space="preserve">
this is what the final build size of Mesquite solar should be when all phases completed
</t>
        </r>
      </text>
    </comment>
    <comment ref="AF187" authorId="3">
      <text>
        <r>
          <rPr>
            <b/>
            <sz val="9"/>
            <color indexed="81"/>
            <rFont val="Tahoma"/>
            <family val="2"/>
          </rPr>
          <t>Windows User:</t>
        </r>
        <r>
          <rPr>
            <sz val="9"/>
            <color indexed="81"/>
            <rFont val="Tahoma"/>
            <family val="2"/>
          </rPr>
          <t xml:space="preserve">
largest farm under construction
</t>
        </r>
      </text>
    </comment>
    <comment ref="AI187" authorId="3">
      <text>
        <r>
          <rPr>
            <b/>
            <sz val="9"/>
            <color indexed="81"/>
            <rFont val="Tahoma"/>
            <family val="2"/>
          </rPr>
          <t>Windows User:</t>
        </r>
        <r>
          <rPr>
            <sz val="9"/>
            <color indexed="81"/>
            <rFont val="Tahoma"/>
            <family val="2"/>
          </rPr>
          <t xml:space="preserve">
specified ac
</t>
        </r>
      </text>
    </comment>
    <comment ref="AF188" authorId="2">
      <text>
        <r>
          <rPr>
            <b/>
            <sz val="8"/>
            <color indexed="81"/>
            <rFont val="Tahoma"/>
            <family val="2"/>
          </rPr>
          <t>ccampbel:</t>
        </r>
        <r>
          <rPr>
            <sz val="8"/>
            <color indexed="81"/>
            <rFont val="Tahoma"/>
            <family val="2"/>
          </rPr>
          <t xml:space="preserve">
construction to begin in 2013
DOD says 440MW on 3288acres</t>
        </r>
      </text>
    </comment>
    <comment ref="AI188" authorId="2">
      <text>
        <r>
          <rPr>
            <b/>
            <sz val="8"/>
            <color indexed="81"/>
            <rFont val="Tahoma"/>
            <family val="2"/>
          </rPr>
          <t>ccampbel:</t>
        </r>
        <r>
          <rPr>
            <sz val="8"/>
            <color indexed="81"/>
            <rFont val="Tahoma"/>
            <family val="2"/>
          </rPr>
          <t xml:space="preserve">
stated as both numbers, not specifying ac or dc
</t>
        </r>
      </text>
    </comment>
    <comment ref="AF189" authorId="2">
      <text>
        <r>
          <rPr>
            <b/>
            <sz val="8"/>
            <color indexed="81"/>
            <rFont val="Tahoma"/>
            <family val="2"/>
          </rPr>
          <t>ccampbel:</t>
        </r>
        <r>
          <rPr>
            <sz val="8"/>
            <color indexed="81"/>
            <rFont val="Tahoma"/>
            <family val="2"/>
          </rPr>
          <t xml:space="preserve">
land use approved by blm.gov.  First phase 175MW, second 100MW</t>
        </r>
      </text>
    </comment>
    <comment ref="AI189" authorId="2">
      <text>
        <r>
          <rPr>
            <b/>
            <sz val="8"/>
            <color indexed="81"/>
            <rFont val="Tahoma"/>
            <family val="2"/>
          </rPr>
          <t>ccampbel:</t>
        </r>
        <r>
          <rPr>
            <sz val="8"/>
            <color indexed="81"/>
            <rFont val="Tahoma"/>
            <family val="2"/>
          </rPr>
          <t xml:space="preserve">
BLM documents</t>
        </r>
      </text>
    </comment>
    <comment ref="AF190" authorId="2">
      <text>
        <r>
          <rPr>
            <b/>
            <sz val="8"/>
            <color indexed="81"/>
            <rFont val="Tahoma"/>
            <family val="2"/>
          </rPr>
          <t>ccampbel:</t>
        </r>
        <r>
          <rPr>
            <sz val="8"/>
            <color indexed="81"/>
            <rFont val="Tahoma"/>
            <family val="2"/>
          </rPr>
          <t xml:space="preserve">
https://lpo.energy.gov/wp-content/uploads/2010/10/EA-1840_CVSR_Final_EA_08-20112.pdf</t>
        </r>
      </text>
    </comment>
    <comment ref="AJ191" authorId="2">
      <text>
        <r>
          <rPr>
            <b/>
            <sz val="8"/>
            <color indexed="81"/>
            <rFont val="Tahoma"/>
            <family val="2"/>
          </rPr>
          <t>ccampbel:</t>
        </r>
        <r>
          <rPr>
            <sz val="8"/>
            <color indexed="81"/>
            <rFont val="Tahoma"/>
            <family val="2"/>
          </rPr>
          <t xml:space="preserve">
assuming the 75W modules used</t>
        </r>
      </text>
    </comment>
    <comment ref="AI196" authorId="3">
      <text>
        <r>
          <rPr>
            <b/>
            <sz val="9"/>
            <color indexed="81"/>
            <rFont val="Tahoma"/>
            <family val="2"/>
          </rPr>
          <t>Windows User:</t>
        </r>
        <r>
          <rPr>
            <sz val="9"/>
            <color indexed="81"/>
            <rFont val="Tahoma"/>
            <family val="2"/>
          </rPr>
          <t xml:space="preserve">
may be 50000MWAC</t>
        </r>
      </text>
    </comment>
    <comment ref="AF198" authorId="5">
      <text>
        <r>
          <rPr>
            <b/>
            <sz val="8"/>
            <color indexed="81"/>
            <rFont val="Tahoma"/>
            <family val="2"/>
          </rPr>
          <t>Sean Ong:</t>
        </r>
        <r>
          <rPr>
            <sz val="8"/>
            <color indexed="81"/>
            <rFont val="Tahoma"/>
            <family val="2"/>
          </rPr>
          <t xml:space="preserve">
Expansion of El Dorado Solar, so look into the el dorado solar folder
Also sempra mesquite 150MW project on same land?</t>
        </r>
      </text>
    </comment>
    <comment ref="AJ198" authorId="5">
      <text>
        <r>
          <rPr>
            <b/>
            <sz val="8"/>
            <color indexed="81"/>
            <rFont val="Tahoma"/>
            <family val="2"/>
          </rPr>
          <t>Sean Ong:</t>
        </r>
        <r>
          <rPr>
            <sz val="8"/>
            <color indexed="81"/>
            <rFont val="Tahoma"/>
            <family val="2"/>
          </rPr>
          <t xml:space="preserve">
based on el dorado's scale factor of 1.2 and also FSE blythe had the same scale factor</t>
        </r>
      </text>
    </comment>
    <comment ref="AF199" authorId="2">
      <text>
        <r>
          <rPr>
            <b/>
            <sz val="8"/>
            <color indexed="81"/>
            <rFont val="Tahoma"/>
            <family val="2"/>
          </rPr>
          <t>ccampbel:</t>
        </r>
        <r>
          <rPr>
            <sz val="8"/>
            <color indexed="81"/>
            <rFont val="Tahoma"/>
            <family val="2"/>
          </rPr>
          <t xml:space="preserve">
3 separate projects built on the same site, by the same company totalling 45 MW.
Google Maps</t>
        </r>
      </text>
    </comment>
    <comment ref="AI200" authorId="3">
      <text>
        <r>
          <rPr>
            <b/>
            <sz val="9"/>
            <color indexed="81"/>
            <rFont val="Tahoma"/>
            <family val="2"/>
          </rPr>
          <t>Windows User:</t>
        </r>
        <r>
          <rPr>
            <sz val="9"/>
            <color indexed="81"/>
            <rFont val="Tahoma"/>
            <family val="2"/>
          </rPr>
          <t xml:space="preserve">
specified ac
</t>
        </r>
      </text>
    </comment>
    <comment ref="AJ202" authorId="5">
      <text>
        <r>
          <rPr>
            <b/>
            <sz val="8"/>
            <color indexed="81"/>
            <rFont val="Tahoma"/>
            <family val="2"/>
          </rPr>
          <t>Sean Ong:</t>
        </r>
        <r>
          <rPr>
            <sz val="8"/>
            <color indexed="81"/>
            <rFont val="Tahoma"/>
            <family val="2"/>
          </rPr>
          <t xml:space="preserve">
one of the links calimed that each array was 1MW AC or 1.2MW DC (21 arrays). See links txt file for more info.</t>
        </r>
      </text>
    </comment>
    <comment ref="AF209" authorId="2">
      <text>
        <r>
          <rPr>
            <b/>
            <sz val="8"/>
            <color indexed="81"/>
            <rFont val="Tahoma"/>
            <family val="2"/>
          </rPr>
          <t>ccampbel:</t>
        </r>
        <r>
          <rPr>
            <sz val="8"/>
            <color indexed="81"/>
            <rFont val="Tahoma"/>
            <family val="2"/>
          </rPr>
          <t xml:space="preserve">
information still lacking</t>
        </r>
      </text>
    </comment>
    <comment ref="AJ218" authorId="2">
      <text>
        <r>
          <rPr>
            <b/>
            <sz val="8"/>
            <color indexed="81"/>
            <rFont val="Tahoma"/>
            <family val="2"/>
          </rPr>
          <t>ccampbel:</t>
        </r>
        <r>
          <rPr>
            <sz val="8"/>
            <color indexed="81"/>
            <rFont val="Tahoma"/>
            <family val="2"/>
          </rPr>
          <t xml:space="preserve">
Factsheet 110000*320Watt panesl</t>
        </r>
      </text>
    </comment>
    <comment ref="AF220" authorId="2">
      <text>
        <r>
          <rPr>
            <b/>
            <sz val="8"/>
            <color indexed="81"/>
            <rFont val="Tahoma"/>
            <family val="2"/>
          </rPr>
          <t>ccampbel:</t>
        </r>
        <r>
          <rPr>
            <sz val="8"/>
            <color indexed="81"/>
            <rFont val="Tahoma"/>
            <family val="2"/>
          </rPr>
          <t xml:space="preserve">
found location and image
</t>
        </r>
      </text>
    </comment>
    <comment ref="AI220" authorId="2">
      <text>
        <r>
          <rPr>
            <b/>
            <sz val="8"/>
            <color indexed="81"/>
            <rFont val="Tahoma"/>
            <family val="2"/>
          </rPr>
          <t>ccampbel:</t>
        </r>
        <r>
          <rPr>
            <sz val="8"/>
            <color indexed="81"/>
            <rFont val="Tahoma"/>
            <family val="2"/>
          </rPr>
          <t xml:space="preserve">
25MW ac pg 6.
http://seia.org/galleries/default-file/2009%20Solar%20Industry%20Year%20in%20Review.pdf</t>
        </r>
      </text>
    </comment>
    <comment ref="AF221" authorId="1">
      <text>
        <r>
          <rPr>
            <b/>
            <sz val="9"/>
            <color indexed="81"/>
            <rFont val="Tahoma"/>
            <family val="2"/>
          </rPr>
          <t>Clinton Campbell:</t>
        </r>
        <r>
          <rPr>
            <sz val="9"/>
            <color indexed="81"/>
            <rFont val="Tahoma"/>
            <family val="2"/>
          </rPr>
          <t xml:space="preserve">
http://www.blm.gov/ca/st/en/fo/palmsprings/Solar_Projects/Desert_Sunlight.html</t>
        </r>
      </text>
    </comment>
    <comment ref="AJ222" authorId="3">
      <text>
        <r>
          <rPr>
            <b/>
            <sz val="9"/>
            <color indexed="81"/>
            <rFont val="Tahoma"/>
            <family val="2"/>
          </rPr>
          <t>Windows User:</t>
        </r>
        <r>
          <rPr>
            <sz val="9"/>
            <color indexed="81"/>
            <rFont val="Tahoma"/>
            <family val="2"/>
          </rPr>
          <t xml:space="preserve">
may be as high as 80000
</t>
        </r>
      </text>
    </comment>
    <comment ref="AF223" authorId="2">
      <text>
        <r>
          <rPr>
            <b/>
            <sz val="8"/>
            <color indexed="81"/>
            <rFont val="Tahoma"/>
            <family val="2"/>
          </rPr>
          <t>ccampbel:</t>
        </r>
        <r>
          <rPr>
            <sz val="8"/>
            <color indexed="81"/>
            <rFont val="Tahoma"/>
            <family val="2"/>
          </rPr>
          <t xml:space="preserve">
Pending financing, since laws allowing passing cost to utility customers wasn't passed.</t>
        </r>
      </text>
    </comment>
    <comment ref="AF226" authorId="3">
      <text>
        <r>
          <rPr>
            <b/>
            <sz val="9"/>
            <color indexed="81"/>
            <rFont val="Tahoma"/>
            <family val="2"/>
          </rPr>
          <t>Windows User:</t>
        </r>
        <r>
          <rPr>
            <sz val="9"/>
            <color indexed="81"/>
            <rFont val="Tahoma"/>
            <family val="2"/>
          </rPr>
          <t xml:space="preserve">
Possibly not one chunk in a single location.  A minimum of 20 farms
</t>
        </r>
      </text>
    </comment>
    <comment ref="AI228" authorId="2">
      <text>
        <r>
          <rPr>
            <b/>
            <sz val="8"/>
            <color indexed="81"/>
            <rFont val="Tahoma"/>
            <family val="2"/>
          </rPr>
          <t>ccampbel:</t>
        </r>
        <r>
          <rPr>
            <sz val="8"/>
            <color indexed="81"/>
            <rFont val="Tahoma"/>
            <family val="2"/>
          </rPr>
          <t xml:space="preserve">
30000kW AC</t>
        </r>
      </text>
    </comment>
    <comment ref="AI229" authorId="2">
      <text>
        <r>
          <rPr>
            <b/>
            <sz val="8"/>
            <color indexed="81"/>
            <rFont val="Tahoma"/>
            <family val="2"/>
          </rPr>
          <t>ccampbel:</t>
        </r>
        <r>
          <rPr>
            <sz val="8"/>
            <color indexed="81"/>
            <rFont val="Tahoma"/>
            <family val="2"/>
          </rPr>
          <t xml:space="preserve">
specified AC
</t>
        </r>
      </text>
    </comment>
    <comment ref="AF230" authorId="2">
      <text>
        <r>
          <rPr>
            <b/>
            <sz val="8"/>
            <color indexed="81"/>
            <rFont val="Tahoma"/>
            <family val="2"/>
          </rPr>
          <t>ccampbel:</t>
        </r>
        <r>
          <rPr>
            <sz val="8"/>
            <color indexed="81"/>
            <rFont val="Tahoma"/>
            <family val="2"/>
          </rPr>
          <t xml:space="preserve">
No info about actually moving forward, or cancellation of project.
Maybe BP dropped it with the gulf oil spill.  Update.  BP Solar no longer exist
</t>
        </r>
      </text>
    </comment>
    <comment ref="AF232" authorId="2">
      <text>
        <r>
          <rPr>
            <b/>
            <sz val="8"/>
            <color indexed="81"/>
            <rFont val="Tahoma"/>
            <family val="2"/>
          </rPr>
          <t>ccampbel:</t>
        </r>
        <r>
          <rPr>
            <sz val="8"/>
            <color indexed="81"/>
            <rFont val="Tahoma"/>
            <family val="2"/>
          </rPr>
          <t xml:space="preserve">
No new information since it was announced. Still on SEIA projects- no name
</t>
        </r>
      </text>
    </comment>
    <comment ref="AF236" authorId="2">
      <text>
        <r>
          <rPr>
            <b/>
            <sz val="8"/>
            <color indexed="81"/>
            <rFont val="Tahoma"/>
            <family val="2"/>
          </rPr>
          <t>ccampbel:</t>
        </r>
        <r>
          <rPr>
            <sz val="8"/>
            <color indexed="81"/>
            <rFont val="Tahoma"/>
            <family val="2"/>
          </rPr>
          <t xml:space="preserve">
updated 2/2012  was 400MW, now 250MW</t>
        </r>
      </text>
    </comment>
    <comment ref="AF466" authorId="5">
      <text>
        <r>
          <rPr>
            <b/>
            <sz val="9"/>
            <color indexed="81"/>
            <rFont val="Tahoma"/>
            <family val="2"/>
          </rPr>
          <t>Sean Ong:</t>
        </r>
        <r>
          <rPr>
            <sz val="9"/>
            <color indexed="81"/>
            <rFont val="Tahoma"/>
            <family val="2"/>
          </rPr>
          <t xml:space="preserve">
removed because it implies using 5% efficiency modules (see e-mail I sent on 4/18/2013)
Sean Ong</t>
        </r>
      </text>
    </comment>
    <comment ref="AJ466" authorId="3">
      <text>
        <r>
          <rPr>
            <b/>
            <sz val="9"/>
            <color indexed="81"/>
            <rFont val="Tahoma"/>
            <family val="2"/>
          </rPr>
          <t>Windows User:</t>
        </r>
        <r>
          <rPr>
            <sz val="9"/>
            <color indexed="81"/>
            <rFont val="Tahoma"/>
            <family val="2"/>
          </rPr>
          <t xml:space="preserve">
initial reports said 45000, one later says 40500
</t>
        </r>
      </text>
    </comment>
  </commentList>
</comments>
</file>

<file path=xl/comments2.xml><?xml version="1.0" encoding="utf-8"?>
<comments xmlns="http://schemas.openxmlformats.org/spreadsheetml/2006/main">
  <authors>
    <author>Author</author>
    <author>Sean Ong</author>
    <author>song</author>
    <author>ccampbel</author>
    <author>Windows User</author>
  </authors>
  <commentList>
    <comment ref="D2" authorId="0">
      <text>
        <r>
          <rPr>
            <b/>
            <sz val="8"/>
            <color indexed="81"/>
            <rFont val="Tahoma"/>
            <family val="2"/>
          </rPr>
          <t>Author:</t>
        </r>
        <r>
          <rPr>
            <sz val="8"/>
            <color indexed="81"/>
            <rFont val="Tahoma"/>
            <family val="2"/>
          </rPr>
          <t xml:space="preserve">
Green highlight means that original AC data was included. White means that AC data was based on the weighted average of all other PV farms that had AC data</t>
        </r>
      </text>
    </comment>
    <comment ref="T2" authorId="1">
      <text>
        <r>
          <rPr>
            <b/>
            <sz val="8"/>
            <color indexed="81"/>
            <rFont val="Tahoma"/>
            <family val="2"/>
          </rPr>
          <t>Sean Ong:</t>
        </r>
        <r>
          <rPr>
            <sz val="8"/>
            <color indexed="81"/>
            <rFont val="Tahoma"/>
            <family val="2"/>
          </rPr>
          <t xml:space="preserve">
Not all the calculations are of the same form. Some of them are based on measured values in visio while others are based on values given in the CAD drawings where available. Moreover, the cad drawings may be a variation of "post to post" vs "last edge to first edge." but all the final values given is the described in this cell's title.</t>
        </r>
      </text>
    </comment>
    <comment ref="U2" authorId="2">
      <text>
        <r>
          <rPr>
            <b/>
            <sz val="8"/>
            <color indexed="81"/>
            <rFont val="Tahoma"/>
            <family val="2"/>
          </rPr>
          <t>song:</t>
        </r>
        <r>
          <rPr>
            <sz val="8"/>
            <color indexed="81"/>
            <rFont val="Tahoma"/>
            <family val="2"/>
          </rPr>
          <t xml:space="preserve">
Land use and electricity generation: A life-cycle analysis
Vasilis Fthenakis a,b,*, Hyung Chul Kim b
see the above paper for packing factor definition, or just look at the formula in each cell</t>
        </r>
      </text>
    </comment>
    <comment ref="AA2" authorId="1">
      <text>
        <r>
          <rPr>
            <b/>
            <sz val="8"/>
            <color indexed="81"/>
            <rFont val="Tahoma"/>
            <family val="2"/>
          </rPr>
          <t>Sean Ong:</t>
        </r>
        <r>
          <rPr>
            <sz val="8"/>
            <color indexed="81"/>
            <rFont val="Tahoma"/>
            <family val="2"/>
          </rPr>
          <t xml:space="preserve">
Shape for total area
R = Rectangular
P = Polygon
I = Irregular</t>
        </r>
      </text>
    </comment>
    <comment ref="E8" authorId="3">
      <text>
        <r>
          <rPr>
            <b/>
            <sz val="8"/>
            <color indexed="81"/>
            <rFont val="Tahoma"/>
            <family val="2"/>
          </rPr>
          <t>ccampbel:</t>
        </r>
        <r>
          <rPr>
            <sz val="8"/>
            <color indexed="81"/>
            <rFont val="Tahoma"/>
            <family val="2"/>
          </rPr>
          <t xml:space="preserve">
3918KWdc, 3500KWac,Some of this is on buildings and at other sites.
</t>
        </r>
      </text>
    </comment>
    <comment ref="B9" authorId="0">
      <text>
        <r>
          <rPr>
            <b/>
            <sz val="8"/>
            <color indexed="81"/>
            <rFont val="Tahoma"/>
            <family val="2"/>
          </rPr>
          <t>Author:</t>
        </r>
        <r>
          <rPr>
            <sz val="8"/>
            <color indexed="81"/>
            <rFont val="Tahoma"/>
            <family val="2"/>
          </rPr>
          <t xml:space="preserve">
Also known as Anheuser Busch Fairfield</t>
        </r>
      </text>
    </comment>
    <comment ref="J14" authorId="3">
      <text>
        <r>
          <rPr>
            <b/>
            <sz val="8"/>
            <color indexed="81"/>
            <rFont val="Tahoma"/>
            <family val="2"/>
          </rPr>
          <t>ccampbel:</t>
        </r>
        <r>
          <rPr>
            <sz val="8"/>
            <color indexed="81"/>
            <rFont val="Tahoma"/>
            <family val="2"/>
          </rPr>
          <t xml:space="preserve">
datasheet says total 11.4 and useable is 9.154
</t>
        </r>
      </text>
    </comment>
    <comment ref="D15" authorId="3">
      <text>
        <r>
          <rPr>
            <b/>
            <sz val="8"/>
            <color indexed="81"/>
            <rFont val="Tahoma"/>
            <family val="2"/>
          </rPr>
          <t>ccampbel:</t>
        </r>
        <r>
          <rPr>
            <sz val="8"/>
            <color indexed="81"/>
            <rFont val="Tahoma"/>
            <family val="2"/>
          </rPr>
          <t xml:space="preserve">
assuming the 1MW label is ac, since calculated capacity is 1.16MW
</t>
        </r>
      </text>
    </comment>
    <comment ref="E15" authorId="3">
      <text>
        <r>
          <rPr>
            <b/>
            <sz val="8"/>
            <color indexed="81"/>
            <rFont val="Tahoma"/>
            <family val="2"/>
          </rPr>
          <t>ccampbel:</t>
        </r>
        <r>
          <rPr>
            <sz val="8"/>
            <color indexed="81"/>
            <rFont val="Tahoma"/>
            <family val="2"/>
          </rPr>
          <t xml:space="preserve">
225w*5152 panels
</t>
        </r>
      </text>
    </comment>
    <comment ref="AD16" authorId="0">
      <text>
        <r>
          <rPr>
            <b/>
            <sz val="8"/>
            <color indexed="81"/>
            <rFont val="Tahoma"/>
            <family val="2"/>
          </rPr>
          <t>Author:</t>
        </r>
        <r>
          <rPr>
            <sz val="8"/>
            <color indexed="81"/>
            <rFont val="Tahoma"/>
            <family val="2"/>
          </rPr>
          <t xml:space="preserve">
I could not find any efficiency or technology data for these specific modules (I downloaded the datasheets from kyocera, but this information was not in there). But I used data from the 2008 photon survey to come up with a close approximation. I used data from the KD205GH-2P model.</t>
        </r>
      </text>
    </comment>
    <comment ref="O19" authorId="4">
      <text>
        <r>
          <rPr>
            <b/>
            <sz val="9"/>
            <color indexed="81"/>
            <rFont val="Tahoma"/>
            <family val="2"/>
          </rPr>
          <t>Windows User:</t>
        </r>
        <r>
          <rPr>
            <sz val="9"/>
            <color indexed="81"/>
            <rFont val="Tahoma"/>
            <family val="2"/>
          </rPr>
          <t xml:space="preserve">
from project maps
</t>
        </r>
      </text>
    </comment>
    <comment ref="D20" authorId="4">
      <text>
        <r>
          <rPr>
            <b/>
            <sz val="9"/>
            <color indexed="81"/>
            <rFont val="Tahoma"/>
            <family val="2"/>
          </rPr>
          <t>Windows User:</t>
        </r>
        <r>
          <rPr>
            <sz val="9"/>
            <color indexed="81"/>
            <rFont val="Tahoma"/>
            <family val="2"/>
          </rPr>
          <t xml:space="preserve">
400 is actually fixed axis</t>
        </r>
      </text>
    </comment>
    <comment ref="O20" authorId="4">
      <text>
        <r>
          <rPr>
            <b/>
            <sz val="9"/>
            <color indexed="81"/>
            <rFont val="Tahoma"/>
            <family val="2"/>
          </rPr>
          <t>Windows User:</t>
        </r>
        <r>
          <rPr>
            <sz val="9"/>
            <color indexed="81"/>
            <rFont val="Tahoma"/>
            <family val="2"/>
          </rPr>
          <t xml:space="preserve">
redo when maps are updated</t>
        </r>
      </text>
    </comment>
    <comment ref="E21" authorId="4">
      <text>
        <r>
          <rPr>
            <b/>
            <sz val="9"/>
            <color indexed="81"/>
            <rFont val="Tahoma"/>
            <family val="2"/>
          </rPr>
          <t>Windows User:</t>
        </r>
        <r>
          <rPr>
            <sz val="9"/>
            <color indexed="81"/>
            <rFont val="Tahoma"/>
            <family val="2"/>
          </rPr>
          <t xml:space="preserve">
http://www.weitz.com/project/aps-prescott/
specified 11.75MW, not 10MW</t>
        </r>
      </text>
    </comment>
    <comment ref="O22" authorId="3">
      <text>
        <r>
          <rPr>
            <b/>
            <sz val="8"/>
            <color indexed="81"/>
            <rFont val="Tahoma"/>
            <family val="2"/>
          </rPr>
          <t>ccampbel:</t>
        </r>
        <r>
          <rPr>
            <sz val="8"/>
            <color indexed="81"/>
            <rFont val="Tahoma"/>
            <family val="2"/>
          </rPr>
          <t xml:space="preserve">
Map shows pole only, under construction.  Need to update when image updates.</t>
        </r>
      </text>
    </comment>
    <comment ref="E25" authorId="4">
      <text>
        <r>
          <rPr>
            <b/>
            <sz val="9"/>
            <color indexed="81"/>
            <rFont val="Tahoma"/>
            <family val="2"/>
          </rPr>
          <t>Windows User:</t>
        </r>
        <r>
          <rPr>
            <sz val="9"/>
            <color indexed="81"/>
            <rFont val="Tahoma"/>
            <family val="2"/>
          </rPr>
          <t xml:space="preserve">
specified dc
</t>
        </r>
      </text>
    </comment>
    <comment ref="B27" authorId="3">
      <text>
        <r>
          <rPr>
            <b/>
            <sz val="8"/>
            <color indexed="81"/>
            <rFont val="Tahoma"/>
            <family val="2"/>
          </rPr>
          <t>ccampbel:</t>
        </r>
        <r>
          <rPr>
            <sz val="8"/>
            <color indexed="81"/>
            <rFont val="Tahoma"/>
            <family val="2"/>
          </rPr>
          <t xml:space="preserve">
added picture
size was decreased from initial ratings</t>
        </r>
      </text>
    </comment>
    <comment ref="E27" authorId="3">
      <text>
        <r>
          <rPr>
            <b/>
            <sz val="8"/>
            <color indexed="81"/>
            <rFont val="Tahoma"/>
            <family val="2"/>
          </rPr>
          <t>ccampbel:</t>
        </r>
        <r>
          <rPr>
            <sz val="8"/>
            <color indexed="81"/>
            <rFont val="Tahoma"/>
            <family val="2"/>
          </rPr>
          <t xml:space="preserve">
was 21500DC 18000AC
now 17200DC 15500AC</t>
        </r>
      </text>
    </comment>
    <comment ref="J27" authorId="3">
      <text>
        <r>
          <rPr>
            <b/>
            <sz val="8"/>
            <color indexed="81"/>
            <rFont val="Tahoma"/>
            <family val="2"/>
          </rPr>
          <t>ccampbel:</t>
        </r>
        <r>
          <rPr>
            <sz val="8"/>
            <color indexed="81"/>
            <rFont val="Tahoma"/>
            <family val="2"/>
          </rPr>
          <t xml:space="preserve">
was 386, now over 200</t>
        </r>
      </text>
    </comment>
    <comment ref="AE27" authorId="1">
      <text>
        <r>
          <rPr>
            <b/>
            <sz val="8"/>
            <color indexed="81"/>
            <rFont val="Tahoma"/>
            <family val="2"/>
          </rPr>
          <t>Sean Ong:</t>
        </r>
        <r>
          <rPr>
            <sz val="8"/>
            <color indexed="81"/>
            <rFont val="Tahoma"/>
            <family val="2"/>
          </rPr>
          <t xml:space="preserve">
4 out of the 10 MW has been completed and is online</t>
        </r>
      </text>
    </comment>
    <comment ref="H29" authorId="4">
      <text>
        <r>
          <rPr>
            <b/>
            <sz val="9"/>
            <color indexed="81"/>
            <rFont val="Tahoma"/>
            <family val="2"/>
          </rPr>
          <t>Windows User:</t>
        </r>
        <r>
          <rPr>
            <sz val="9"/>
            <color indexed="81"/>
            <rFont val="Tahoma"/>
            <family val="2"/>
          </rPr>
          <t xml:space="preserve">
one site says 75168, another at completion says 93000
</t>
        </r>
      </text>
    </comment>
    <comment ref="D31" authorId="3">
      <text>
        <r>
          <rPr>
            <b/>
            <sz val="8"/>
            <color indexed="81"/>
            <rFont val="Tahoma"/>
            <family val="2"/>
          </rPr>
          <t>ccampbel:</t>
        </r>
        <r>
          <rPr>
            <sz val="8"/>
            <color indexed="81"/>
            <rFont val="Tahoma"/>
            <family val="2"/>
          </rPr>
          <t xml:space="preserve">
modules are 60kW AC
</t>
        </r>
      </text>
    </comment>
    <comment ref="E31" authorId="3">
      <text>
        <r>
          <rPr>
            <b/>
            <sz val="8"/>
            <color indexed="81"/>
            <rFont val="Tahoma"/>
            <family val="2"/>
          </rPr>
          <t>ccampbel:</t>
        </r>
        <r>
          <rPr>
            <sz val="8"/>
            <color indexed="81"/>
            <rFont val="Tahoma"/>
            <family val="2"/>
          </rPr>
          <t xml:space="preserve">
84*77KW models
</t>
        </r>
      </text>
    </comment>
    <comment ref="B32" authorId="3">
      <text>
        <r>
          <rPr>
            <b/>
            <sz val="8"/>
            <color indexed="81"/>
            <rFont val="Tahoma"/>
            <family val="2"/>
          </rPr>
          <t>ccampbel:</t>
        </r>
        <r>
          <rPr>
            <sz val="8"/>
            <color indexed="81"/>
            <rFont val="Tahoma"/>
            <family val="2"/>
          </rPr>
          <t xml:space="preserve">
2 or more ground intallation added to the premises. Need to use viseo and find more info.</t>
        </r>
      </text>
    </comment>
    <comment ref="B33" authorId="1">
      <text>
        <r>
          <rPr>
            <b/>
            <sz val="8"/>
            <color indexed="81"/>
            <rFont val="Tahoma"/>
            <family val="2"/>
          </rPr>
          <t>Sean Ong:</t>
        </r>
        <r>
          <rPr>
            <sz val="8"/>
            <color indexed="81"/>
            <rFont val="Tahoma"/>
            <family val="2"/>
          </rPr>
          <t xml:space="preserve">
not too sure the exact land usage of this project, it is in the same project area as the 10 MW space system.
Update: I decided to split evenly the land use based on MW capacity.</t>
        </r>
      </text>
    </comment>
    <comment ref="D35" authorId="3">
      <text>
        <r>
          <rPr>
            <b/>
            <sz val="8"/>
            <color indexed="81"/>
            <rFont val="Tahoma"/>
            <family val="2"/>
          </rPr>
          <t>ccampbel:</t>
        </r>
        <r>
          <rPr>
            <sz val="8"/>
            <color indexed="81"/>
            <rFont val="Tahoma"/>
            <family val="2"/>
          </rPr>
          <t xml:space="preserve">
most sites claim 2 MW, but factsheets say 2.6MW Dc</t>
        </r>
      </text>
    </comment>
    <comment ref="J35" authorId="4">
      <text>
        <r>
          <rPr>
            <b/>
            <sz val="9"/>
            <color indexed="81"/>
            <rFont val="Tahoma"/>
            <family val="2"/>
          </rPr>
          <t>Windows User:</t>
        </r>
        <r>
          <rPr>
            <sz val="9"/>
            <color indexed="81"/>
            <rFont val="Tahoma"/>
            <family val="2"/>
          </rPr>
          <t xml:space="preserve">
resources say 16, visio shows max of 14.5, actual not farm usage is 13.7 acres</t>
        </r>
      </text>
    </comment>
    <comment ref="D36" authorId="3">
      <text>
        <r>
          <rPr>
            <b/>
            <sz val="8"/>
            <color indexed="81"/>
            <rFont val="Tahoma"/>
            <family val="2"/>
          </rPr>
          <t>ccampbel:</t>
        </r>
        <r>
          <rPr>
            <sz val="8"/>
            <color indexed="81"/>
            <rFont val="Tahoma"/>
            <family val="2"/>
          </rPr>
          <t xml:space="preserve">
SMA 250U inverter 97% average efficiency</t>
        </r>
      </text>
    </comment>
    <comment ref="J36" authorId="3">
      <text>
        <r>
          <rPr>
            <b/>
            <sz val="8"/>
            <color indexed="81"/>
            <rFont val="Tahoma"/>
            <family val="2"/>
          </rPr>
          <t>ccampbel:</t>
        </r>
        <r>
          <rPr>
            <sz val="8"/>
            <color indexed="81"/>
            <rFont val="Tahoma"/>
            <family val="2"/>
          </rPr>
          <t xml:space="preserve">
stated as 18, fenced area is 14.</t>
        </r>
      </text>
    </comment>
    <comment ref="B37" authorId="4">
      <text>
        <r>
          <rPr>
            <b/>
            <sz val="9"/>
            <color indexed="81"/>
            <rFont val="Tahoma"/>
            <family val="2"/>
          </rPr>
          <t>Windows User:</t>
        </r>
        <r>
          <rPr>
            <sz val="9"/>
            <color indexed="81"/>
            <rFont val="Tahoma"/>
            <family val="2"/>
          </rPr>
          <t xml:space="preserve">
these arrays are very closely spaced, edge to edge throughout, increasing in height entire way</t>
        </r>
      </text>
    </comment>
    <comment ref="B38" authorId="1">
      <text>
        <r>
          <rPr>
            <b/>
            <sz val="8"/>
            <color indexed="81"/>
            <rFont val="Tahoma"/>
            <family val="2"/>
          </rPr>
          <t>Sean Ong:</t>
        </r>
        <r>
          <rPr>
            <sz val="8"/>
            <color indexed="81"/>
            <rFont val="Tahoma"/>
            <family val="2"/>
          </rPr>
          <t xml:space="preserve">
2nd or 3rd phase of many. After looking at imagery, it seems that there is much empty land allocated for the panels, but for which the panels have not yet been built. This will cause the total area to be bigger per MW than other similar plants.
March 2011, rest of land filled up increasing output to 6.4MW. CJC</t>
        </r>
      </text>
    </comment>
    <comment ref="H38" authorId="3">
      <text>
        <r>
          <rPr>
            <b/>
            <sz val="8"/>
            <color indexed="81"/>
            <rFont val="Tahoma"/>
            <family val="2"/>
          </rPr>
          <t>ccampbel:</t>
        </r>
        <r>
          <rPr>
            <sz val="8"/>
            <color indexed="81"/>
            <rFont val="Tahoma"/>
            <family val="2"/>
          </rPr>
          <t xml:space="preserve">
orignally said 34980, but there are only 8400</t>
        </r>
      </text>
    </comment>
    <comment ref="J38" authorId="0">
      <text>
        <r>
          <rPr>
            <b/>
            <sz val="8"/>
            <color indexed="81"/>
            <rFont val="Tahoma"/>
            <family val="2"/>
          </rPr>
          <t>Author:</t>
        </r>
        <r>
          <rPr>
            <sz val="8"/>
            <color indexed="81"/>
            <rFont val="Tahoma"/>
            <family val="2"/>
          </rPr>
          <t xml:space="preserve">
online sources report "44" acres, but doesn't really specify what this area is.
Area calculated from imagery yeids 70 acres, but this includes large open spaces reserved for upcoming expansions of this facility. 
Update: Now all spaces are filled 2011
</t>
        </r>
      </text>
    </comment>
    <comment ref="AB38"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AC38" authorId="0">
      <text>
        <r>
          <rPr>
            <b/>
            <sz val="8"/>
            <color indexed="81"/>
            <rFont val="Tahoma"/>
            <family val="2"/>
          </rPr>
          <t>Author:</t>
        </r>
        <r>
          <rPr>
            <sz val="8"/>
            <color indexed="81"/>
            <rFont val="Tahoma"/>
            <family val="2"/>
          </rPr>
          <t xml:space="preserve">
see module model comment</t>
        </r>
      </text>
    </comment>
    <comment ref="AD38"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B39" authorId="1">
      <text>
        <r>
          <rPr>
            <b/>
            <sz val="8"/>
            <color indexed="81"/>
            <rFont val="Tahoma"/>
            <family val="2"/>
          </rPr>
          <t>Sean Ong:</t>
        </r>
        <r>
          <rPr>
            <sz val="8"/>
            <color indexed="81"/>
            <rFont val="Tahoma"/>
            <family val="2"/>
          </rPr>
          <t xml:space="preserve">
first phase in up to about 60 MW project</t>
        </r>
      </text>
    </comment>
    <comment ref="O40" authorId="3">
      <text>
        <r>
          <rPr>
            <b/>
            <sz val="8"/>
            <color indexed="81"/>
            <rFont val="Tahoma"/>
            <family val="2"/>
          </rPr>
          <t>ccampbel:</t>
        </r>
        <r>
          <rPr>
            <sz val="8"/>
            <color indexed="81"/>
            <rFont val="Tahoma"/>
            <family val="2"/>
          </rPr>
          <t xml:space="preserve">
http://www.pseg.com/family/holdings/global/solar_source/pdf/wyandot_factsheet.pdf</t>
        </r>
      </text>
    </comment>
    <comment ref="B41" authorId="4">
      <text>
        <r>
          <rPr>
            <b/>
            <sz val="9"/>
            <color indexed="81"/>
            <rFont val="Tahoma"/>
            <family val="2"/>
          </rPr>
          <t>Windows User:</t>
        </r>
        <r>
          <rPr>
            <sz val="9"/>
            <color indexed="81"/>
            <rFont val="Tahoma"/>
            <family val="2"/>
          </rPr>
          <t xml:space="preserve">
sometimes called fairfield solar project
</t>
        </r>
      </text>
    </comment>
    <comment ref="D41" authorId="4">
      <text>
        <r>
          <rPr>
            <b/>
            <sz val="9"/>
            <color indexed="81"/>
            <rFont val="Tahoma"/>
            <family val="2"/>
          </rPr>
          <t>Windows User:</t>
        </r>
        <r>
          <rPr>
            <sz val="9"/>
            <color indexed="81"/>
            <rFont val="Tahoma"/>
            <family val="2"/>
          </rPr>
          <t xml:space="preserve">
Specified AC
</t>
        </r>
      </text>
    </comment>
    <comment ref="E41" authorId="4">
      <text>
        <r>
          <rPr>
            <b/>
            <sz val="9"/>
            <color indexed="81"/>
            <rFont val="Tahoma"/>
            <family val="2"/>
          </rPr>
          <t>Windows User:</t>
        </r>
        <r>
          <rPr>
            <sz val="9"/>
            <color indexed="81"/>
            <rFont val="Tahoma"/>
            <family val="2"/>
          </rPr>
          <t xml:space="preserve">
235 watt modules
</t>
        </r>
      </text>
    </comment>
    <comment ref="O41" authorId="4">
      <text>
        <r>
          <rPr>
            <b/>
            <sz val="9"/>
            <color indexed="81"/>
            <rFont val="Tahoma"/>
            <family val="2"/>
          </rPr>
          <t>Windows User:</t>
        </r>
        <r>
          <rPr>
            <sz val="9"/>
            <color indexed="81"/>
            <rFont val="Tahoma"/>
            <family val="2"/>
          </rPr>
          <t xml:space="preserve">
http://www.nj.com/cumberland/index.ssf/2011/10/fairfield_solar_project_breaks.html</t>
        </r>
      </text>
    </comment>
    <comment ref="B42" authorId="1">
      <text>
        <r>
          <rPr>
            <b/>
            <sz val="8"/>
            <color indexed="81"/>
            <rFont val="Tahoma"/>
            <family val="2"/>
          </rPr>
          <t>Sean Ong:</t>
        </r>
        <r>
          <rPr>
            <sz val="8"/>
            <color indexed="81"/>
            <rFont val="Tahoma"/>
            <family val="2"/>
          </rPr>
          <t xml:space="preserve">
land is shared with NASA 1MW PV system, land slit based on MW capacity
found image</t>
        </r>
      </text>
    </comment>
    <comment ref="J42" authorId="3">
      <text>
        <r>
          <rPr>
            <b/>
            <sz val="8"/>
            <color indexed="81"/>
            <rFont val="Tahoma"/>
            <family val="2"/>
          </rPr>
          <t>ccampbel:</t>
        </r>
        <r>
          <rPr>
            <sz val="8"/>
            <color indexed="81"/>
            <rFont val="Tahoma"/>
            <family val="2"/>
          </rPr>
          <t xml:space="preserve">
stated as 45 acres, measured as 48 without open patch of land</t>
        </r>
      </text>
    </comment>
    <comment ref="B43" authorId="3">
      <text>
        <r>
          <rPr>
            <b/>
            <sz val="8"/>
            <color indexed="81"/>
            <rFont val="Tahoma"/>
            <family val="2"/>
          </rPr>
          <t>ccampbel:</t>
        </r>
        <r>
          <rPr>
            <sz val="8"/>
            <color indexed="81"/>
            <rFont val="Tahoma"/>
            <family val="2"/>
          </rPr>
          <t xml:space="preserve">
found image of land
</t>
        </r>
      </text>
    </comment>
    <comment ref="D43" authorId="3">
      <text>
        <r>
          <rPr>
            <b/>
            <sz val="8"/>
            <color indexed="81"/>
            <rFont val="Tahoma"/>
            <family val="2"/>
          </rPr>
          <t>ccampbel:</t>
        </r>
        <r>
          <rPr>
            <sz val="8"/>
            <color indexed="81"/>
            <rFont val="Tahoma"/>
            <family val="2"/>
          </rPr>
          <t xml:space="preserve">
http://www.pseg.com/family/holdings/global/solar_source/jacksonville/pdf/fact_sheet.pdf</t>
        </r>
      </text>
    </comment>
    <comment ref="J43" authorId="3">
      <text>
        <r>
          <rPr>
            <b/>
            <sz val="8"/>
            <color indexed="81"/>
            <rFont val="Tahoma"/>
            <family val="2"/>
          </rPr>
          <t>ccampbel:</t>
        </r>
        <r>
          <rPr>
            <sz val="8"/>
            <color indexed="81"/>
            <rFont val="Tahoma"/>
            <family val="2"/>
          </rPr>
          <t xml:space="preserve">
stated as 91, map shows 96 fenced
</t>
        </r>
      </text>
    </comment>
    <comment ref="AB43" authorId="3">
      <text>
        <r>
          <rPr>
            <b/>
            <sz val="8"/>
            <color indexed="81"/>
            <rFont val="Tahoma"/>
            <family val="2"/>
          </rPr>
          <t>ccampbel:</t>
        </r>
        <r>
          <rPr>
            <sz val="8"/>
            <color indexed="81"/>
            <rFont val="Tahoma"/>
            <family val="2"/>
          </rPr>
          <t xml:space="preserve">
general efficiency for thin film cadmium telluride PV
</t>
        </r>
      </text>
    </comment>
    <comment ref="J44" authorId="3">
      <text>
        <r>
          <rPr>
            <b/>
            <sz val="8"/>
            <color indexed="81"/>
            <rFont val="Tahoma"/>
            <family val="2"/>
          </rPr>
          <t>ccampbel:</t>
        </r>
        <r>
          <rPr>
            <sz val="8"/>
            <color indexed="81"/>
            <rFont val="Tahoma"/>
            <family val="2"/>
          </rPr>
          <t xml:space="preserve">
stated as 115 measured 108.  There is extra space not utilized.</t>
        </r>
      </text>
    </comment>
    <comment ref="J45" authorId="4">
      <text>
        <r>
          <rPr>
            <b/>
            <sz val="9"/>
            <color indexed="81"/>
            <rFont val="Tahoma"/>
            <family val="2"/>
          </rPr>
          <t>Windows User:</t>
        </r>
        <r>
          <rPr>
            <sz val="9"/>
            <color indexed="81"/>
            <rFont val="Tahoma"/>
            <family val="2"/>
          </rPr>
          <t xml:space="preserve">
check for images later
</t>
        </r>
      </text>
    </comment>
    <comment ref="J47" authorId="4">
      <text>
        <r>
          <rPr>
            <b/>
            <sz val="9"/>
            <color indexed="81"/>
            <rFont val="Tahoma"/>
            <family val="2"/>
          </rPr>
          <t>Windows User:</t>
        </r>
        <r>
          <rPr>
            <sz val="9"/>
            <color indexed="81"/>
            <rFont val="Tahoma"/>
            <family val="2"/>
          </rPr>
          <t xml:space="preserve">
sources say 6 acres</t>
        </r>
      </text>
    </comment>
    <comment ref="AB82" authorId="3">
      <text>
        <r>
          <rPr>
            <b/>
            <sz val="8"/>
            <color indexed="81"/>
            <rFont val="Tahoma"/>
            <family val="2"/>
          </rPr>
          <t>ccampbel:</t>
        </r>
        <r>
          <rPr>
            <sz val="8"/>
            <color indexed="81"/>
            <rFont val="Tahoma"/>
            <family val="2"/>
          </rPr>
          <t xml:space="preserve">
http://www.solardesigntool.com/components/module-panel-solar/Sunpower/SPR-320E-WHT-D/specification-data-sheet.html;jsessionid=F3CDAC6C1788328FCCFF1761D0B1ADFB
</t>
        </r>
      </text>
    </comment>
    <comment ref="D83" authorId="4">
      <text>
        <r>
          <rPr>
            <b/>
            <sz val="9"/>
            <color indexed="81"/>
            <rFont val="Tahoma"/>
            <family val="2"/>
          </rPr>
          <t>Windows User:</t>
        </r>
        <r>
          <rPr>
            <sz val="9"/>
            <color indexed="81"/>
            <rFont val="Tahoma"/>
            <family val="2"/>
          </rPr>
          <t xml:space="preserve">
specified AC
</t>
        </r>
      </text>
    </comment>
    <comment ref="O83" authorId="4">
      <text>
        <r>
          <rPr>
            <b/>
            <sz val="9"/>
            <color indexed="81"/>
            <rFont val="Tahoma"/>
            <family val="2"/>
          </rPr>
          <t>Windows User:</t>
        </r>
        <r>
          <rPr>
            <sz val="9"/>
            <color indexed="81"/>
            <rFont val="Tahoma"/>
            <family val="2"/>
          </rPr>
          <t xml:space="preserve">
partial image
update when image updates</t>
        </r>
      </text>
    </comment>
    <comment ref="D84" authorId="3">
      <text>
        <r>
          <rPr>
            <b/>
            <sz val="8"/>
            <color indexed="81"/>
            <rFont val="Tahoma"/>
            <family val="2"/>
          </rPr>
          <t>ccampbel:</t>
        </r>
        <r>
          <rPr>
            <sz val="8"/>
            <color indexed="81"/>
            <rFont val="Tahoma"/>
            <family val="2"/>
          </rPr>
          <t xml:space="preserve">
specified AC
</t>
        </r>
      </text>
    </comment>
    <comment ref="D85" authorId="4">
      <text>
        <r>
          <rPr>
            <b/>
            <sz val="9"/>
            <color indexed="81"/>
            <rFont val="Tahoma"/>
            <family val="2"/>
          </rPr>
          <t>Windows User:</t>
        </r>
        <r>
          <rPr>
            <sz val="9"/>
            <color indexed="81"/>
            <rFont val="Tahoma"/>
            <family val="2"/>
          </rPr>
          <t xml:space="preserve">
specified AC</t>
        </r>
      </text>
    </comment>
    <comment ref="W85" authorId="4">
      <text>
        <r>
          <rPr>
            <b/>
            <sz val="9"/>
            <color indexed="81"/>
            <rFont val="Tahoma"/>
            <family val="2"/>
          </rPr>
          <t>Windows User:</t>
        </r>
        <r>
          <rPr>
            <sz val="9"/>
            <color indexed="81"/>
            <rFont val="Tahoma"/>
            <family val="2"/>
          </rPr>
          <t xml:space="preserve">
Said property is located east of S. Road 1 East and between E. Road 2 South and E. Road 4 South</t>
        </r>
      </text>
    </comment>
    <comment ref="D86" authorId="4">
      <text>
        <r>
          <rPr>
            <b/>
            <sz val="9"/>
            <color indexed="81"/>
            <rFont val="Tahoma"/>
            <family val="2"/>
          </rPr>
          <t>Windows User:</t>
        </r>
        <r>
          <rPr>
            <sz val="9"/>
            <color indexed="81"/>
            <rFont val="Tahoma"/>
            <family val="2"/>
          </rPr>
          <t xml:space="preserve">
specified ac
</t>
        </r>
      </text>
    </comment>
    <comment ref="B87" authorId="3">
      <text>
        <r>
          <rPr>
            <b/>
            <sz val="8"/>
            <color indexed="81"/>
            <rFont val="Tahoma"/>
            <family val="2"/>
          </rPr>
          <t>ccampbel:</t>
        </r>
        <r>
          <rPr>
            <sz val="8"/>
            <color indexed="81"/>
            <rFont val="Tahoma"/>
            <family val="2"/>
          </rPr>
          <t xml:space="preserve">
found location and image
</t>
        </r>
      </text>
    </comment>
    <comment ref="D87" authorId="3">
      <text>
        <r>
          <rPr>
            <b/>
            <sz val="8"/>
            <color indexed="81"/>
            <rFont val="Tahoma"/>
            <family val="2"/>
          </rPr>
          <t>ccampbel:</t>
        </r>
        <r>
          <rPr>
            <sz val="8"/>
            <color indexed="81"/>
            <rFont val="Tahoma"/>
            <family val="2"/>
          </rPr>
          <t xml:space="preserve">
25MW ac pg 6.
http://seia.org/galleries/default-file/2009%20Solar%20Industry%20Year%20in%20Review.pdf</t>
        </r>
      </text>
    </comment>
    <comment ref="E89" authorId="3">
      <text>
        <r>
          <rPr>
            <b/>
            <sz val="8"/>
            <color indexed="81"/>
            <rFont val="Tahoma"/>
            <family val="2"/>
          </rPr>
          <t>ccampbel:</t>
        </r>
        <r>
          <rPr>
            <sz val="8"/>
            <color indexed="81"/>
            <rFont val="Tahoma"/>
            <family val="2"/>
          </rPr>
          <t xml:space="preserve">
Factsheet 110000*320Watt panesl</t>
        </r>
      </text>
    </comment>
    <comment ref="O90" authorId="3">
      <text>
        <r>
          <rPr>
            <b/>
            <sz val="8"/>
            <color indexed="81"/>
            <rFont val="Tahoma"/>
            <family val="2"/>
          </rPr>
          <t>ccampbel:</t>
        </r>
        <r>
          <rPr>
            <sz val="8"/>
            <color indexed="81"/>
            <rFont val="Tahoma"/>
            <family val="2"/>
          </rPr>
          <t xml:space="preserve">
no images</t>
        </r>
      </text>
    </comment>
    <comment ref="E91" authorId="3">
      <text>
        <r>
          <rPr>
            <b/>
            <sz val="8"/>
            <color indexed="81"/>
            <rFont val="Tahoma"/>
            <family val="2"/>
          </rPr>
          <t>ccampbel:</t>
        </r>
        <r>
          <rPr>
            <sz val="8"/>
            <color indexed="81"/>
            <rFont val="Tahoma"/>
            <family val="2"/>
          </rPr>
          <t xml:space="preserve">
assuming the 75W modules used</t>
        </r>
      </text>
    </comment>
    <comment ref="G91" authorId="3">
      <text>
        <r>
          <rPr>
            <b/>
            <sz val="8"/>
            <color indexed="81"/>
            <rFont val="Tahoma"/>
            <family val="2"/>
          </rPr>
          <t>ccampbel:</t>
        </r>
        <r>
          <rPr>
            <sz val="8"/>
            <color indexed="81"/>
            <rFont val="Tahoma"/>
            <family val="2"/>
          </rPr>
          <t xml:space="preserve">
1.36 billion total investment, 713mil in equity investment through 2013</t>
        </r>
      </text>
    </comment>
    <comment ref="O91" authorId="3">
      <text>
        <r>
          <rPr>
            <b/>
            <sz val="8"/>
            <color indexed="81"/>
            <rFont val="Tahoma"/>
            <family val="2"/>
          </rPr>
          <t>ccampbel:</t>
        </r>
        <r>
          <rPr>
            <sz val="8"/>
            <color indexed="81"/>
            <rFont val="Tahoma"/>
            <family val="2"/>
          </rPr>
          <t xml:space="preserve">
project_r2009-02239_deir.pdf
pg 139 line 5
</t>
        </r>
      </text>
    </comment>
    <comment ref="AB91" authorId="3">
      <text>
        <r>
          <rPr>
            <b/>
            <sz val="8"/>
            <color indexed="81"/>
            <rFont val="Tahoma"/>
            <family val="2"/>
          </rPr>
          <t>ccampbel:</t>
        </r>
        <r>
          <rPr>
            <sz val="8"/>
            <color indexed="81"/>
            <rFont val="Tahoma"/>
            <family val="2"/>
          </rPr>
          <t xml:space="preserve">
http://www.focusvoltaico.com/en/photovoltaic-panels/catalogue/details/110/113
</t>
        </r>
      </text>
    </comment>
    <comment ref="B92" authorId="3">
      <text>
        <r>
          <rPr>
            <b/>
            <sz val="8"/>
            <color indexed="81"/>
            <rFont val="Tahoma"/>
            <family val="2"/>
          </rPr>
          <t>ccampbel:</t>
        </r>
        <r>
          <rPr>
            <sz val="8"/>
            <color indexed="81"/>
            <rFont val="Tahoma"/>
            <family val="2"/>
          </rPr>
          <t xml:space="preserve">
https://lpo.energy.gov/wp-content/uploads/2010/10/EA-1840_CVSR_Final_EA_08-20112.pdf</t>
        </r>
      </text>
    </comment>
    <comment ref="O92" authorId="3">
      <text>
        <r>
          <rPr>
            <b/>
            <sz val="8"/>
            <color indexed="81"/>
            <rFont val="Tahoma"/>
            <family val="2"/>
          </rPr>
          <t>ccampbel:</t>
        </r>
        <r>
          <rPr>
            <sz val="8"/>
            <color indexed="81"/>
            <rFont val="Tahoma"/>
            <family val="2"/>
          </rPr>
          <t xml:space="preserve">
no images</t>
        </r>
      </text>
    </comment>
    <comment ref="Y95" authorId="3">
      <text>
        <r>
          <rPr>
            <b/>
            <sz val="8"/>
            <color indexed="81"/>
            <rFont val="Tahoma"/>
            <family val="2"/>
          </rPr>
          <t>ccampbel:</t>
        </r>
        <r>
          <rPr>
            <sz val="8"/>
            <color indexed="81"/>
            <rFont val="Tahoma"/>
            <family val="2"/>
          </rPr>
          <t xml:space="preserve">
assuming fixed from photo</t>
        </r>
      </text>
    </comment>
    <comment ref="E96" authorId="1">
      <text>
        <r>
          <rPr>
            <b/>
            <sz val="8"/>
            <color indexed="81"/>
            <rFont val="Tahoma"/>
            <family val="2"/>
          </rPr>
          <t>Sean Ong:</t>
        </r>
        <r>
          <rPr>
            <sz val="8"/>
            <color indexed="81"/>
            <rFont val="Tahoma"/>
            <family val="2"/>
          </rPr>
          <t xml:space="preserve">
one of the links calimed that each array was 1MW AC or 1.2MW DC (21 arrays). See links txt file for more info.</t>
        </r>
      </text>
    </comment>
    <comment ref="J96" authorId="3">
      <text>
        <r>
          <rPr>
            <b/>
            <sz val="8"/>
            <color indexed="81"/>
            <rFont val="Tahoma"/>
            <family val="2"/>
          </rPr>
          <t>ccampbel:</t>
        </r>
        <r>
          <rPr>
            <sz val="8"/>
            <color indexed="81"/>
            <rFont val="Tahoma"/>
            <family val="2"/>
          </rPr>
          <t xml:space="preserve">
stated as 200, measured 186
</t>
        </r>
      </text>
    </comment>
    <comment ref="D97" authorId="3">
      <text>
        <r>
          <rPr>
            <b/>
            <sz val="8"/>
            <color indexed="81"/>
            <rFont val="Tahoma"/>
            <family val="2"/>
          </rPr>
          <t>ccampbel:</t>
        </r>
        <r>
          <rPr>
            <sz val="8"/>
            <color indexed="81"/>
            <rFont val="Tahoma"/>
            <family val="2"/>
          </rPr>
          <t xml:space="preserve">
30000kW AC</t>
        </r>
      </text>
    </comment>
    <comment ref="B99" authorId="3">
      <text>
        <r>
          <rPr>
            <b/>
            <sz val="8"/>
            <color indexed="81"/>
            <rFont val="Tahoma"/>
            <family val="2"/>
          </rPr>
          <t>ccampbel:</t>
        </r>
        <r>
          <rPr>
            <sz val="8"/>
            <color indexed="81"/>
            <rFont val="Tahoma"/>
            <family val="2"/>
          </rPr>
          <t xml:space="preserve">
3 separate projects built on the same site, by the same company totalling 45 MW.
Google Maps</t>
        </r>
      </text>
    </comment>
    <comment ref="B100" authorId="1">
      <text>
        <r>
          <rPr>
            <b/>
            <sz val="8"/>
            <color indexed="81"/>
            <rFont val="Tahoma"/>
            <family val="2"/>
          </rPr>
          <t>Sean Ong:</t>
        </r>
        <r>
          <rPr>
            <sz val="8"/>
            <color indexed="81"/>
            <rFont val="Tahoma"/>
            <family val="2"/>
          </rPr>
          <t xml:space="preserve">
Expansion of El Dorado Solar, so look into the el dorado solar folder
Also sempra mesquite 150MW project on same land?</t>
        </r>
      </text>
    </comment>
    <comment ref="E100" authorId="1">
      <text>
        <r>
          <rPr>
            <b/>
            <sz val="8"/>
            <color indexed="81"/>
            <rFont val="Tahoma"/>
            <family val="2"/>
          </rPr>
          <t>Sean Ong:</t>
        </r>
        <r>
          <rPr>
            <sz val="8"/>
            <color indexed="81"/>
            <rFont val="Tahoma"/>
            <family val="2"/>
          </rPr>
          <t xml:space="preserve">
based on el dorado's scale factor of 1.2 and also FSE blythe had the same scale factor</t>
        </r>
      </text>
    </comment>
    <comment ref="J100" authorId="3">
      <text>
        <r>
          <rPr>
            <b/>
            <sz val="8"/>
            <color indexed="81"/>
            <rFont val="Tahoma"/>
            <family val="2"/>
          </rPr>
          <t>ccampbel:</t>
        </r>
        <r>
          <rPr>
            <sz val="8"/>
            <color indexed="81"/>
            <rFont val="Tahoma"/>
            <family val="2"/>
          </rPr>
          <t xml:space="preserve">
Sempras factsheet says 450 acres and almost a million panesl Also rates as 58MW</t>
        </r>
      </text>
    </comment>
    <comment ref="J101" authorId="3">
      <text>
        <r>
          <rPr>
            <b/>
            <sz val="8"/>
            <color indexed="81"/>
            <rFont val="Tahoma"/>
            <family val="2"/>
          </rPr>
          <t>ccampbel:</t>
        </r>
        <r>
          <rPr>
            <sz val="8"/>
            <color indexed="81"/>
            <rFont val="Tahoma"/>
            <family val="2"/>
          </rPr>
          <t xml:space="preserve">
http://www.blm.gov/pgdata/etc/medialib/blm/nv/field_offices/las_vegas_field_office/energy/nextlight_-_other/nextlight_map.Par.94625.File.dat/Project%20Fact%20Sheet%2002Nov10.pdf
</t>
        </r>
      </text>
    </comment>
    <comment ref="AF103" authorId="1">
      <text>
        <r>
          <rPr>
            <b/>
            <sz val="8"/>
            <color indexed="81"/>
            <rFont val="Tahoma"/>
            <family val="2"/>
          </rPr>
          <t>Sean Ong:</t>
        </r>
        <r>
          <rPr>
            <sz val="8"/>
            <color indexed="81"/>
            <rFont val="Tahoma"/>
            <family val="2"/>
          </rPr>
          <t xml:space="preserve">
on link at right: "The three main project components will require a total of about 4,410 acres – 4,090 acres for the Solar Farm, 230 acres for the transmission corridor, and 90 acres for the substation."
on BLM front page link:
"7040 acres"
http://www.blm.gov/wo/st/en/prog/energy/renewable_energy/fast-track_renewable.html
</t>
        </r>
      </text>
    </comment>
    <comment ref="B104" authorId="4">
      <text>
        <r>
          <rPr>
            <b/>
            <sz val="9"/>
            <color indexed="81"/>
            <rFont val="Tahoma"/>
            <family val="2"/>
          </rPr>
          <t>Windows User:</t>
        </r>
        <r>
          <rPr>
            <sz val="9"/>
            <color indexed="81"/>
            <rFont val="Tahoma"/>
            <family val="2"/>
          </rPr>
          <t xml:space="preserve">
largest farm under construction
</t>
        </r>
      </text>
    </comment>
    <comment ref="D104" authorId="4">
      <text>
        <r>
          <rPr>
            <b/>
            <sz val="9"/>
            <color indexed="81"/>
            <rFont val="Tahoma"/>
            <family val="2"/>
          </rPr>
          <t>Windows User:</t>
        </r>
        <r>
          <rPr>
            <sz val="9"/>
            <color indexed="81"/>
            <rFont val="Tahoma"/>
            <family val="2"/>
          </rPr>
          <t xml:space="preserve">
specified ac
</t>
        </r>
      </text>
    </comment>
    <comment ref="W109" authorId="4">
      <text>
        <r>
          <rPr>
            <b/>
            <sz val="9"/>
            <color indexed="81"/>
            <rFont val="Tahoma"/>
            <family val="2"/>
          </rPr>
          <t>Windows User:</t>
        </r>
        <r>
          <rPr>
            <sz val="9"/>
            <color indexed="81"/>
            <rFont val="Tahoma"/>
            <family val="2"/>
          </rPr>
          <t xml:space="preserve">
approximate location
</t>
        </r>
      </text>
    </comment>
    <comment ref="D113" authorId="4">
      <text>
        <r>
          <rPr>
            <b/>
            <sz val="9"/>
            <color indexed="81"/>
            <rFont val="Tahoma"/>
            <family val="2"/>
          </rPr>
          <t>Windows User:</t>
        </r>
        <r>
          <rPr>
            <sz val="9"/>
            <color indexed="81"/>
            <rFont val="Tahoma"/>
            <family val="2"/>
          </rPr>
          <t xml:space="preserve">
may be 50000MWAC</t>
        </r>
      </text>
    </comment>
    <comment ref="G114" authorId="3">
      <text>
        <r>
          <rPr>
            <b/>
            <sz val="8"/>
            <color indexed="81"/>
            <rFont val="Tahoma"/>
            <family val="2"/>
          </rPr>
          <t>ccampbel:</t>
        </r>
        <r>
          <rPr>
            <sz val="8"/>
            <color indexed="81"/>
            <rFont val="Tahoma"/>
            <family val="2"/>
          </rPr>
          <t xml:space="preserve">
how much loaned by DOE
</t>
        </r>
      </text>
    </comment>
    <comment ref="B119" authorId="3">
      <text>
        <r>
          <rPr>
            <b/>
            <sz val="8"/>
            <color indexed="81"/>
            <rFont val="Tahoma"/>
            <family val="2"/>
          </rPr>
          <t>ccampbel:</t>
        </r>
        <r>
          <rPr>
            <sz val="8"/>
            <color indexed="81"/>
            <rFont val="Tahoma"/>
            <family val="2"/>
          </rPr>
          <t xml:space="preserve">
land use approved by blm.gov.  First phase 175MW, second 100MW</t>
        </r>
      </text>
    </comment>
    <comment ref="D119" authorId="3">
      <text>
        <r>
          <rPr>
            <b/>
            <sz val="8"/>
            <color indexed="81"/>
            <rFont val="Tahoma"/>
            <family val="2"/>
          </rPr>
          <t>ccampbel:</t>
        </r>
        <r>
          <rPr>
            <sz val="8"/>
            <color indexed="81"/>
            <rFont val="Tahoma"/>
            <family val="2"/>
          </rPr>
          <t xml:space="preserve">
BLM documents</t>
        </r>
      </text>
    </comment>
    <comment ref="J119" authorId="3">
      <text>
        <r>
          <rPr>
            <b/>
            <sz val="8"/>
            <color indexed="81"/>
            <rFont val="Tahoma"/>
            <family val="2"/>
          </rPr>
          <t>ccampbel:</t>
        </r>
        <r>
          <rPr>
            <sz val="8"/>
            <color indexed="81"/>
            <rFont val="Tahoma"/>
            <family val="2"/>
          </rPr>
          <t xml:space="preserve">
was 1150 now 2067</t>
        </r>
      </text>
    </comment>
    <comment ref="B120" authorId="3">
      <text>
        <r>
          <rPr>
            <b/>
            <sz val="8"/>
            <color indexed="81"/>
            <rFont val="Tahoma"/>
            <family val="2"/>
          </rPr>
          <t>ccampbel:</t>
        </r>
        <r>
          <rPr>
            <sz val="8"/>
            <color indexed="81"/>
            <rFont val="Tahoma"/>
            <family val="2"/>
          </rPr>
          <t xml:space="preserve">
construction to begin in 2013
DOD says 440MW on 3288acres</t>
        </r>
      </text>
    </comment>
    <comment ref="D120" authorId="3">
      <text>
        <r>
          <rPr>
            <b/>
            <sz val="8"/>
            <color indexed="81"/>
            <rFont val="Tahoma"/>
            <family val="2"/>
          </rPr>
          <t>ccampbel:</t>
        </r>
        <r>
          <rPr>
            <sz val="8"/>
            <color indexed="81"/>
            <rFont val="Tahoma"/>
            <family val="2"/>
          </rPr>
          <t xml:space="preserve">
stated as both numbers, not specifying ac or dc
</t>
        </r>
      </text>
    </comment>
  </commentList>
</comments>
</file>

<file path=xl/comments3.xml><?xml version="1.0" encoding="utf-8"?>
<comments xmlns="http://schemas.openxmlformats.org/spreadsheetml/2006/main">
  <authors>
    <author>Author</author>
    <author>Sean Ong</author>
    <author>song</author>
    <author>ccampbel</author>
    <author>Windows User</author>
    <author>Clinton Campbell</author>
  </authors>
  <commentList>
    <comment ref="D2" authorId="0">
      <text>
        <r>
          <rPr>
            <b/>
            <sz val="8"/>
            <color indexed="81"/>
            <rFont val="Tahoma"/>
            <family val="2"/>
          </rPr>
          <t>Author:</t>
        </r>
        <r>
          <rPr>
            <sz val="8"/>
            <color indexed="81"/>
            <rFont val="Tahoma"/>
            <family val="2"/>
          </rPr>
          <t xml:space="preserve">
Green highlight means that original AC data was included. White means that AC data was based on the weighted average of all other PV farms that had AC data</t>
        </r>
      </text>
    </comment>
    <comment ref="S2" authorId="1">
      <text>
        <r>
          <rPr>
            <b/>
            <sz val="8"/>
            <color indexed="81"/>
            <rFont val="Tahoma"/>
            <family val="2"/>
          </rPr>
          <t>Sean Ong:</t>
        </r>
        <r>
          <rPr>
            <sz val="8"/>
            <color indexed="81"/>
            <rFont val="Tahoma"/>
            <family val="2"/>
          </rPr>
          <t xml:space="preserve">
Not all the calculations are of the same form. Some of them are based on measured values in visio while others are based on values given in the CAD drawings where available. Moreover, the cad drawings may be a variation of "post to post" vs "last edge to first edge." but all the final values given is the described in this cell's title.</t>
        </r>
      </text>
    </comment>
    <comment ref="T2" authorId="2">
      <text>
        <r>
          <rPr>
            <b/>
            <sz val="8"/>
            <color indexed="81"/>
            <rFont val="Tahoma"/>
            <family val="2"/>
          </rPr>
          <t>song:</t>
        </r>
        <r>
          <rPr>
            <sz val="8"/>
            <color indexed="81"/>
            <rFont val="Tahoma"/>
            <family val="2"/>
          </rPr>
          <t xml:space="preserve">
Land use and electricity generation: A life-cycle analysis
Vasilis Fthenakis a,b,*, Hyung Chul Kim b
see the above paper for packing factor definition, or just look at the formula in each cell</t>
        </r>
      </text>
    </comment>
    <comment ref="Z2" authorId="1">
      <text>
        <r>
          <rPr>
            <b/>
            <sz val="8"/>
            <color indexed="81"/>
            <rFont val="Tahoma"/>
            <family val="2"/>
          </rPr>
          <t>Sean Ong:</t>
        </r>
        <r>
          <rPr>
            <sz val="8"/>
            <color indexed="81"/>
            <rFont val="Tahoma"/>
            <family val="2"/>
          </rPr>
          <t xml:space="preserve">
Shape for total area
R = Rectangular
P = Polygon
I = Irregular</t>
        </r>
      </text>
    </comment>
    <comment ref="B3" authorId="1">
      <text>
        <r>
          <rPr>
            <b/>
            <sz val="8"/>
            <color indexed="81"/>
            <rFont val="Tahoma"/>
            <family val="2"/>
          </rPr>
          <t>Sean Ong:</t>
        </r>
        <r>
          <rPr>
            <sz val="8"/>
            <color indexed="81"/>
            <rFont val="Tahoma"/>
            <family val="2"/>
          </rPr>
          <t xml:space="preserve">
2nd or 3rd phase of many. After looking at imagery, it seems that there is much empty land allocated for the panels, but for which the panels have not yet been built. This will cause the total area to be bigger per MW than other similar plants.
March 2011, rest of land filled up increasing output to 6.4MW. CJC</t>
        </r>
      </text>
    </comment>
    <comment ref="G3" authorId="3">
      <text>
        <r>
          <rPr>
            <b/>
            <sz val="8"/>
            <color indexed="81"/>
            <rFont val="Tahoma"/>
            <family val="2"/>
          </rPr>
          <t>ccampbel:</t>
        </r>
        <r>
          <rPr>
            <sz val="8"/>
            <color indexed="81"/>
            <rFont val="Tahoma"/>
            <family val="2"/>
          </rPr>
          <t xml:space="preserve">
orignally said 34980, but there are only 8400</t>
        </r>
      </text>
    </comment>
    <comment ref="I3" authorId="0">
      <text>
        <r>
          <rPr>
            <b/>
            <sz val="8"/>
            <color indexed="81"/>
            <rFont val="Tahoma"/>
            <family val="2"/>
          </rPr>
          <t>Author:</t>
        </r>
        <r>
          <rPr>
            <sz val="8"/>
            <color indexed="81"/>
            <rFont val="Tahoma"/>
            <family val="2"/>
          </rPr>
          <t xml:space="preserve">
online sources report "44" acres, but doesn't really specify what this area is.
Area calculated from imagery yeids 70 acres, but this includes large open spaces reserved for upcoming expansions of this facility. 
Update: Now all spaces are filled 2011
</t>
        </r>
      </text>
    </comment>
    <comment ref="AA3"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AB3" authorId="0">
      <text>
        <r>
          <rPr>
            <b/>
            <sz val="8"/>
            <color indexed="81"/>
            <rFont val="Tahoma"/>
            <family val="2"/>
          </rPr>
          <t>Author:</t>
        </r>
        <r>
          <rPr>
            <sz val="8"/>
            <color indexed="81"/>
            <rFont val="Tahoma"/>
            <family val="2"/>
          </rPr>
          <t xml:space="preserve">
see module model comment</t>
        </r>
      </text>
    </comment>
    <comment ref="AC3"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B5" authorId="1">
      <text>
        <r>
          <rPr>
            <b/>
            <sz val="8"/>
            <color indexed="81"/>
            <rFont val="Tahoma"/>
            <family val="2"/>
          </rPr>
          <t>Sean Ong:</t>
        </r>
        <r>
          <rPr>
            <sz val="8"/>
            <color indexed="81"/>
            <rFont val="Tahoma"/>
            <family val="2"/>
          </rPr>
          <t xml:space="preserve">
Prescott Solar Plant comprised of 1axis and 2axis tracking, seperated here.
There are two different types of 1-axis tracking (horizontal, and tilted). This section only represents the horizontal. The tilted is an additional 384 kW DC. I will add that in the future.</t>
        </r>
      </text>
    </comment>
    <comment ref="I5" authorId="1">
      <text>
        <r>
          <rPr>
            <b/>
            <sz val="8"/>
            <color indexed="81"/>
            <rFont val="Tahoma"/>
            <family val="2"/>
          </rPr>
          <t>Sean Ong:</t>
        </r>
        <r>
          <rPr>
            <sz val="8"/>
            <color indexed="81"/>
            <rFont val="Tahoma"/>
            <family val="2"/>
          </rPr>
          <t xml:space="preserve">
Since this project is not yet complete, I didn't base calcs on 50 acres, but just the "road perimeter" around the respective arrays (see visio file)</t>
        </r>
      </text>
    </comment>
    <comment ref="E6" authorId="4">
      <text>
        <r>
          <rPr>
            <b/>
            <sz val="9"/>
            <color indexed="81"/>
            <rFont val="Tahoma"/>
            <family val="2"/>
          </rPr>
          <t>Windows User:</t>
        </r>
        <r>
          <rPr>
            <sz val="9"/>
            <color indexed="81"/>
            <rFont val="Tahoma"/>
            <family val="2"/>
          </rPr>
          <t xml:space="preserve">
http://www.weitz.com/project/aps-prescott/
specified 11.75MW, not 10MW</t>
        </r>
      </text>
    </comment>
    <comment ref="B7" authorId="1">
      <text>
        <r>
          <rPr>
            <b/>
            <sz val="8"/>
            <color indexed="81"/>
            <rFont val="Tahoma"/>
            <family val="2"/>
          </rPr>
          <t>Sean Ong:</t>
        </r>
        <r>
          <rPr>
            <sz val="8"/>
            <color indexed="81"/>
            <rFont val="Tahoma"/>
            <family val="2"/>
          </rPr>
          <t xml:space="preserve">
Prescott Solar Plant comprised of 1axis and 2axis tracking, seperated here</t>
        </r>
      </text>
    </comment>
    <comment ref="I7" authorId="1">
      <text>
        <r>
          <rPr>
            <b/>
            <sz val="8"/>
            <color indexed="81"/>
            <rFont val="Tahoma"/>
            <family val="2"/>
          </rPr>
          <t>Sean Ong:</t>
        </r>
        <r>
          <rPr>
            <sz val="8"/>
            <color indexed="81"/>
            <rFont val="Tahoma"/>
            <family val="2"/>
          </rPr>
          <t xml:space="preserve">
Since this project is not yet complete, I didn't base calcs on 50 acres, but just the "road perimeter" around the respective arrays (see visio file)</t>
        </r>
      </text>
    </comment>
    <comment ref="B9"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I9"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AC9" authorId="0">
      <text>
        <r>
          <rPr>
            <b/>
            <sz val="8"/>
            <color indexed="81"/>
            <rFont val="Tahoma"/>
            <family val="2"/>
          </rPr>
          <t>Author:</t>
        </r>
        <r>
          <rPr>
            <sz val="8"/>
            <color indexed="81"/>
            <rFont val="Tahoma"/>
            <family val="2"/>
          </rPr>
          <t xml:space="preserve">
roughtly 10% of this is SUNTECH 280, no significant difference in technology, just different power</t>
        </r>
      </text>
    </comment>
    <comment ref="B11"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I11"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S11" authorId="1">
      <text>
        <r>
          <rPr>
            <b/>
            <sz val="8"/>
            <color indexed="81"/>
            <rFont val="Tahoma"/>
            <family val="2"/>
          </rPr>
          <t>Sean Ong:</t>
        </r>
        <r>
          <rPr>
            <sz val="8"/>
            <color indexed="81"/>
            <rFont val="Tahoma"/>
            <family val="2"/>
          </rPr>
          <t xml:space="preserve">
area of tracker/(area around each tracker, including tracker area)
see visio file for a more visual explanation (areas are highlighted)</t>
        </r>
      </text>
    </comment>
    <comment ref="AA11" authorId="0">
      <text>
        <r>
          <rPr>
            <b/>
            <sz val="8"/>
            <color indexed="81"/>
            <rFont val="Tahoma"/>
            <family val="2"/>
          </rPr>
          <t>Author:</t>
        </r>
        <r>
          <rPr>
            <sz val="8"/>
            <color indexed="81"/>
            <rFont val="Tahoma"/>
            <family val="2"/>
          </rPr>
          <t xml:space="preserve">
There was no datasheets found for the actual dual tracking system used at alamosa, however, based on the website, I believe that this would be a reasonable estimate for the type of cells/modules used in the mover XL-ECO system. </t>
        </r>
      </text>
    </comment>
    <comment ref="B12"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I12"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Y12" authorId="0">
      <text>
        <r>
          <rPr>
            <b/>
            <sz val="8"/>
            <color indexed="81"/>
            <rFont val="Tahoma"/>
            <family val="2"/>
          </rPr>
          <t>Author:</t>
        </r>
        <r>
          <rPr>
            <sz val="8"/>
            <color indexed="81"/>
            <rFont val="Tahoma"/>
            <family val="2"/>
          </rPr>
          <t xml:space="preserve">
Although I haven't found a detailed description of this, from what I read from various sources, it sounds like these panels are automatically or manually shifted (tilted) depending on the season. That's all I know at the moment.</t>
        </r>
      </text>
    </comment>
    <comment ref="E17" authorId="3">
      <text>
        <r>
          <rPr>
            <b/>
            <sz val="8"/>
            <color indexed="81"/>
            <rFont val="Tahoma"/>
            <family val="2"/>
          </rPr>
          <t>ccampbel:</t>
        </r>
        <r>
          <rPr>
            <sz val="8"/>
            <color indexed="81"/>
            <rFont val="Tahoma"/>
            <family val="2"/>
          </rPr>
          <t xml:space="preserve">
only see data for 1000 kW system.</t>
        </r>
      </text>
    </comment>
    <comment ref="G17" authorId="3">
      <text>
        <r>
          <rPr>
            <b/>
            <sz val="8"/>
            <color indexed="81"/>
            <rFont val="Tahoma"/>
            <family val="2"/>
          </rPr>
          <t>ccampbel:</t>
        </r>
        <r>
          <rPr>
            <sz val="8"/>
            <color indexed="81"/>
            <rFont val="Tahoma"/>
            <family val="2"/>
          </rPr>
          <t xml:space="preserve">
5504 after completion</t>
        </r>
      </text>
    </comment>
    <comment ref="I17" authorId="3">
      <text>
        <r>
          <rPr>
            <b/>
            <sz val="8"/>
            <color indexed="81"/>
            <rFont val="Tahoma"/>
            <family val="2"/>
          </rPr>
          <t>ccampbel:</t>
        </r>
        <r>
          <rPr>
            <sz val="8"/>
            <color indexed="81"/>
            <rFont val="Tahoma"/>
            <family val="2"/>
          </rPr>
          <t xml:space="preserve">
approximating with map to fence and parking lot is 6.85 acres</t>
        </r>
      </text>
    </comment>
    <comment ref="E18" authorId="3">
      <text>
        <r>
          <rPr>
            <b/>
            <sz val="8"/>
            <color indexed="81"/>
            <rFont val="Tahoma"/>
            <family val="2"/>
          </rPr>
          <t>ccampbel:</t>
        </r>
        <r>
          <rPr>
            <sz val="8"/>
            <color indexed="81"/>
            <rFont val="Tahoma"/>
            <family val="2"/>
          </rPr>
          <t xml:space="preserve">
3918KWdc, 3500KWac,Some of this is on buildings and at other sites.
</t>
        </r>
      </text>
    </comment>
    <comment ref="B19" authorId="0">
      <text>
        <r>
          <rPr>
            <b/>
            <sz val="8"/>
            <color indexed="81"/>
            <rFont val="Tahoma"/>
            <family val="2"/>
          </rPr>
          <t>Author:</t>
        </r>
        <r>
          <rPr>
            <sz val="8"/>
            <color indexed="81"/>
            <rFont val="Tahoma"/>
            <family val="2"/>
          </rPr>
          <t xml:space="preserve">
Also known as Anheuser Busch Fairfield</t>
        </r>
      </text>
    </comment>
    <comment ref="AC22" authorId="0">
      <text>
        <r>
          <rPr>
            <b/>
            <sz val="8"/>
            <color indexed="81"/>
            <rFont val="Tahoma"/>
            <family val="2"/>
          </rPr>
          <t>Author:</t>
        </r>
        <r>
          <rPr>
            <sz val="8"/>
            <color indexed="81"/>
            <rFont val="Tahoma"/>
            <family val="2"/>
          </rPr>
          <t xml:space="preserve">
I could not find any efficiency or technology data for these specific modules (I downloaded the datasheets from kyocera, but this information was not in there). But I used data from the 2008 photon survey to come up with a close approximation. I used data from the KD205GH-2P model.</t>
        </r>
      </text>
    </comment>
    <comment ref="Z23" authorId="2">
      <text>
        <r>
          <rPr>
            <b/>
            <sz val="8"/>
            <color indexed="81"/>
            <rFont val="Tahoma"/>
            <family val="2"/>
          </rPr>
          <t>song:</t>
        </r>
        <r>
          <rPr>
            <sz val="8"/>
            <color indexed="81"/>
            <rFont val="Tahoma"/>
            <family val="2"/>
          </rPr>
          <t xml:space="preserve">
http://www.google.com/imgres?imgurl=http://www.sincerelysustainable.com/wp-content/uploads/2009/08/DIA-Solar-Field.jpg&amp;imgrefurl=http://www.sincerelysustainable.com/renewable-energy/solar-renewable-energy/denver-airport-expanding-its-solar-usage-significantly&amp;usg=__OWIfzpglGnDFUYc1kaHERm6FcdA=&amp;h=434&amp;w=654&amp;sz=83&amp;hl=en&amp;start=1&amp;sig2=E0RbDbByeN6-sz1SlNrlBA&amp;um=1&amp;itbs=1&amp;tbnid=NX-9dD25JMCQcM:&amp;tbnh=92&amp;tbnw=138&amp;prev=/images%3Fq%3DDIA%2Bsolar%26um%3D1%26hl%3Den%26safe%3Dactive%26sa%3DX%26qscrl%3D1%26tbs%3Disch:1&amp;ei=Z0cuTIWgHsyDnged4I33BA</t>
        </r>
      </text>
    </comment>
    <comment ref="B24" authorId="3">
      <text>
        <r>
          <rPr>
            <b/>
            <sz val="8"/>
            <color indexed="81"/>
            <rFont val="Tahoma"/>
            <family val="2"/>
          </rPr>
          <t>ccampbel:</t>
        </r>
        <r>
          <rPr>
            <sz val="8"/>
            <color indexed="81"/>
            <rFont val="Tahoma"/>
            <family val="2"/>
          </rPr>
          <t xml:space="preserve">
2 axis tracking placed where it would fit on land. Odd Shape
</t>
        </r>
      </text>
    </comment>
    <comment ref="E24" authorId="3">
      <text>
        <r>
          <rPr>
            <b/>
            <sz val="8"/>
            <color indexed="81"/>
            <rFont val="Tahoma"/>
            <family val="2"/>
          </rPr>
          <t>ccampbel:</t>
        </r>
        <r>
          <rPr>
            <sz val="8"/>
            <color indexed="81"/>
            <rFont val="Tahoma"/>
            <family val="2"/>
          </rPr>
          <t xml:space="preserve">
specified DC
</t>
        </r>
      </text>
    </comment>
    <comment ref="N24" authorId="3">
      <text>
        <r>
          <rPr>
            <b/>
            <sz val="8"/>
            <color indexed="81"/>
            <rFont val="Tahoma"/>
            <family val="2"/>
          </rPr>
          <t>ccampbel:</t>
        </r>
        <r>
          <rPr>
            <sz val="8"/>
            <color indexed="81"/>
            <rFont val="Tahoma"/>
            <family val="2"/>
          </rPr>
          <t xml:space="preserve">
Spacing doesn't seem optimal
</t>
        </r>
      </text>
    </comment>
    <comment ref="B25" authorId="3">
      <text>
        <r>
          <rPr>
            <b/>
            <sz val="8"/>
            <color indexed="81"/>
            <rFont val="Tahoma"/>
            <family val="2"/>
          </rPr>
          <t>ccampbel:</t>
        </r>
        <r>
          <rPr>
            <sz val="8"/>
            <color indexed="81"/>
            <rFont val="Tahoma"/>
            <family val="2"/>
          </rPr>
          <t xml:space="preserve">
2 or more ground intallation added to the premises. Need to use viseo and find more info.</t>
        </r>
      </text>
    </comment>
    <comment ref="E26" authorId="3">
      <text>
        <r>
          <rPr>
            <b/>
            <sz val="8"/>
            <color indexed="81"/>
            <rFont val="Tahoma"/>
            <family val="2"/>
          </rPr>
          <t>ccampbel:</t>
        </r>
        <r>
          <rPr>
            <sz val="8"/>
            <color indexed="81"/>
            <rFont val="Tahoma"/>
            <family val="2"/>
          </rPr>
          <t xml:space="preserve">
specified DC
</t>
        </r>
      </text>
    </comment>
    <comment ref="I28" authorId="3">
      <text>
        <r>
          <rPr>
            <b/>
            <sz val="8"/>
            <color indexed="81"/>
            <rFont val="Tahoma"/>
            <family val="2"/>
          </rPr>
          <t>ccampbel:</t>
        </r>
        <r>
          <rPr>
            <sz val="8"/>
            <color indexed="81"/>
            <rFont val="Tahoma"/>
            <family val="2"/>
          </rPr>
          <t xml:space="preserve">
16.5 stated
13.3 measured around the panels, extra 3.2 acres on the side</t>
        </r>
      </text>
    </comment>
    <comment ref="B29" authorId="1">
      <text>
        <r>
          <rPr>
            <b/>
            <sz val="8"/>
            <color indexed="81"/>
            <rFont val="Tahoma"/>
            <family val="2"/>
          </rPr>
          <t>Sean Ong:</t>
        </r>
        <r>
          <rPr>
            <sz val="8"/>
            <color indexed="81"/>
            <rFont val="Tahoma"/>
            <family val="2"/>
          </rPr>
          <t xml:space="preserve">
first phase in up to about 60 MW project</t>
        </r>
      </text>
    </comment>
    <comment ref="B35" authorId="1">
      <text>
        <r>
          <rPr>
            <b/>
            <sz val="8"/>
            <color indexed="81"/>
            <rFont val="Tahoma"/>
            <family val="2"/>
          </rPr>
          <t>Sean Ong:</t>
        </r>
        <r>
          <rPr>
            <sz val="8"/>
            <color indexed="81"/>
            <rFont val="Tahoma"/>
            <family val="2"/>
          </rPr>
          <t xml:space="preserve">
not too sure the exact land usage of this project, it is in the same project area as the 10 MW space system.
Update: I decided to split evenly the land use based on MW capacity.</t>
        </r>
      </text>
    </comment>
    <comment ref="E36" authorId="3">
      <text>
        <r>
          <rPr>
            <b/>
            <sz val="8"/>
            <color indexed="81"/>
            <rFont val="Tahoma"/>
            <family val="2"/>
          </rPr>
          <t>ccampbel:</t>
        </r>
        <r>
          <rPr>
            <sz val="8"/>
            <color indexed="81"/>
            <rFont val="Tahoma"/>
            <family val="2"/>
          </rPr>
          <t xml:space="preserve">
specified dc
</t>
        </r>
      </text>
    </comment>
    <comment ref="N36" authorId="3">
      <text>
        <r>
          <rPr>
            <b/>
            <sz val="8"/>
            <color indexed="81"/>
            <rFont val="Tahoma"/>
            <family val="2"/>
          </rPr>
          <t>ccampbel:</t>
        </r>
        <r>
          <rPr>
            <sz val="8"/>
            <color indexed="81"/>
            <rFont val="Tahoma"/>
            <family val="2"/>
          </rPr>
          <t xml:space="preserve">
no arial image, matched land to posted image.
Tightly packed on land
</t>
        </r>
      </text>
    </comment>
    <comment ref="AA36" authorId="3">
      <text>
        <r>
          <rPr>
            <b/>
            <sz val="8"/>
            <color indexed="81"/>
            <rFont val="Tahoma"/>
            <family val="2"/>
          </rPr>
          <t>ccampbel:</t>
        </r>
        <r>
          <rPr>
            <sz val="8"/>
            <color indexed="81"/>
            <rFont val="Tahoma"/>
            <family val="2"/>
          </rPr>
          <t xml:space="preserve">
assume tianwei panes, 
Tianwei solar panels used by hoku. 280 watt modules from calculation
</t>
        </r>
      </text>
    </comment>
    <comment ref="X38" authorId="4">
      <text>
        <r>
          <rPr>
            <b/>
            <sz val="9"/>
            <color indexed="81"/>
            <rFont val="Tahoma"/>
            <family val="2"/>
          </rPr>
          <t>Windows User:</t>
        </r>
        <r>
          <rPr>
            <sz val="9"/>
            <color indexed="81"/>
            <rFont val="Tahoma"/>
            <family val="2"/>
          </rPr>
          <t xml:space="preserve">
this looks like a fixed array on maps</t>
        </r>
      </text>
    </comment>
    <comment ref="D39" authorId="3">
      <text>
        <r>
          <rPr>
            <b/>
            <sz val="8"/>
            <color indexed="81"/>
            <rFont val="Tahoma"/>
            <family val="2"/>
          </rPr>
          <t>ccampbel:</t>
        </r>
        <r>
          <rPr>
            <sz val="8"/>
            <color indexed="81"/>
            <rFont val="Tahoma"/>
            <family val="2"/>
          </rPr>
          <t xml:space="preserve">
SMA 250U inverter 97% average efficiency</t>
        </r>
      </text>
    </comment>
    <comment ref="I39" authorId="3">
      <text>
        <r>
          <rPr>
            <b/>
            <sz val="8"/>
            <color indexed="81"/>
            <rFont val="Tahoma"/>
            <family val="2"/>
          </rPr>
          <t>ccampbel:</t>
        </r>
        <r>
          <rPr>
            <sz val="8"/>
            <color indexed="81"/>
            <rFont val="Tahoma"/>
            <family val="2"/>
          </rPr>
          <t xml:space="preserve">
stated as 18, fenced area is 14.</t>
        </r>
      </text>
    </comment>
    <comment ref="B41" authorId="3">
      <text>
        <r>
          <rPr>
            <b/>
            <sz val="8"/>
            <color indexed="81"/>
            <rFont val="Tahoma"/>
            <family val="2"/>
          </rPr>
          <t>ccampbel:</t>
        </r>
        <r>
          <rPr>
            <sz val="8"/>
            <color indexed="81"/>
            <rFont val="Tahoma"/>
            <family val="2"/>
          </rPr>
          <t xml:space="preserve">
found location and image
</t>
        </r>
      </text>
    </comment>
    <comment ref="D41" authorId="3">
      <text>
        <r>
          <rPr>
            <b/>
            <sz val="8"/>
            <color indexed="81"/>
            <rFont val="Tahoma"/>
            <family val="2"/>
          </rPr>
          <t>ccampbel:</t>
        </r>
        <r>
          <rPr>
            <sz val="8"/>
            <color indexed="81"/>
            <rFont val="Tahoma"/>
            <family val="2"/>
          </rPr>
          <t xml:space="preserve">
25MW ac pg 6.
http://seia.org/galleries/default-file/2009%20Solar%20Industry%20Year%20in%20Review.pdf</t>
        </r>
      </text>
    </comment>
    <comment ref="E42" authorId="1">
      <text>
        <r>
          <rPr>
            <b/>
            <sz val="8"/>
            <color indexed="81"/>
            <rFont val="Tahoma"/>
            <family val="2"/>
          </rPr>
          <t>Sean Ong:</t>
        </r>
        <r>
          <rPr>
            <sz val="8"/>
            <color indexed="81"/>
            <rFont val="Tahoma"/>
            <family val="2"/>
          </rPr>
          <t xml:space="preserve">
one of the links calimed that each array was 1MW AC or 1.2MW DC (21 arrays). See links txt file for more info.</t>
        </r>
      </text>
    </comment>
    <comment ref="I42" authorId="3">
      <text>
        <r>
          <rPr>
            <b/>
            <sz val="8"/>
            <color indexed="81"/>
            <rFont val="Tahoma"/>
            <family val="2"/>
          </rPr>
          <t>ccampbel:</t>
        </r>
        <r>
          <rPr>
            <sz val="8"/>
            <color indexed="81"/>
            <rFont val="Tahoma"/>
            <family val="2"/>
          </rPr>
          <t xml:space="preserve">
stated as 200, measured 186
</t>
        </r>
      </text>
    </comment>
    <comment ref="E44" authorId="3">
      <text>
        <r>
          <rPr>
            <b/>
            <sz val="8"/>
            <color indexed="81"/>
            <rFont val="Tahoma"/>
            <family val="2"/>
          </rPr>
          <t>ccampbel:</t>
        </r>
        <r>
          <rPr>
            <sz val="8"/>
            <color indexed="81"/>
            <rFont val="Tahoma"/>
            <family val="2"/>
          </rPr>
          <t xml:space="preserve">
was 2000, second phase of 3.5MW completed December 2010.  Look below for second phase</t>
        </r>
      </text>
    </comment>
    <comment ref="I44" authorId="3">
      <text>
        <r>
          <rPr>
            <b/>
            <sz val="8"/>
            <color indexed="81"/>
            <rFont val="Tahoma"/>
            <family val="2"/>
          </rPr>
          <t>ccampbel:</t>
        </r>
        <r>
          <rPr>
            <sz val="8"/>
            <color indexed="81"/>
            <rFont val="Tahoma"/>
            <family val="2"/>
          </rPr>
          <t xml:space="preserve">
Total declared for first phase was 15 acres
</t>
        </r>
      </text>
    </comment>
    <comment ref="Z44" authorId="2">
      <text>
        <r>
          <rPr>
            <b/>
            <sz val="8"/>
            <color indexed="81"/>
            <rFont val="Tahoma"/>
            <family val="2"/>
          </rPr>
          <t>song:</t>
        </r>
        <r>
          <rPr>
            <sz val="8"/>
            <color indexed="81"/>
            <rFont val="Tahoma"/>
            <family val="2"/>
          </rPr>
          <t xml:space="preserve">
based on photos of this plant, so sat imagery of this plant at time of writing this</t>
        </r>
      </text>
    </comment>
    <comment ref="E45" authorId="3">
      <text>
        <r>
          <rPr>
            <b/>
            <sz val="8"/>
            <color indexed="81"/>
            <rFont val="Tahoma"/>
            <family val="2"/>
          </rPr>
          <t>ccampbel:</t>
        </r>
        <r>
          <rPr>
            <sz val="8"/>
            <color indexed="81"/>
            <rFont val="Tahoma"/>
            <family val="2"/>
          </rPr>
          <t xml:space="preserve">
stated as DC
</t>
        </r>
      </text>
    </comment>
    <comment ref="AA45" authorId="3">
      <text>
        <r>
          <rPr>
            <b/>
            <sz val="8"/>
            <color indexed="81"/>
            <rFont val="Tahoma"/>
            <family val="2"/>
          </rPr>
          <t>ccampbel:</t>
        </r>
        <r>
          <rPr>
            <sz val="8"/>
            <color indexed="81"/>
            <rFont val="Tahoma"/>
            <family val="2"/>
          </rPr>
          <t xml:space="preserve">
weighted average of 16.7 and 14.3%
</t>
        </r>
      </text>
    </comment>
    <comment ref="I46" authorId="3">
      <text>
        <r>
          <rPr>
            <b/>
            <sz val="8"/>
            <color indexed="81"/>
            <rFont val="Tahoma"/>
            <family val="2"/>
          </rPr>
          <t>ccampbel:</t>
        </r>
        <r>
          <rPr>
            <sz val="8"/>
            <color indexed="81"/>
            <rFont val="Tahoma"/>
            <family val="2"/>
          </rPr>
          <t xml:space="preserve">
From bing select area</t>
        </r>
      </text>
    </comment>
    <comment ref="E47" authorId="3">
      <text>
        <r>
          <rPr>
            <b/>
            <sz val="8"/>
            <color indexed="81"/>
            <rFont val="Tahoma"/>
            <family val="2"/>
          </rPr>
          <t>ccampbel:</t>
        </r>
        <r>
          <rPr>
            <sz val="8"/>
            <color indexed="81"/>
            <rFont val="Tahoma"/>
            <family val="2"/>
          </rPr>
          <t xml:space="preserve">
american capital energy says 4.4MWDC
http://www.americancapitalenergy.com/yardville-solar-farm/</t>
        </r>
      </text>
    </comment>
    <comment ref="A48" authorId="3">
      <text>
        <r>
          <rPr>
            <b/>
            <sz val="8"/>
            <color indexed="81"/>
            <rFont val="Tahoma"/>
            <family val="2"/>
          </rPr>
          <t>ccampbel:</t>
        </r>
        <r>
          <rPr>
            <sz val="8"/>
            <color indexed="81"/>
            <rFont val="Tahoma"/>
            <family val="2"/>
          </rPr>
          <t xml:space="preserve">
found aerial image of site</t>
        </r>
      </text>
    </comment>
    <comment ref="F49" authorId="3">
      <text>
        <r>
          <rPr>
            <b/>
            <sz val="8"/>
            <color indexed="81"/>
            <rFont val="Tahoma"/>
            <family val="2"/>
          </rPr>
          <t>ccampbel:</t>
        </r>
        <r>
          <rPr>
            <sz val="8"/>
            <color indexed="81"/>
            <rFont val="Tahoma"/>
            <family val="2"/>
          </rPr>
          <t xml:space="preserve">
final cost was 60, proposed was 63
</t>
        </r>
      </text>
    </comment>
    <comment ref="Y51" authorId="0">
      <text>
        <r>
          <rPr>
            <b/>
            <sz val="8"/>
            <color indexed="81"/>
            <rFont val="Tahoma"/>
            <family val="2"/>
          </rPr>
          <t>Author:</t>
        </r>
        <r>
          <rPr>
            <sz val="8"/>
            <color indexed="81"/>
            <rFont val="Tahoma"/>
            <family val="2"/>
          </rPr>
          <t xml:space="preserve">
"oriented 10 degrees east of true south"</t>
        </r>
      </text>
    </comment>
    <comment ref="AA51" authorId="0">
      <text>
        <r>
          <rPr>
            <b/>
            <sz val="8"/>
            <color indexed="81"/>
            <rFont val="Tahoma"/>
            <family val="2"/>
          </rPr>
          <t>Author:</t>
        </r>
        <r>
          <rPr>
            <sz val="8"/>
            <color indexed="81"/>
            <rFont val="Tahoma"/>
            <family val="2"/>
          </rPr>
          <t xml:space="preserve">
efficiency data not available on datasheets, I could not locate it anywhere, so I found the closest module on the 2008 photon survey which is the sunmodule SW 185 mono. </t>
        </r>
      </text>
    </comment>
    <comment ref="B52" authorId="3">
      <text>
        <r>
          <rPr>
            <b/>
            <sz val="8"/>
            <color indexed="81"/>
            <rFont val="Tahoma"/>
            <family val="2"/>
          </rPr>
          <t>ccampbel:</t>
        </r>
        <r>
          <rPr>
            <sz val="8"/>
            <color indexed="81"/>
            <rFont val="Tahoma"/>
            <family val="2"/>
          </rPr>
          <t xml:space="preserve">
this was added to the 2Mw on the same 30 acres.  </t>
        </r>
      </text>
    </comment>
    <comment ref="G52" authorId="3">
      <text>
        <r>
          <rPr>
            <b/>
            <sz val="8"/>
            <color indexed="81"/>
            <rFont val="Tahoma"/>
            <family val="2"/>
          </rPr>
          <t>ccampbel:</t>
        </r>
        <r>
          <rPr>
            <sz val="8"/>
            <color indexed="81"/>
            <rFont val="Tahoma"/>
            <family val="2"/>
          </rPr>
          <t xml:space="preserve">
http://www.today.colostate.edu/story.aspx?id=3004</t>
        </r>
      </text>
    </comment>
    <comment ref="V52" authorId="2">
      <text>
        <r>
          <rPr>
            <b/>
            <sz val="8"/>
            <color indexed="81"/>
            <rFont val="Tahoma"/>
            <family val="2"/>
          </rPr>
          <t>song:</t>
        </r>
        <r>
          <rPr>
            <sz val="8"/>
            <color indexed="81"/>
            <rFont val="Tahoma"/>
            <family val="2"/>
          </rPr>
          <t xml:space="preserve">
expansions of 2MW farm, see references</t>
        </r>
      </text>
    </comment>
    <comment ref="B53" authorId="3">
      <text>
        <r>
          <rPr>
            <b/>
            <sz val="8"/>
            <color indexed="81"/>
            <rFont val="Tahoma"/>
            <family val="2"/>
          </rPr>
          <t>ccampbel:</t>
        </r>
        <r>
          <rPr>
            <sz val="8"/>
            <color indexed="81"/>
            <rFont val="Tahoma"/>
            <family val="2"/>
          </rPr>
          <t xml:space="preserve">
also known as silver lake solar project on internet
</t>
        </r>
      </text>
    </comment>
    <comment ref="E53" authorId="3">
      <text>
        <r>
          <rPr>
            <b/>
            <sz val="8"/>
            <color indexed="81"/>
            <rFont val="Tahoma"/>
            <family val="2"/>
          </rPr>
          <t>ccampbel:</t>
        </r>
        <r>
          <rPr>
            <sz val="8"/>
            <color indexed="81"/>
            <rFont val="Tahoma"/>
            <family val="2"/>
          </rPr>
          <t xml:space="preserve">
specified DC
</t>
        </r>
      </text>
    </comment>
    <comment ref="I53" authorId="3">
      <text>
        <r>
          <rPr>
            <b/>
            <sz val="8"/>
            <color indexed="81"/>
            <rFont val="Tahoma"/>
            <family val="2"/>
          </rPr>
          <t>ccampbel:</t>
        </r>
        <r>
          <rPr>
            <sz val="8"/>
            <color indexed="81"/>
            <rFont val="Tahoma"/>
            <family val="2"/>
          </rPr>
          <t xml:space="preserve">
9.25 measured
stated 8 acres
</t>
        </r>
      </text>
    </comment>
    <comment ref="E54" authorId="3">
      <text>
        <r>
          <rPr>
            <b/>
            <sz val="8"/>
            <color indexed="81"/>
            <rFont val="Tahoma"/>
            <family val="2"/>
          </rPr>
          <t>ccampbel:</t>
        </r>
        <r>
          <rPr>
            <sz val="8"/>
            <color indexed="81"/>
            <rFont val="Tahoma"/>
            <family val="2"/>
          </rPr>
          <t xml:space="preserve">
specified dc
</t>
        </r>
      </text>
    </comment>
    <comment ref="N54" authorId="3">
      <text>
        <r>
          <rPr>
            <b/>
            <sz val="8"/>
            <color indexed="81"/>
            <rFont val="Tahoma"/>
            <family val="2"/>
          </rPr>
          <t>ccampbel:</t>
        </r>
        <r>
          <rPr>
            <sz val="8"/>
            <color indexed="81"/>
            <rFont val="Tahoma"/>
            <family val="2"/>
          </rPr>
          <t xml:space="preserve">
number quoted in articles, I found 5.9 for phy and 8 for total</t>
        </r>
      </text>
    </comment>
    <comment ref="D55" authorId="3">
      <text>
        <r>
          <rPr>
            <b/>
            <sz val="8"/>
            <color indexed="81"/>
            <rFont val="Tahoma"/>
            <family val="2"/>
          </rPr>
          <t>ccampbel:</t>
        </r>
        <r>
          <rPr>
            <sz val="8"/>
            <color indexed="81"/>
            <rFont val="Tahoma"/>
            <family val="2"/>
          </rPr>
          <t xml:space="preserve">
most sites claim 2 MW, but factsheets say 2.6MW Dc</t>
        </r>
      </text>
    </comment>
    <comment ref="I55" authorId="4">
      <text>
        <r>
          <rPr>
            <b/>
            <sz val="9"/>
            <color indexed="81"/>
            <rFont val="Tahoma"/>
            <family val="2"/>
          </rPr>
          <t>Windows User:</t>
        </r>
        <r>
          <rPr>
            <sz val="9"/>
            <color indexed="81"/>
            <rFont val="Tahoma"/>
            <family val="2"/>
          </rPr>
          <t xml:space="preserve">
resources say 16, visio shows max of 14.5, actual not farm usage is 13.7 acres</t>
        </r>
      </text>
    </comment>
    <comment ref="B58" authorId="3">
      <text>
        <r>
          <rPr>
            <b/>
            <sz val="8"/>
            <color indexed="81"/>
            <rFont val="Tahoma"/>
            <family val="2"/>
          </rPr>
          <t>ccampbel:</t>
        </r>
        <r>
          <rPr>
            <sz val="8"/>
            <color indexed="81"/>
            <rFont val="Tahoma"/>
            <family val="2"/>
          </rPr>
          <t xml:space="preserve">
On the roof of a huge covered reservoir.</t>
        </r>
      </text>
    </comment>
    <comment ref="B60" authorId="1">
      <text>
        <r>
          <rPr>
            <b/>
            <sz val="8"/>
            <color indexed="81"/>
            <rFont val="Tahoma"/>
            <family val="2"/>
          </rPr>
          <t>Sean Ong:</t>
        </r>
        <r>
          <rPr>
            <sz val="8"/>
            <color indexed="81"/>
            <rFont val="Tahoma"/>
            <family val="2"/>
          </rPr>
          <t xml:space="preserve">
land is shared with NASA 1MW PV system, land slit based on MW capacity
found image</t>
        </r>
      </text>
    </comment>
    <comment ref="I60" authorId="3">
      <text>
        <r>
          <rPr>
            <b/>
            <sz val="8"/>
            <color indexed="81"/>
            <rFont val="Tahoma"/>
            <family val="2"/>
          </rPr>
          <t>ccampbel:</t>
        </r>
        <r>
          <rPr>
            <sz val="8"/>
            <color indexed="81"/>
            <rFont val="Tahoma"/>
            <family val="2"/>
          </rPr>
          <t xml:space="preserve">
stated as 45 acres, measured as 48 without open patch of land</t>
        </r>
      </text>
    </comment>
    <comment ref="N61" authorId="3">
      <text>
        <r>
          <rPr>
            <b/>
            <sz val="8"/>
            <color indexed="81"/>
            <rFont val="Tahoma"/>
            <family val="2"/>
          </rPr>
          <t>ccampbel:</t>
        </r>
        <r>
          <rPr>
            <sz val="8"/>
            <color indexed="81"/>
            <rFont val="Tahoma"/>
            <family val="2"/>
          </rPr>
          <t xml:space="preserve">
http://www.pseg.com/family/holdings/global/solar_source/pdf/wyandot_factsheet.pdf</t>
        </r>
      </text>
    </comment>
    <comment ref="B62" authorId="3">
      <text>
        <r>
          <rPr>
            <b/>
            <sz val="8"/>
            <color indexed="81"/>
            <rFont val="Tahoma"/>
            <family val="2"/>
          </rPr>
          <t>ccampbel:</t>
        </r>
        <r>
          <rPr>
            <sz val="8"/>
            <color indexed="81"/>
            <rFont val="Tahoma"/>
            <family val="2"/>
          </rPr>
          <t xml:space="preserve">
found image of land
</t>
        </r>
      </text>
    </comment>
    <comment ref="D62" authorId="3">
      <text>
        <r>
          <rPr>
            <b/>
            <sz val="8"/>
            <color indexed="81"/>
            <rFont val="Tahoma"/>
            <family val="2"/>
          </rPr>
          <t>ccampbel:</t>
        </r>
        <r>
          <rPr>
            <sz val="8"/>
            <color indexed="81"/>
            <rFont val="Tahoma"/>
            <family val="2"/>
          </rPr>
          <t xml:space="preserve">
http://www.pseg.com/family/holdings/global/solar_source/jacksonville/pdf/fact_sheet.pdf</t>
        </r>
      </text>
    </comment>
    <comment ref="I62" authorId="3">
      <text>
        <r>
          <rPr>
            <b/>
            <sz val="8"/>
            <color indexed="81"/>
            <rFont val="Tahoma"/>
            <family val="2"/>
          </rPr>
          <t>ccampbel:</t>
        </r>
        <r>
          <rPr>
            <sz val="8"/>
            <color indexed="81"/>
            <rFont val="Tahoma"/>
            <family val="2"/>
          </rPr>
          <t xml:space="preserve">
stated as 91, map shows 96 fenced
</t>
        </r>
      </text>
    </comment>
    <comment ref="AA62" authorId="3">
      <text>
        <r>
          <rPr>
            <b/>
            <sz val="8"/>
            <color indexed="81"/>
            <rFont val="Tahoma"/>
            <family val="2"/>
          </rPr>
          <t>ccampbel:</t>
        </r>
        <r>
          <rPr>
            <sz val="8"/>
            <color indexed="81"/>
            <rFont val="Tahoma"/>
            <family val="2"/>
          </rPr>
          <t xml:space="preserve">
general efficiency for thin film cadmium telluride PV
</t>
        </r>
      </text>
    </comment>
    <comment ref="I63" authorId="3">
      <text>
        <r>
          <rPr>
            <b/>
            <sz val="8"/>
            <color indexed="81"/>
            <rFont val="Tahoma"/>
            <family val="2"/>
          </rPr>
          <t>ccampbel:</t>
        </r>
        <r>
          <rPr>
            <sz val="8"/>
            <color indexed="81"/>
            <rFont val="Tahoma"/>
            <family val="2"/>
          </rPr>
          <t xml:space="preserve">
stated as 115 measured 108.  There is extra space not utilized.</t>
        </r>
      </text>
    </comment>
    <comment ref="E64" authorId="3">
      <text>
        <r>
          <rPr>
            <b/>
            <sz val="8"/>
            <color indexed="81"/>
            <rFont val="Tahoma"/>
            <family val="2"/>
          </rPr>
          <t>ccampbel:</t>
        </r>
        <r>
          <rPr>
            <sz val="8"/>
            <color indexed="81"/>
            <rFont val="Tahoma"/>
            <family val="2"/>
          </rPr>
          <t xml:space="preserve">
3.2 MWdc from pseg
</t>
        </r>
      </text>
    </comment>
    <comment ref="AA65" authorId="3">
      <text>
        <r>
          <rPr>
            <b/>
            <sz val="8"/>
            <color indexed="81"/>
            <rFont val="Tahoma"/>
            <family val="2"/>
          </rPr>
          <t>ccampbel:</t>
        </r>
        <r>
          <rPr>
            <sz val="8"/>
            <color indexed="81"/>
            <rFont val="Tahoma"/>
            <family val="2"/>
          </rPr>
          <t xml:space="preserve">
http://www.solardesigntool.com/components/module-panel-solar/Sunpower/SPR-320E-WHT-D/specification-data-sheet.html;jsessionid=F3CDAC6C1788328FCCFF1761D0B1ADFB
</t>
        </r>
      </text>
    </comment>
    <comment ref="B66" authorId="3">
      <text>
        <r>
          <rPr>
            <b/>
            <sz val="8"/>
            <color indexed="81"/>
            <rFont val="Tahoma"/>
            <family val="2"/>
          </rPr>
          <t>ccampbel:</t>
        </r>
        <r>
          <rPr>
            <sz val="8"/>
            <color indexed="81"/>
            <rFont val="Tahoma"/>
            <family val="2"/>
          </rPr>
          <t xml:space="preserve">
No info about actually moving forward, or cancellation of project.
Maybe BP dropped it with the gulf oil spill.  Update.  BP Solar no longer exist
</t>
        </r>
      </text>
    </comment>
    <comment ref="D67" authorId="3">
      <text>
        <r>
          <rPr>
            <b/>
            <sz val="8"/>
            <color indexed="81"/>
            <rFont val="Tahoma"/>
            <family val="2"/>
          </rPr>
          <t>ccampbel:</t>
        </r>
        <r>
          <rPr>
            <sz val="8"/>
            <color indexed="81"/>
            <rFont val="Tahoma"/>
            <family val="2"/>
          </rPr>
          <t xml:space="preserve">
30000kW AC</t>
        </r>
      </text>
    </comment>
    <comment ref="B68" authorId="1">
      <text>
        <r>
          <rPr>
            <b/>
            <sz val="8"/>
            <color indexed="81"/>
            <rFont val="Tahoma"/>
            <family val="2"/>
          </rPr>
          <t>Sean Ong:</t>
        </r>
        <r>
          <rPr>
            <sz val="8"/>
            <color indexed="81"/>
            <rFont val="Tahoma"/>
            <family val="2"/>
          </rPr>
          <t xml:space="preserve">
Expansion of El Dorado Solar, so look into the el dorado solar folder
Also sempra mesquite 150MW project on same land?</t>
        </r>
      </text>
    </comment>
    <comment ref="E68" authorId="1">
      <text>
        <r>
          <rPr>
            <b/>
            <sz val="8"/>
            <color indexed="81"/>
            <rFont val="Tahoma"/>
            <family val="2"/>
          </rPr>
          <t>Sean Ong:</t>
        </r>
        <r>
          <rPr>
            <sz val="8"/>
            <color indexed="81"/>
            <rFont val="Tahoma"/>
            <family val="2"/>
          </rPr>
          <t xml:space="preserve">
based on el dorado's scale factor of 1.2 and also FSE blythe had the same scale factor</t>
        </r>
      </text>
    </comment>
    <comment ref="I68" authorId="3">
      <text>
        <r>
          <rPr>
            <b/>
            <sz val="8"/>
            <color indexed="81"/>
            <rFont val="Tahoma"/>
            <family val="2"/>
          </rPr>
          <t>ccampbel:</t>
        </r>
        <r>
          <rPr>
            <sz val="8"/>
            <color indexed="81"/>
            <rFont val="Tahoma"/>
            <family val="2"/>
          </rPr>
          <t xml:space="preserve">
Sempras factsheet says 450 acres and almost a million panesl Also rates as 58MW</t>
        </r>
      </text>
    </comment>
    <comment ref="I70" authorId="3">
      <text>
        <r>
          <rPr>
            <b/>
            <sz val="8"/>
            <color indexed="81"/>
            <rFont val="Tahoma"/>
            <family val="2"/>
          </rPr>
          <t>ccampbel:</t>
        </r>
        <r>
          <rPr>
            <sz val="8"/>
            <color indexed="81"/>
            <rFont val="Tahoma"/>
            <family val="2"/>
          </rPr>
          <t xml:space="preserve">
datasheet says total 11.4 and useable is 9.154
</t>
        </r>
      </text>
    </comment>
    <comment ref="D71" authorId="3">
      <text>
        <r>
          <rPr>
            <b/>
            <sz val="8"/>
            <color indexed="81"/>
            <rFont val="Tahoma"/>
            <family val="2"/>
          </rPr>
          <t>ccampbel:</t>
        </r>
        <r>
          <rPr>
            <sz val="8"/>
            <color indexed="81"/>
            <rFont val="Tahoma"/>
            <family val="2"/>
          </rPr>
          <t xml:space="preserve">
assuming the 1MW label is ac, since calculated capacity is 1.16MW
</t>
        </r>
      </text>
    </comment>
    <comment ref="E71" authorId="3">
      <text>
        <r>
          <rPr>
            <b/>
            <sz val="8"/>
            <color indexed="81"/>
            <rFont val="Tahoma"/>
            <family val="2"/>
          </rPr>
          <t>ccampbel:</t>
        </r>
        <r>
          <rPr>
            <sz val="8"/>
            <color indexed="81"/>
            <rFont val="Tahoma"/>
            <family val="2"/>
          </rPr>
          <t xml:space="preserve">
225w*5152 panels
</t>
        </r>
      </text>
    </comment>
    <comment ref="E73" authorId="3">
      <text>
        <r>
          <rPr>
            <b/>
            <sz val="8"/>
            <color indexed="81"/>
            <rFont val="Tahoma"/>
            <family val="2"/>
          </rPr>
          <t>ccampbel:</t>
        </r>
        <r>
          <rPr>
            <sz val="8"/>
            <color indexed="81"/>
            <rFont val="Tahoma"/>
            <family val="2"/>
          </rPr>
          <t xml:space="preserve">
http://www.slideshare.net/solarszaro/greenovations-ouc-presentation
specifies DC
</t>
        </r>
      </text>
    </comment>
    <comment ref="N74" authorId="4">
      <text>
        <r>
          <rPr>
            <b/>
            <sz val="9"/>
            <color indexed="81"/>
            <rFont val="Tahoma"/>
            <family val="2"/>
          </rPr>
          <t>Windows User:</t>
        </r>
        <r>
          <rPr>
            <sz val="9"/>
            <color indexed="81"/>
            <rFont val="Tahoma"/>
            <family val="2"/>
          </rPr>
          <t xml:space="preserve">
from project maps
</t>
        </r>
      </text>
    </comment>
    <comment ref="I77" authorId="3">
      <text>
        <r>
          <rPr>
            <b/>
            <sz val="8"/>
            <color indexed="81"/>
            <rFont val="Tahoma"/>
            <family val="2"/>
          </rPr>
          <t>ccampbel:</t>
        </r>
        <r>
          <rPr>
            <sz val="8"/>
            <color indexed="81"/>
            <rFont val="Tahoma"/>
            <family val="2"/>
          </rPr>
          <t xml:space="preserve">
3 sites on 560 acres, other 2 on private land
</t>
        </r>
      </text>
    </comment>
    <comment ref="D78" authorId="4">
      <text>
        <r>
          <rPr>
            <b/>
            <sz val="9"/>
            <color indexed="81"/>
            <rFont val="Tahoma"/>
            <family val="2"/>
          </rPr>
          <t>Windows User:</t>
        </r>
        <r>
          <rPr>
            <sz val="9"/>
            <color indexed="81"/>
            <rFont val="Tahoma"/>
            <family val="2"/>
          </rPr>
          <t xml:space="preserve">
400 is actually fixed axis</t>
        </r>
      </text>
    </comment>
    <comment ref="N78" authorId="4">
      <text>
        <r>
          <rPr>
            <b/>
            <sz val="9"/>
            <color indexed="81"/>
            <rFont val="Tahoma"/>
            <family val="2"/>
          </rPr>
          <t>Windows User:</t>
        </r>
        <r>
          <rPr>
            <sz val="9"/>
            <color indexed="81"/>
            <rFont val="Tahoma"/>
            <family val="2"/>
          </rPr>
          <t xml:space="preserve">
redo when maps are updated</t>
        </r>
      </text>
    </comment>
    <comment ref="N79" authorId="3">
      <text>
        <r>
          <rPr>
            <b/>
            <sz val="8"/>
            <color indexed="81"/>
            <rFont val="Tahoma"/>
            <family val="2"/>
          </rPr>
          <t>ccampbel:</t>
        </r>
        <r>
          <rPr>
            <sz val="8"/>
            <color indexed="81"/>
            <rFont val="Tahoma"/>
            <family val="2"/>
          </rPr>
          <t xml:space="preserve">
Map shows pole only, under construction.  Need to update when image updates.</t>
        </r>
      </text>
    </comment>
    <comment ref="E80" authorId="4">
      <text>
        <r>
          <rPr>
            <b/>
            <sz val="9"/>
            <color indexed="81"/>
            <rFont val="Tahoma"/>
            <family val="2"/>
          </rPr>
          <t>Windows User:</t>
        </r>
        <r>
          <rPr>
            <sz val="9"/>
            <color indexed="81"/>
            <rFont val="Tahoma"/>
            <family val="2"/>
          </rPr>
          <t xml:space="preserve">
specified dc
</t>
        </r>
      </text>
    </comment>
    <comment ref="B82" authorId="3">
      <text>
        <r>
          <rPr>
            <b/>
            <sz val="8"/>
            <color indexed="81"/>
            <rFont val="Tahoma"/>
            <family val="2"/>
          </rPr>
          <t>ccampbel:</t>
        </r>
        <r>
          <rPr>
            <sz val="8"/>
            <color indexed="81"/>
            <rFont val="Tahoma"/>
            <family val="2"/>
          </rPr>
          <t xml:space="preserve">
added picture
size was decreased from initial ratings</t>
        </r>
      </text>
    </comment>
    <comment ref="E82" authorId="3">
      <text>
        <r>
          <rPr>
            <b/>
            <sz val="8"/>
            <color indexed="81"/>
            <rFont val="Tahoma"/>
            <family val="2"/>
          </rPr>
          <t>ccampbel:</t>
        </r>
        <r>
          <rPr>
            <sz val="8"/>
            <color indexed="81"/>
            <rFont val="Tahoma"/>
            <family val="2"/>
          </rPr>
          <t xml:space="preserve">
was 21500DC 18000AC
now 17200DC 15500AC</t>
        </r>
      </text>
    </comment>
    <comment ref="I82" authorId="3">
      <text>
        <r>
          <rPr>
            <b/>
            <sz val="8"/>
            <color indexed="81"/>
            <rFont val="Tahoma"/>
            <family val="2"/>
          </rPr>
          <t>ccampbel:</t>
        </r>
        <r>
          <rPr>
            <sz val="8"/>
            <color indexed="81"/>
            <rFont val="Tahoma"/>
            <family val="2"/>
          </rPr>
          <t xml:space="preserve">
was 386, now over 200</t>
        </r>
      </text>
    </comment>
    <comment ref="G83" authorId="4">
      <text>
        <r>
          <rPr>
            <b/>
            <sz val="9"/>
            <color indexed="81"/>
            <rFont val="Tahoma"/>
            <family val="2"/>
          </rPr>
          <t>Windows User:</t>
        </r>
        <r>
          <rPr>
            <sz val="9"/>
            <color indexed="81"/>
            <rFont val="Tahoma"/>
            <family val="2"/>
          </rPr>
          <t xml:space="preserve">
one site says 75168, another at completion says 93000
</t>
        </r>
      </text>
    </comment>
    <comment ref="D87" authorId="3">
      <text>
        <r>
          <rPr>
            <b/>
            <sz val="8"/>
            <color indexed="81"/>
            <rFont val="Tahoma"/>
            <family val="2"/>
          </rPr>
          <t>ccampbel:</t>
        </r>
        <r>
          <rPr>
            <sz val="8"/>
            <color indexed="81"/>
            <rFont val="Tahoma"/>
            <family val="2"/>
          </rPr>
          <t xml:space="preserve">
modules are 60kW AC
</t>
        </r>
      </text>
    </comment>
    <comment ref="E87" authorId="3">
      <text>
        <r>
          <rPr>
            <b/>
            <sz val="8"/>
            <color indexed="81"/>
            <rFont val="Tahoma"/>
            <family val="2"/>
          </rPr>
          <t>ccampbel:</t>
        </r>
        <r>
          <rPr>
            <sz val="8"/>
            <color indexed="81"/>
            <rFont val="Tahoma"/>
            <family val="2"/>
          </rPr>
          <t xml:space="preserve">
84*77KW models
</t>
        </r>
      </text>
    </comment>
    <comment ref="X94" authorId="3">
      <text>
        <r>
          <rPr>
            <b/>
            <sz val="8"/>
            <color indexed="81"/>
            <rFont val="Tahoma"/>
            <family val="2"/>
          </rPr>
          <t>ccampbel:</t>
        </r>
        <r>
          <rPr>
            <sz val="8"/>
            <color indexed="81"/>
            <rFont val="Tahoma"/>
            <family val="2"/>
          </rPr>
          <t xml:space="preserve">
8020 on fixed
312 on tracking
</t>
        </r>
      </text>
    </comment>
    <comment ref="E96" authorId="3">
      <text>
        <r>
          <rPr>
            <b/>
            <sz val="8"/>
            <color indexed="81"/>
            <rFont val="Tahoma"/>
            <family val="2"/>
          </rPr>
          <t>ccampbel:</t>
        </r>
        <r>
          <rPr>
            <sz val="8"/>
            <color indexed="81"/>
            <rFont val="Tahoma"/>
            <family val="2"/>
          </rPr>
          <t xml:space="preserve">
3MWDc from pseg
kearny, NJ</t>
        </r>
      </text>
    </comment>
    <comment ref="N96" authorId="3">
      <text>
        <r>
          <rPr>
            <b/>
            <sz val="8"/>
            <color indexed="81"/>
            <rFont val="Tahoma"/>
            <family val="2"/>
          </rPr>
          <t>ccampbel:</t>
        </r>
        <r>
          <rPr>
            <sz val="8"/>
            <color indexed="81"/>
            <rFont val="Tahoma"/>
            <family val="2"/>
          </rPr>
          <t xml:space="preserve">
no map image yet
</t>
        </r>
      </text>
    </comment>
    <comment ref="B98" authorId="4">
      <text>
        <r>
          <rPr>
            <b/>
            <sz val="9"/>
            <color indexed="81"/>
            <rFont val="Tahoma"/>
            <family val="2"/>
          </rPr>
          <t>Windows User:</t>
        </r>
        <r>
          <rPr>
            <sz val="9"/>
            <color indexed="81"/>
            <rFont val="Tahoma"/>
            <family val="2"/>
          </rPr>
          <t xml:space="preserve">
these arrays are very closely spaced, edge to edge throughout, increasing in height entire way</t>
        </r>
      </text>
    </comment>
    <comment ref="B100" authorId="4">
      <text>
        <r>
          <rPr>
            <b/>
            <sz val="9"/>
            <color indexed="81"/>
            <rFont val="Tahoma"/>
            <family val="2"/>
          </rPr>
          <t>Windows User:</t>
        </r>
        <r>
          <rPr>
            <sz val="9"/>
            <color indexed="81"/>
            <rFont val="Tahoma"/>
            <family val="2"/>
          </rPr>
          <t xml:space="preserve">
sometimes called fairfield solar project
</t>
        </r>
      </text>
    </comment>
    <comment ref="D100" authorId="4">
      <text>
        <r>
          <rPr>
            <b/>
            <sz val="9"/>
            <color indexed="81"/>
            <rFont val="Tahoma"/>
            <family val="2"/>
          </rPr>
          <t>Windows User:</t>
        </r>
        <r>
          <rPr>
            <sz val="9"/>
            <color indexed="81"/>
            <rFont val="Tahoma"/>
            <family val="2"/>
          </rPr>
          <t xml:space="preserve">
Specified AC
</t>
        </r>
      </text>
    </comment>
    <comment ref="E100" authorId="4">
      <text>
        <r>
          <rPr>
            <b/>
            <sz val="9"/>
            <color indexed="81"/>
            <rFont val="Tahoma"/>
            <family val="2"/>
          </rPr>
          <t>Windows User:</t>
        </r>
        <r>
          <rPr>
            <sz val="9"/>
            <color indexed="81"/>
            <rFont val="Tahoma"/>
            <family val="2"/>
          </rPr>
          <t xml:space="preserve">
235 watt modules
</t>
        </r>
      </text>
    </comment>
    <comment ref="N100" authorId="4">
      <text>
        <r>
          <rPr>
            <b/>
            <sz val="9"/>
            <color indexed="81"/>
            <rFont val="Tahoma"/>
            <family val="2"/>
          </rPr>
          <t>Windows User:</t>
        </r>
        <r>
          <rPr>
            <sz val="9"/>
            <color indexed="81"/>
            <rFont val="Tahoma"/>
            <family val="2"/>
          </rPr>
          <t xml:space="preserve">
http://www.nj.com/cumberland/index.ssf/2011/10/fairfield_solar_project_breaks.html</t>
        </r>
      </text>
    </comment>
    <comment ref="I101" authorId="4">
      <text>
        <r>
          <rPr>
            <b/>
            <sz val="9"/>
            <color indexed="81"/>
            <rFont val="Tahoma"/>
            <family val="2"/>
          </rPr>
          <t>Windows User:</t>
        </r>
        <r>
          <rPr>
            <sz val="9"/>
            <color indexed="81"/>
            <rFont val="Tahoma"/>
            <family val="2"/>
          </rPr>
          <t xml:space="preserve">
check for images later
</t>
        </r>
      </text>
    </comment>
    <comment ref="I103" authorId="4">
      <text>
        <r>
          <rPr>
            <b/>
            <sz val="9"/>
            <color indexed="81"/>
            <rFont val="Tahoma"/>
            <family val="2"/>
          </rPr>
          <t>Windows User:</t>
        </r>
        <r>
          <rPr>
            <sz val="9"/>
            <color indexed="81"/>
            <rFont val="Tahoma"/>
            <family val="2"/>
          </rPr>
          <t xml:space="preserve">
sources say 6 acres</t>
        </r>
      </text>
    </comment>
    <comment ref="N106" authorId="3">
      <text>
        <r>
          <rPr>
            <b/>
            <sz val="8"/>
            <color indexed="81"/>
            <rFont val="Tahoma"/>
            <family val="2"/>
          </rPr>
          <t>ccampbel:</t>
        </r>
        <r>
          <rPr>
            <sz val="8"/>
            <color indexed="81"/>
            <rFont val="Tahoma"/>
            <family val="2"/>
          </rPr>
          <t xml:space="preserve">
specified in article
</t>
        </r>
      </text>
    </comment>
    <comment ref="V106" authorId="3">
      <text>
        <r>
          <rPr>
            <b/>
            <sz val="8"/>
            <color indexed="81"/>
            <rFont val="Tahoma"/>
            <family val="2"/>
          </rPr>
          <t>ccampbel:</t>
        </r>
        <r>
          <rPr>
            <sz val="8"/>
            <color indexed="81"/>
            <rFont val="Tahoma"/>
            <family val="2"/>
          </rPr>
          <t xml:space="preserve">
282 Cottage St.  springfield MA, but map doesn't show location
</t>
        </r>
      </text>
    </comment>
    <comment ref="V107" authorId="3">
      <text>
        <r>
          <rPr>
            <b/>
            <sz val="8"/>
            <color indexed="81"/>
            <rFont val="Tahoma"/>
            <family val="2"/>
          </rPr>
          <t xml:space="preserve">ccampbel:
Not sure about this  being the correct site.  Matches stated acrage in the right part of town.  To new for maps
</t>
        </r>
      </text>
    </comment>
    <comment ref="D108" authorId="4">
      <text>
        <r>
          <rPr>
            <b/>
            <sz val="9"/>
            <color indexed="81"/>
            <rFont val="Tahoma"/>
            <family val="2"/>
          </rPr>
          <t>Windows User:</t>
        </r>
        <r>
          <rPr>
            <sz val="9"/>
            <color indexed="81"/>
            <rFont val="Tahoma"/>
            <family val="2"/>
          </rPr>
          <t xml:space="preserve">
specified AC
</t>
        </r>
      </text>
    </comment>
    <comment ref="N108" authorId="4">
      <text>
        <r>
          <rPr>
            <b/>
            <sz val="9"/>
            <color indexed="81"/>
            <rFont val="Tahoma"/>
            <family val="2"/>
          </rPr>
          <t>Windows User:</t>
        </r>
        <r>
          <rPr>
            <sz val="9"/>
            <color indexed="81"/>
            <rFont val="Tahoma"/>
            <family val="2"/>
          </rPr>
          <t xml:space="preserve">
partial image
update when image updates</t>
        </r>
      </text>
    </comment>
    <comment ref="D109" authorId="3">
      <text>
        <r>
          <rPr>
            <b/>
            <sz val="8"/>
            <color indexed="81"/>
            <rFont val="Tahoma"/>
            <family val="2"/>
          </rPr>
          <t>ccampbel:</t>
        </r>
        <r>
          <rPr>
            <sz val="8"/>
            <color indexed="81"/>
            <rFont val="Tahoma"/>
            <family val="2"/>
          </rPr>
          <t xml:space="preserve">
specified AC
</t>
        </r>
      </text>
    </comment>
    <comment ref="X111" authorId="3">
      <text>
        <r>
          <rPr>
            <b/>
            <sz val="8"/>
            <color indexed="81"/>
            <rFont val="Tahoma"/>
            <family val="2"/>
          </rPr>
          <t>ccampbel:</t>
        </r>
        <r>
          <rPr>
            <sz val="8"/>
            <color indexed="81"/>
            <rFont val="Tahoma"/>
            <family val="2"/>
          </rPr>
          <t xml:space="preserve">
assuming fixed from photo</t>
        </r>
      </text>
    </comment>
    <comment ref="B113" authorId="3">
      <text>
        <r>
          <rPr>
            <b/>
            <sz val="8"/>
            <color indexed="81"/>
            <rFont val="Tahoma"/>
            <family val="2"/>
          </rPr>
          <t>ccampbel:</t>
        </r>
        <r>
          <rPr>
            <sz val="8"/>
            <color indexed="81"/>
            <rFont val="Tahoma"/>
            <family val="2"/>
          </rPr>
          <t xml:space="preserve">
3 separate projects built on the same site, by the same company totalling 45 MW.
Google Maps</t>
        </r>
      </text>
    </comment>
    <comment ref="A114" authorId="3">
      <text>
        <r>
          <rPr>
            <b/>
            <sz val="8"/>
            <color indexed="81"/>
            <rFont val="Tahoma"/>
            <family val="2"/>
          </rPr>
          <t>ccampbel:</t>
        </r>
        <r>
          <rPr>
            <sz val="8"/>
            <color indexed="81"/>
            <rFont val="Tahoma"/>
            <family val="2"/>
          </rPr>
          <t xml:space="preserve">
I don’t' think this ever made it off the ground, and the area was taken off of the prime solar energy list.</t>
        </r>
      </text>
    </comment>
    <comment ref="V114" authorId="2">
      <text>
        <r>
          <rPr>
            <b/>
            <sz val="8"/>
            <color indexed="81"/>
            <rFont val="Tahoma"/>
            <family val="2"/>
          </rPr>
          <t>song:</t>
        </r>
        <r>
          <rPr>
            <sz val="8"/>
            <color indexed="81"/>
            <rFont val="Tahoma"/>
            <family val="2"/>
          </rPr>
          <t xml:space="preserve">
"32952 Mountain View Road"</t>
        </r>
      </text>
    </comment>
    <comment ref="N115" authorId="4">
      <text>
        <r>
          <rPr>
            <b/>
            <sz val="9"/>
            <color indexed="81"/>
            <rFont val="Tahoma"/>
            <family val="2"/>
          </rPr>
          <t>Windows User:</t>
        </r>
        <r>
          <rPr>
            <sz val="9"/>
            <color indexed="81"/>
            <rFont val="Tahoma"/>
            <family val="2"/>
          </rPr>
          <t xml:space="preserve">
specified in documents
</t>
        </r>
      </text>
    </comment>
    <comment ref="AD115" authorId="4">
      <text>
        <r>
          <rPr>
            <b/>
            <sz val="9"/>
            <color indexed="81"/>
            <rFont val="Tahoma"/>
            <family val="2"/>
          </rPr>
          <t>Windows User:</t>
        </r>
        <r>
          <rPr>
            <sz val="9"/>
            <color indexed="81"/>
            <rFont val="Tahoma"/>
            <family val="2"/>
          </rPr>
          <t xml:space="preserve">
sept 2011
 start 12 week build time</t>
        </r>
      </text>
    </comment>
    <comment ref="AA118" authorId="4">
      <text>
        <r>
          <rPr>
            <b/>
            <sz val="9"/>
            <color indexed="81"/>
            <rFont val="Tahoma"/>
            <family val="2"/>
          </rPr>
          <t>Windows User:</t>
        </r>
        <r>
          <rPr>
            <sz val="9"/>
            <color indexed="81"/>
            <rFont val="Tahoma"/>
            <family val="2"/>
          </rPr>
          <t xml:space="preserve">
both poly and mono claimed the same efficiency rating on datasheets for 245W modules</t>
        </r>
      </text>
    </comment>
    <comment ref="AA119" authorId="4">
      <text>
        <r>
          <rPr>
            <b/>
            <sz val="9"/>
            <color indexed="81"/>
            <rFont val="Tahoma"/>
            <family val="2"/>
          </rPr>
          <t>Windows User:</t>
        </r>
        <r>
          <rPr>
            <sz val="9"/>
            <color indexed="81"/>
            <rFont val="Tahoma"/>
            <family val="2"/>
          </rPr>
          <t xml:space="preserve">
assume E19 </t>
        </r>
      </text>
    </comment>
    <comment ref="E120" authorId="4">
      <text>
        <r>
          <rPr>
            <b/>
            <sz val="9"/>
            <color indexed="81"/>
            <rFont val="Tahoma"/>
            <family val="2"/>
          </rPr>
          <t>Windows User:</t>
        </r>
        <r>
          <rPr>
            <sz val="9"/>
            <color indexed="81"/>
            <rFont val="Tahoma"/>
            <family val="2"/>
          </rPr>
          <t xml:space="preserve">
specified dc
</t>
        </r>
      </text>
    </comment>
    <comment ref="AA120" authorId="4">
      <text>
        <r>
          <rPr>
            <b/>
            <sz val="9"/>
            <color indexed="81"/>
            <rFont val="Tahoma"/>
            <family val="2"/>
          </rPr>
          <t>Windows User:</t>
        </r>
        <r>
          <rPr>
            <sz val="9"/>
            <color indexed="81"/>
            <rFont val="Tahoma"/>
            <family val="2"/>
          </rPr>
          <t xml:space="preserve">
datasheets showed a range in the 14% for different types of panels
</t>
        </r>
      </text>
    </comment>
    <comment ref="N127" authorId="4">
      <text>
        <r>
          <rPr>
            <b/>
            <sz val="9"/>
            <color indexed="81"/>
            <rFont val="Tahoma"/>
            <family val="2"/>
          </rPr>
          <t>Windows User:</t>
        </r>
        <r>
          <rPr>
            <sz val="9"/>
            <color indexed="81"/>
            <rFont val="Tahoma"/>
            <family val="2"/>
          </rPr>
          <t xml:space="preserve">
irregularly shaped
update when images are newer</t>
        </r>
      </text>
    </comment>
    <comment ref="N128" authorId="4">
      <text>
        <r>
          <rPr>
            <b/>
            <sz val="9"/>
            <color indexed="81"/>
            <rFont val="Tahoma"/>
            <family val="2"/>
          </rPr>
          <t>Windows User:</t>
        </r>
        <r>
          <rPr>
            <sz val="9"/>
            <color indexed="81"/>
            <rFont val="Tahoma"/>
            <family val="2"/>
          </rPr>
          <t xml:space="preserve">
specified panel land
no image
</t>
        </r>
      </text>
    </comment>
    <comment ref="B129" authorId="4">
      <text>
        <r>
          <rPr>
            <b/>
            <sz val="9"/>
            <color indexed="81"/>
            <rFont val="Tahoma"/>
            <family val="2"/>
          </rPr>
          <t>Windows User:</t>
        </r>
        <r>
          <rPr>
            <sz val="9"/>
            <color indexed="81"/>
            <rFont val="Tahoma"/>
            <family val="2"/>
          </rPr>
          <t xml:space="preserve">
also referred to as shelby solar farm in kings mountain NC  (Different than the SC site)
</t>
        </r>
      </text>
    </comment>
    <comment ref="V129" authorId="4">
      <text>
        <r>
          <rPr>
            <b/>
            <sz val="9"/>
            <color indexed="81"/>
            <rFont val="Tahoma"/>
            <family val="2"/>
          </rPr>
          <t>Windows User:</t>
        </r>
        <r>
          <rPr>
            <sz val="9"/>
            <color indexed="81"/>
            <rFont val="Tahoma"/>
            <family val="2"/>
          </rPr>
          <t xml:space="preserve">
dixon dairy road in Kings Mountain</t>
        </r>
      </text>
    </comment>
    <comment ref="V130" authorId="3">
      <text>
        <r>
          <rPr>
            <b/>
            <sz val="8"/>
            <color indexed="81"/>
            <rFont val="Tahoma"/>
            <family val="2"/>
          </rPr>
          <t>ccampbel:</t>
        </r>
        <r>
          <rPr>
            <sz val="8"/>
            <color indexed="81"/>
            <rFont val="Tahoma"/>
            <family val="2"/>
          </rPr>
          <t xml:space="preserve">
North of downtown
Not on maps as of 2/2012
</t>
        </r>
      </text>
    </comment>
    <comment ref="D134" authorId="4">
      <text>
        <r>
          <rPr>
            <b/>
            <sz val="9"/>
            <color indexed="81"/>
            <rFont val="Tahoma"/>
            <family val="2"/>
          </rPr>
          <t>Windows User:</t>
        </r>
        <r>
          <rPr>
            <sz val="9"/>
            <color indexed="81"/>
            <rFont val="Tahoma"/>
            <family val="2"/>
          </rPr>
          <t xml:space="preserve">
specified AC</t>
        </r>
      </text>
    </comment>
    <comment ref="V134" authorId="4">
      <text>
        <r>
          <rPr>
            <b/>
            <sz val="9"/>
            <color indexed="81"/>
            <rFont val="Tahoma"/>
            <family val="2"/>
          </rPr>
          <t>Windows User:</t>
        </r>
        <r>
          <rPr>
            <sz val="9"/>
            <color indexed="81"/>
            <rFont val="Tahoma"/>
            <family val="2"/>
          </rPr>
          <t xml:space="preserve">
Said property is located east of S. Road 1 East and between E. Road 2 South and E. Road 4 South</t>
        </r>
      </text>
    </comment>
    <comment ref="D136" authorId="4">
      <text>
        <r>
          <rPr>
            <b/>
            <sz val="9"/>
            <color indexed="81"/>
            <rFont val="Tahoma"/>
            <family val="2"/>
          </rPr>
          <t>Windows User:</t>
        </r>
        <r>
          <rPr>
            <sz val="9"/>
            <color indexed="81"/>
            <rFont val="Tahoma"/>
            <family val="2"/>
          </rPr>
          <t xml:space="preserve">
specified ac
</t>
        </r>
      </text>
    </comment>
    <comment ref="E138" authorId="3">
      <text>
        <r>
          <rPr>
            <b/>
            <sz val="8"/>
            <color indexed="81"/>
            <rFont val="Tahoma"/>
            <family val="2"/>
          </rPr>
          <t>ccampbel:</t>
        </r>
        <r>
          <rPr>
            <sz val="8"/>
            <color indexed="81"/>
            <rFont val="Tahoma"/>
            <family val="2"/>
          </rPr>
          <t xml:space="preserve">
Factsheet 110000*320Watt panesl</t>
        </r>
      </text>
    </comment>
    <comment ref="B140" authorId="5">
      <text>
        <r>
          <rPr>
            <b/>
            <sz val="9"/>
            <color indexed="81"/>
            <rFont val="Tahoma"/>
            <family val="2"/>
          </rPr>
          <t>Clinton Campbell:</t>
        </r>
        <r>
          <rPr>
            <sz val="9"/>
            <color indexed="81"/>
            <rFont val="Tahoma"/>
            <family val="2"/>
          </rPr>
          <t xml:space="preserve">
http://www.blm.gov/ca/st/en/fo/palmsprings/Solar_Projects/Desert_Sunlight.html</t>
        </r>
      </text>
    </comment>
    <comment ref="E141" authorId="4">
      <text>
        <r>
          <rPr>
            <b/>
            <sz val="9"/>
            <color indexed="81"/>
            <rFont val="Tahoma"/>
            <family val="2"/>
          </rPr>
          <t>Windows User:</t>
        </r>
        <r>
          <rPr>
            <sz val="9"/>
            <color indexed="81"/>
            <rFont val="Tahoma"/>
            <family val="2"/>
          </rPr>
          <t xml:space="preserve">
may be as high as 80000
</t>
        </r>
      </text>
    </comment>
    <comment ref="I142" authorId="3">
      <text>
        <r>
          <rPr>
            <b/>
            <sz val="8"/>
            <color indexed="81"/>
            <rFont val="Tahoma"/>
            <family val="2"/>
          </rPr>
          <t>ccampbel:</t>
        </r>
        <r>
          <rPr>
            <sz val="8"/>
            <color indexed="81"/>
            <rFont val="Tahoma"/>
            <family val="2"/>
          </rPr>
          <t xml:space="preserve">
http://www.blm.gov/pgdata/etc/medialib/blm/nv/field_offices/las_vegas_field_office/energy/nextlight_-_other/nextlight_map.Par.94625.File.dat/Project%20Fact%20Sheet%2002Nov10.pdf
</t>
        </r>
      </text>
    </comment>
    <comment ref="B143" authorId="3">
      <text>
        <r>
          <rPr>
            <b/>
            <sz val="8"/>
            <color indexed="81"/>
            <rFont val="Tahoma"/>
            <family val="2"/>
          </rPr>
          <t>ccampbel:</t>
        </r>
        <r>
          <rPr>
            <sz val="8"/>
            <color indexed="81"/>
            <rFont val="Tahoma"/>
            <family val="2"/>
          </rPr>
          <t xml:space="preserve">
information still lacking</t>
        </r>
      </text>
    </comment>
    <comment ref="V147" authorId="4">
      <text>
        <r>
          <rPr>
            <b/>
            <sz val="9"/>
            <color indexed="81"/>
            <rFont val="Tahoma"/>
            <family val="2"/>
          </rPr>
          <t>Windows User:</t>
        </r>
        <r>
          <rPr>
            <sz val="9"/>
            <color indexed="81"/>
            <rFont val="Tahoma"/>
            <family val="2"/>
          </rPr>
          <t xml:space="preserve">
approximate
</t>
        </r>
      </text>
    </comment>
    <comment ref="E150" authorId="4">
      <text>
        <r>
          <rPr>
            <b/>
            <sz val="9"/>
            <color indexed="81"/>
            <rFont val="Tahoma"/>
            <family val="2"/>
          </rPr>
          <t>Windows User:</t>
        </r>
        <r>
          <rPr>
            <sz val="9"/>
            <color indexed="81"/>
            <rFont val="Tahoma"/>
            <family val="2"/>
          </rPr>
          <t xml:space="preserve">
Specified DC
</t>
        </r>
      </text>
    </comment>
    <comment ref="V150" authorId="4">
      <text>
        <r>
          <rPr>
            <b/>
            <sz val="9"/>
            <color indexed="81"/>
            <rFont val="Tahoma"/>
            <family val="2"/>
          </rPr>
          <t>Windows User:</t>
        </r>
        <r>
          <rPr>
            <sz val="9"/>
            <color indexed="81"/>
            <rFont val="Tahoma"/>
            <family val="2"/>
          </rPr>
          <t xml:space="preserve">
approximate to city level</t>
        </r>
      </text>
    </comment>
    <comment ref="I151" authorId="4">
      <text>
        <r>
          <rPr>
            <b/>
            <sz val="9"/>
            <color indexed="81"/>
            <rFont val="Tahoma"/>
            <family val="2"/>
          </rPr>
          <t>Windows User:</t>
        </r>
        <r>
          <rPr>
            <sz val="9"/>
            <color indexed="81"/>
            <rFont val="Tahoma"/>
            <family val="2"/>
          </rPr>
          <t xml:space="preserve">
just needed to fill the empty slot. </t>
        </r>
      </text>
    </comment>
    <comment ref="E156" authorId="3">
      <text>
        <r>
          <rPr>
            <b/>
            <sz val="8"/>
            <color indexed="81"/>
            <rFont val="Tahoma"/>
            <family val="2"/>
          </rPr>
          <t>ccampbel:</t>
        </r>
        <r>
          <rPr>
            <sz val="8"/>
            <color indexed="81"/>
            <rFont val="Tahoma"/>
            <family val="2"/>
          </rPr>
          <t xml:space="preserve">
assuming the 75W modules used</t>
        </r>
      </text>
    </comment>
    <comment ref="F156" authorId="3">
      <text>
        <r>
          <rPr>
            <b/>
            <sz val="8"/>
            <color indexed="81"/>
            <rFont val="Tahoma"/>
            <family val="2"/>
          </rPr>
          <t>ccampbel:</t>
        </r>
        <r>
          <rPr>
            <sz val="8"/>
            <color indexed="81"/>
            <rFont val="Tahoma"/>
            <family val="2"/>
          </rPr>
          <t xml:space="preserve">
1.36 billion total investment, 713mil in equity investment through 2013</t>
        </r>
      </text>
    </comment>
    <comment ref="N156" authorId="3">
      <text>
        <r>
          <rPr>
            <b/>
            <sz val="8"/>
            <color indexed="81"/>
            <rFont val="Tahoma"/>
            <family val="2"/>
          </rPr>
          <t>ccampbel:</t>
        </r>
        <r>
          <rPr>
            <sz val="8"/>
            <color indexed="81"/>
            <rFont val="Tahoma"/>
            <family val="2"/>
          </rPr>
          <t xml:space="preserve">
project_r2009-02239_deir.pdf
pg 139 line 5
</t>
        </r>
      </text>
    </comment>
    <comment ref="AA156" authorId="3">
      <text>
        <r>
          <rPr>
            <b/>
            <sz val="8"/>
            <color indexed="81"/>
            <rFont val="Tahoma"/>
            <family val="2"/>
          </rPr>
          <t>ccampbel:</t>
        </r>
        <r>
          <rPr>
            <sz val="8"/>
            <color indexed="81"/>
            <rFont val="Tahoma"/>
            <family val="2"/>
          </rPr>
          <t xml:space="preserve">
http://www.focusvoltaico.com/en/photovoltaic-panels/catalogue/details/110/113
</t>
        </r>
      </text>
    </comment>
    <comment ref="E157" authorId="4">
      <text>
        <r>
          <rPr>
            <b/>
            <sz val="9"/>
            <color indexed="81"/>
            <rFont val="Tahoma"/>
            <family val="2"/>
          </rPr>
          <t>Windows User:</t>
        </r>
        <r>
          <rPr>
            <sz val="9"/>
            <color indexed="81"/>
            <rFont val="Tahoma"/>
            <family val="2"/>
          </rPr>
          <t xml:space="preserve">
initial reports said 45000, one later says 40500
</t>
        </r>
      </text>
    </comment>
    <comment ref="I157" authorId="4">
      <text>
        <r>
          <rPr>
            <b/>
            <sz val="9"/>
            <color indexed="81"/>
            <rFont val="Tahoma"/>
            <family val="2"/>
          </rPr>
          <t>Windows User:</t>
        </r>
        <r>
          <rPr>
            <sz val="9"/>
            <color indexed="81"/>
            <rFont val="Tahoma"/>
            <family val="2"/>
          </rPr>
          <t xml:space="preserve">
many initial reports say 516,  one says 422
http://www.vvdailypress.com/articles/plant-22188-san-solar.html
</t>
        </r>
      </text>
    </comment>
    <comment ref="AE158" authorId="1">
      <text>
        <r>
          <rPr>
            <b/>
            <sz val="8"/>
            <color indexed="81"/>
            <rFont val="Tahoma"/>
            <family val="2"/>
          </rPr>
          <t>Sean Ong:</t>
        </r>
        <r>
          <rPr>
            <sz val="8"/>
            <color indexed="81"/>
            <rFont val="Tahoma"/>
            <family val="2"/>
          </rPr>
          <t xml:space="preserve">
on link at right: "The three main project components will require a total of about 4,410 acres – 4,090 acres for the Solar Farm, 230 acres for the transmission corridor, and 90 acres for the substation."
on BLM front page link:
"7040 acres"
http://www.blm.gov/wo/st/en/prog/energy/renewable_energy/fast-track_renewable.html
</t>
        </r>
      </text>
    </comment>
    <comment ref="D164" authorId="4">
      <text>
        <r>
          <rPr>
            <b/>
            <sz val="9"/>
            <color indexed="81"/>
            <rFont val="Tahoma"/>
            <family val="2"/>
          </rPr>
          <t>Windows User:</t>
        </r>
        <r>
          <rPr>
            <sz val="9"/>
            <color indexed="81"/>
            <rFont val="Tahoma"/>
            <family val="2"/>
          </rPr>
          <t xml:space="preserve">
may be 50000MWAC</t>
        </r>
      </text>
    </comment>
    <comment ref="F165" authorId="3">
      <text>
        <r>
          <rPr>
            <b/>
            <sz val="8"/>
            <color indexed="81"/>
            <rFont val="Tahoma"/>
            <family val="2"/>
          </rPr>
          <t>ccampbel:</t>
        </r>
        <r>
          <rPr>
            <sz val="8"/>
            <color indexed="81"/>
            <rFont val="Tahoma"/>
            <family val="2"/>
          </rPr>
          <t xml:space="preserve">
how much loaned by DOE
</t>
        </r>
      </text>
    </comment>
    <comment ref="B167" authorId="3">
      <text>
        <r>
          <rPr>
            <b/>
            <sz val="8"/>
            <color indexed="81"/>
            <rFont val="Tahoma"/>
            <family val="2"/>
          </rPr>
          <t>ccampbel:</t>
        </r>
        <r>
          <rPr>
            <sz val="8"/>
            <color indexed="81"/>
            <rFont val="Tahoma"/>
            <family val="2"/>
          </rPr>
          <t xml:space="preserve">
construction to begin in 2013
DOD says 440MW on 3288acres</t>
        </r>
      </text>
    </comment>
    <comment ref="D167" authorId="3">
      <text>
        <r>
          <rPr>
            <b/>
            <sz val="8"/>
            <color indexed="81"/>
            <rFont val="Tahoma"/>
            <family val="2"/>
          </rPr>
          <t>ccampbel:</t>
        </r>
        <r>
          <rPr>
            <sz val="8"/>
            <color indexed="81"/>
            <rFont val="Tahoma"/>
            <family val="2"/>
          </rPr>
          <t xml:space="preserve">
stated as both numbers, not specifying ac or dc
</t>
        </r>
      </text>
    </comment>
    <comment ref="B168" authorId="3">
      <text>
        <r>
          <rPr>
            <b/>
            <sz val="8"/>
            <color indexed="81"/>
            <rFont val="Tahoma"/>
            <family val="2"/>
          </rPr>
          <t>ccampbel:</t>
        </r>
        <r>
          <rPr>
            <sz val="8"/>
            <color indexed="81"/>
            <rFont val="Tahoma"/>
            <family val="2"/>
          </rPr>
          <t xml:space="preserve">
originally planned for 2 sites totalling 74.6MW, only the 14.4 MW on 90acres got approved.</t>
        </r>
      </text>
    </comment>
    <comment ref="AD169" authorId="4">
      <text>
        <r>
          <rPr>
            <b/>
            <sz val="9"/>
            <color indexed="81"/>
            <rFont val="Tahoma"/>
            <family val="2"/>
          </rPr>
          <t>Windows User:</t>
        </r>
        <r>
          <rPr>
            <sz val="9"/>
            <color indexed="81"/>
            <rFont val="Tahoma"/>
            <family val="2"/>
          </rPr>
          <t xml:space="preserve">
approved
</t>
        </r>
      </text>
    </comment>
    <comment ref="AD170" authorId="4">
      <text>
        <r>
          <rPr>
            <b/>
            <sz val="9"/>
            <color indexed="81"/>
            <rFont val="Tahoma"/>
            <family val="2"/>
          </rPr>
          <t>Windows User:</t>
        </r>
        <r>
          <rPr>
            <sz val="9"/>
            <color indexed="81"/>
            <rFont val="Tahoma"/>
            <family val="2"/>
          </rPr>
          <t xml:space="preserve">
construction to start in 2012
</t>
        </r>
      </text>
    </comment>
    <comment ref="B171" authorId="3">
      <text>
        <r>
          <rPr>
            <b/>
            <sz val="8"/>
            <color indexed="81"/>
            <rFont val="Tahoma"/>
            <family val="2"/>
          </rPr>
          <t>ccampbel:</t>
        </r>
        <r>
          <rPr>
            <sz val="8"/>
            <color indexed="81"/>
            <rFont val="Tahoma"/>
            <family val="2"/>
          </rPr>
          <t xml:space="preserve">
updated 2/2012  was 400MW, now 250MW</t>
        </r>
      </text>
    </comment>
    <comment ref="I171" authorId="3">
      <text>
        <r>
          <rPr>
            <b/>
            <sz val="8"/>
            <color indexed="81"/>
            <rFont val="Tahoma"/>
            <family val="2"/>
          </rPr>
          <t>ccampbel:</t>
        </r>
        <r>
          <rPr>
            <sz val="8"/>
            <color indexed="81"/>
            <rFont val="Tahoma"/>
            <family val="2"/>
          </rPr>
          <t xml:space="preserve">
was 7925 acres
now 2500
</t>
        </r>
      </text>
    </comment>
    <comment ref="L171" authorId="2">
      <text>
        <r>
          <rPr>
            <b/>
            <sz val="8"/>
            <color indexed="81"/>
            <rFont val="Tahoma"/>
            <family val="2"/>
          </rPr>
          <t>song:</t>
        </r>
        <r>
          <rPr>
            <sz val="8"/>
            <color indexed="81"/>
            <rFont val="Tahoma"/>
            <family val="2"/>
          </rPr>
          <t xml:space="preserve">
large because of drainage controls </t>
        </r>
      </text>
    </comment>
    <comment ref="B173" authorId="4">
      <text>
        <r>
          <rPr>
            <b/>
            <sz val="9"/>
            <color indexed="81"/>
            <rFont val="Tahoma"/>
            <family val="2"/>
          </rPr>
          <t>Windows User:</t>
        </r>
        <r>
          <rPr>
            <sz val="9"/>
            <color indexed="81"/>
            <rFont val="Tahoma"/>
            <family val="2"/>
          </rPr>
          <t xml:space="preserve">
largest farm under construction
</t>
        </r>
      </text>
    </comment>
    <comment ref="D173" authorId="4">
      <text>
        <r>
          <rPr>
            <b/>
            <sz val="9"/>
            <color indexed="81"/>
            <rFont val="Tahoma"/>
            <family val="2"/>
          </rPr>
          <t>Windows User:</t>
        </r>
        <r>
          <rPr>
            <sz val="9"/>
            <color indexed="81"/>
            <rFont val="Tahoma"/>
            <family val="2"/>
          </rPr>
          <t xml:space="preserve">
specified ac
</t>
        </r>
      </text>
    </comment>
    <comment ref="B180" authorId="3">
      <text>
        <r>
          <rPr>
            <b/>
            <sz val="8"/>
            <color indexed="81"/>
            <rFont val="Tahoma"/>
            <family val="2"/>
          </rPr>
          <t>ccampbel:</t>
        </r>
        <r>
          <rPr>
            <sz val="8"/>
            <color indexed="81"/>
            <rFont val="Tahoma"/>
            <family val="2"/>
          </rPr>
          <t xml:space="preserve">
land use approved by blm.gov.  First phase 175MW, second 100MW</t>
        </r>
      </text>
    </comment>
    <comment ref="D180" authorId="3">
      <text>
        <r>
          <rPr>
            <b/>
            <sz val="8"/>
            <color indexed="81"/>
            <rFont val="Tahoma"/>
            <family val="2"/>
          </rPr>
          <t>ccampbel:</t>
        </r>
        <r>
          <rPr>
            <sz val="8"/>
            <color indexed="81"/>
            <rFont val="Tahoma"/>
            <family val="2"/>
          </rPr>
          <t xml:space="preserve">
BLM documents</t>
        </r>
      </text>
    </comment>
    <comment ref="I180" authorId="3">
      <text>
        <r>
          <rPr>
            <b/>
            <sz val="8"/>
            <color indexed="81"/>
            <rFont val="Tahoma"/>
            <family val="2"/>
          </rPr>
          <t>ccampbel:</t>
        </r>
        <r>
          <rPr>
            <sz val="8"/>
            <color indexed="81"/>
            <rFont val="Tahoma"/>
            <family val="2"/>
          </rPr>
          <t xml:space="preserve">
was 1150 now 2067</t>
        </r>
      </text>
    </comment>
    <comment ref="N181" authorId="3">
      <text>
        <r>
          <rPr>
            <b/>
            <sz val="8"/>
            <color indexed="81"/>
            <rFont val="Tahoma"/>
            <family val="2"/>
          </rPr>
          <t>ccampbel:</t>
        </r>
        <r>
          <rPr>
            <sz val="8"/>
            <color indexed="81"/>
            <rFont val="Tahoma"/>
            <family val="2"/>
          </rPr>
          <t xml:space="preserve">
no images</t>
        </r>
      </text>
    </comment>
    <comment ref="B182" authorId="3">
      <text>
        <r>
          <rPr>
            <b/>
            <sz val="8"/>
            <color indexed="81"/>
            <rFont val="Tahoma"/>
            <family val="2"/>
          </rPr>
          <t>ccampbel:</t>
        </r>
        <r>
          <rPr>
            <sz val="8"/>
            <color indexed="81"/>
            <rFont val="Tahoma"/>
            <family val="2"/>
          </rPr>
          <t xml:space="preserve">
https://lpo.energy.gov/wp-content/uploads/2010/10/EA-1840_CVSR_Final_EA_08-20112.pdf</t>
        </r>
      </text>
    </comment>
    <comment ref="N182" authorId="3">
      <text>
        <r>
          <rPr>
            <b/>
            <sz val="8"/>
            <color indexed="81"/>
            <rFont val="Tahoma"/>
            <family val="2"/>
          </rPr>
          <t>ccampbel:</t>
        </r>
        <r>
          <rPr>
            <sz val="8"/>
            <color indexed="81"/>
            <rFont val="Tahoma"/>
            <family val="2"/>
          </rPr>
          <t xml:space="preserve">
no images</t>
        </r>
      </text>
    </comment>
    <comment ref="AD183" authorId="4">
      <text>
        <r>
          <rPr>
            <b/>
            <sz val="9"/>
            <color indexed="81"/>
            <rFont val="Tahoma"/>
            <family val="2"/>
          </rPr>
          <t>Windows User:</t>
        </r>
        <r>
          <rPr>
            <sz val="9"/>
            <color indexed="81"/>
            <rFont val="Tahoma"/>
            <family val="2"/>
          </rPr>
          <t xml:space="preserve">
Construction to start 2012</t>
        </r>
      </text>
    </comment>
    <comment ref="V184" authorId="4">
      <text>
        <r>
          <rPr>
            <b/>
            <sz val="9"/>
            <color indexed="81"/>
            <rFont val="Tahoma"/>
            <family val="2"/>
          </rPr>
          <t>Windows User:</t>
        </r>
        <r>
          <rPr>
            <sz val="9"/>
            <color indexed="81"/>
            <rFont val="Tahoma"/>
            <family val="2"/>
          </rPr>
          <t xml:space="preserve">
approximate location
</t>
        </r>
      </text>
    </comment>
    <comment ref="B189" authorId="3">
      <text>
        <r>
          <rPr>
            <b/>
            <sz val="8"/>
            <color indexed="81"/>
            <rFont val="Tahoma"/>
            <family val="2"/>
          </rPr>
          <t>ccampbel:</t>
        </r>
        <r>
          <rPr>
            <sz val="8"/>
            <color indexed="81"/>
            <rFont val="Tahoma"/>
            <family val="2"/>
          </rPr>
          <t xml:space="preserve">
Pending financing, since laws allowing passing cost to utility customers wasn't passed.</t>
        </r>
      </text>
    </comment>
    <comment ref="B190" authorId="3">
      <text>
        <r>
          <rPr>
            <b/>
            <sz val="8"/>
            <color indexed="81"/>
            <rFont val="Tahoma"/>
            <family val="2"/>
          </rPr>
          <t>ccampbel:</t>
        </r>
        <r>
          <rPr>
            <sz val="8"/>
            <color indexed="81"/>
            <rFont val="Tahoma"/>
            <family val="2"/>
          </rPr>
          <t xml:space="preserve">
No new information since it was announced. Still on SEIA projects- no name
</t>
        </r>
      </text>
    </comment>
    <comment ref="B191" authorId="3">
      <text>
        <r>
          <rPr>
            <b/>
            <sz val="8"/>
            <color indexed="81"/>
            <rFont val="Tahoma"/>
            <family val="2"/>
          </rPr>
          <t>ccampbel:</t>
        </r>
        <r>
          <rPr>
            <sz val="8"/>
            <color indexed="81"/>
            <rFont val="Tahoma"/>
            <family val="2"/>
          </rPr>
          <t xml:space="preserve">
this is what the final build size of Mesquite solar should be when all phases completed
</t>
        </r>
      </text>
    </comment>
    <comment ref="B194" authorId="4">
      <text>
        <r>
          <rPr>
            <b/>
            <sz val="9"/>
            <color indexed="81"/>
            <rFont val="Tahoma"/>
            <family val="2"/>
          </rPr>
          <t>Windows User:</t>
        </r>
        <r>
          <rPr>
            <sz val="9"/>
            <color indexed="81"/>
            <rFont val="Tahoma"/>
            <family val="2"/>
          </rPr>
          <t xml:space="preserve">
Possibly not one chunk in a single location.  A minimum of 20 farms
</t>
        </r>
      </text>
    </comment>
  </commentList>
</comments>
</file>

<file path=xl/comments4.xml><?xml version="1.0" encoding="utf-8"?>
<comments xmlns="http://schemas.openxmlformats.org/spreadsheetml/2006/main">
  <authors>
    <author>Windows User</author>
    <author>Author</author>
    <author>Clinton Campbell</author>
    <author>ccampbel</author>
    <author>Sean Ong</author>
    <author>song</author>
  </authors>
  <commentList>
    <comment ref="AA2" authorId="0">
      <text>
        <r>
          <rPr>
            <b/>
            <sz val="9"/>
            <color indexed="81"/>
            <rFont val="Tahoma"/>
            <family val="2"/>
          </rPr>
          <t>Windows User:</t>
        </r>
        <r>
          <rPr>
            <sz val="9"/>
            <color indexed="81"/>
            <rFont val="Tahoma"/>
            <family val="2"/>
          </rPr>
          <t xml:space="preserve">
power rating of solar field / power rating of turbine</t>
        </r>
      </text>
    </comment>
    <comment ref="C3" authorId="1">
      <text>
        <r>
          <rPr>
            <b/>
            <sz val="8"/>
            <color indexed="81"/>
            <rFont val="Tahoma"/>
            <family val="2"/>
          </rPr>
          <t>Author:</t>
        </r>
        <r>
          <rPr>
            <sz val="8"/>
            <color indexed="81"/>
            <rFont val="Tahoma"/>
            <family val="2"/>
          </rPr>
          <t xml:space="preserve">
1984 - 1990</t>
        </r>
      </text>
    </comment>
    <comment ref="AA3" authorId="2">
      <text>
        <r>
          <rPr>
            <b/>
            <sz val="9"/>
            <color indexed="81"/>
            <rFont val="Tahoma"/>
            <family val="2"/>
          </rPr>
          <t xml:space="preserve">Clinton Campbell:
http://www.nrel.gov/docs/fy10osti/47605.pdf
</t>
        </r>
        <r>
          <rPr>
            <sz val="9"/>
            <color indexed="81"/>
            <rFont val="Tahoma"/>
            <family val="2"/>
          </rPr>
          <t xml:space="preserve">
Without storage, the plant is designed to have a solar multiple of 1.25 (i.e. 25% larger than needed for full plant output at 1000 watts/m2). The purpose of this solar multiple is to provide more mirror area to account for radiation losses when the sun is at lower latitude and when radiation is less than design</t>
        </r>
      </text>
    </comment>
    <comment ref="D5" authorId="2">
      <text>
        <r>
          <rPr>
            <b/>
            <sz val="9"/>
            <color indexed="81"/>
            <rFont val="Tahoma"/>
            <family val="2"/>
          </rPr>
          <t>Clinton Campbell:</t>
        </r>
        <r>
          <rPr>
            <sz val="9"/>
            <color indexed="81"/>
            <rFont val="Tahoma"/>
            <family val="2"/>
          </rPr>
          <t xml:space="preserve">
10% of peak output of total system
</t>
        </r>
      </text>
    </comment>
    <comment ref="AS6" authorId="3">
      <text>
        <r>
          <rPr>
            <b/>
            <sz val="9"/>
            <color indexed="81"/>
            <rFont val="Tahoma"/>
            <charset val="1"/>
          </rPr>
          <t>ccampbel:</t>
        </r>
        <r>
          <rPr>
            <sz val="9"/>
            <color indexed="81"/>
            <rFont val="Tahoma"/>
            <charset val="1"/>
          </rPr>
          <t xml:space="preserve">
http://www.energy.ca.gov/2010publications/CEC-800-2010-011/CEC-800-2010-011-CMF.PDF</t>
        </r>
      </text>
    </comment>
    <comment ref="B7" authorId="4">
      <text>
        <r>
          <rPr>
            <b/>
            <sz val="9"/>
            <color indexed="81"/>
            <rFont val="Tahoma"/>
            <charset val="1"/>
          </rPr>
          <t>Sean Ong:</t>
        </r>
        <r>
          <rPr>
            <sz val="9"/>
            <color indexed="81"/>
            <rFont val="Tahoma"/>
            <charset val="1"/>
          </rPr>
          <t xml:space="preserve">
See the Environmental impact statement PDF page 39 or page 3-26</t>
        </r>
      </text>
    </comment>
    <comment ref="AA7" authorId="2">
      <text>
        <r>
          <rPr>
            <b/>
            <sz val="9"/>
            <color indexed="81"/>
            <rFont val="Tahoma"/>
            <family val="2"/>
          </rPr>
          <t>Clinton Campbell:</t>
        </r>
        <r>
          <rPr>
            <sz val="9"/>
            <color indexed="81"/>
            <rFont val="Tahoma"/>
            <family val="2"/>
          </rPr>
          <t xml:space="preserve">
http://www.nrel.gov/docs/fy10osti/47605.pdf page 9 
With six hours of storage, a solar multiple of 2.0 has been shown by NREL to minimize LCOE under typical conditions</t>
        </r>
      </text>
    </comment>
    <comment ref="AS7" authorId="3">
      <text>
        <r>
          <rPr>
            <b/>
            <sz val="9"/>
            <color indexed="81"/>
            <rFont val="Tahoma"/>
            <charset val="1"/>
          </rPr>
          <t>ccampbel:
944</t>
        </r>
        <r>
          <rPr>
            <sz val="9"/>
            <color indexed="81"/>
            <rFont val="Tahoma"/>
            <charset val="1"/>
          </rPr>
          <t xml:space="preserve">
https://lpo.energy.gov/?projects=abengoa-solar-inc</t>
        </r>
      </text>
    </comment>
    <comment ref="AA8" authorId="2">
      <text>
        <r>
          <rPr>
            <b/>
            <sz val="9"/>
            <color indexed="81"/>
            <rFont val="Tahoma"/>
            <family val="2"/>
          </rPr>
          <t>Clinton Campbell:</t>
        </r>
        <r>
          <rPr>
            <sz val="9"/>
            <color indexed="81"/>
            <rFont val="Tahoma"/>
            <family val="2"/>
          </rPr>
          <t xml:space="preserve">
probably in reality a little higher, like 1.45
</t>
        </r>
      </text>
    </comment>
    <comment ref="AS9" authorId="3">
      <text>
        <r>
          <rPr>
            <b/>
            <sz val="9"/>
            <color indexed="81"/>
            <rFont val="Tahoma"/>
            <charset val="1"/>
          </rPr>
          <t>ccampbel:</t>
        </r>
        <r>
          <rPr>
            <sz val="9"/>
            <color indexed="81"/>
            <rFont val="Tahoma"/>
            <charset val="1"/>
          </rPr>
          <t xml:space="preserve">
http://www.powermag.com/issues/cover_stories/Saguaro-Solar-Power-Plant-Red-Rock-Arizona_468_p2.html</t>
        </r>
      </text>
    </comment>
    <comment ref="B10" authorId="4">
      <text>
        <r>
          <rPr>
            <b/>
            <sz val="9"/>
            <color indexed="81"/>
            <rFont val="Tahoma"/>
            <charset val="1"/>
          </rPr>
          <t>Sean Ong:</t>
        </r>
        <r>
          <rPr>
            <sz val="9"/>
            <color indexed="81"/>
            <rFont val="Tahoma"/>
            <charset val="1"/>
          </rPr>
          <t xml:space="preserve">
See the very bottom of this sheet for the removed site</t>
        </r>
      </text>
    </comment>
    <comment ref="Z10" authorId="0">
      <text>
        <r>
          <rPr>
            <b/>
            <sz val="9"/>
            <color indexed="81"/>
            <rFont val="Tahoma"/>
            <family val="2"/>
          </rPr>
          <t>Windows User:</t>
        </r>
        <r>
          <rPr>
            <sz val="9"/>
            <color indexed="81"/>
            <rFont val="Tahoma"/>
            <family val="2"/>
          </rPr>
          <t xml:space="preserve">
This plant does not use storage, however one of the NREL reports said that APS was considering the possibility of adding 6 hours of storage, suggesting that the plant is designed to be able to handle 6 hours of storage
http://www.nrel.gov/csp/troughnet/pdfs/37077.pdf</t>
        </r>
      </text>
    </comment>
    <comment ref="AS10" authorId="3">
      <text>
        <r>
          <rPr>
            <b/>
            <sz val="9"/>
            <color indexed="81"/>
            <rFont val="Tahoma"/>
            <charset val="1"/>
          </rPr>
          <t>ccampbel:</t>
        </r>
        <r>
          <rPr>
            <sz val="9"/>
            <color indexed="81"/>
            <rFont val="Tahoma"/>
            <charset val="1"/>
          </rPr>
          <t xml:space="preserve">
http://www.powermag.com/issues/cover_stories/Saguaro-Solar-Power-Plant-Red-Rock-Arizona_468_p2.html</t>
        </r>
      </text>
    </comment>
    <comment ref="A11" authorId="2">
      <text>
        <r>
          <rPr>
            <b/>
            <sz val="9"/>
            <color indexed="81"/>
            <rFont val="Tahoma"/>
            <family val="2"/>
          </rPr>
          <t>Clinton Campbell:</t>
        </r>
        <r>
          <rPr>
            <sz val="9"/>
            <color indexed="81"/>
            <rFont val="Tahoma"/>
            <family val="2"/>
          </rPr>
          <t xml:space="preserve">
currently facing issues with kit foxes and ancient human settlement on proposed land</t>
        </r>
      </text>
    </comment>
    <comment ref="AS11" authorId="3">
      <text>
        <r>
          <rPr>
            <b/>
            <sz val="9"/>
            <color indexed="81"/>
            <rFont val="Tahoma"/>
            <charset val="1"/>
          </rPr>
          <t>ccampbel:</t>
        </r>
        <r>
          <rPr>
            <sz val="9"/>
            <color indexed="81"/>
            <rFont val="Tahoma"/>
            <charset val="1"/>
          </rPr>
          <t xml:space="preserve">
http://www.energy.ca.gov/2010publications/CEC-800-2010-011/CEC-800-2010-011-CMF.PDF</t>
        </r>
      </text>
    </comment>
    <comment ref="D12" authorId="2">
      <text>
        <r>
          <rPr>
            <b/>
            <sz val="9"/>
            <color indexed="81"/>
            <rFont val="Tahoma"/>
            <family val="2"/>
          </rPr>
          <t>Clinton Campbell:</t>
        </r>
        <r>
          <rPr>
            <sz val="9"/>
            <color indexed="81"/>
            <rFont val="Tahoma"/>
            <family val="2"/>
          </rPr>
          <t xml:space="preserve">
2.5MW ADDED IN 2010
</t>
        </r>
      </text>
    </comment>
    <comment ref="B13" authorId="2">
      <text>
        <r>
          <rPr>
            <b/>
            <sz val="9"/>
            <color indexed="81"/>
            <rFont val="Tahoma"/>
            <family val="2"/>
          </rPr>
          <t>Clinton Campbell:</t>
        </r>
        <r>
          <rPr>
            <sz val="9"/>
            <color indexed="81"/>
            <rFont val="Tahoma"/>
            <family val="2"/>
          </rPr>
          <t xml:space="preserve">
Currently bankrupt and auctioning off equiptment from site.
</t>
        </r>
      </text>
    </comment>
    <comment ref="I15" authorId="5">
      <text>
        <r>
          <rPr>
            <b/>
            <sz val="8"/>
            <color indexed="81"/>
            <rFont val="Tahoma"/>
            <family val="2"/>
          </rPr>
          <t>song:</t>
        </r>
        <r>
          <rPr>
            <sz val="8"/>
            <color indexed="81"/>
            <rFont val="Tahoma"/>
            <family val="2"/>
          </rPr>
          <t xml:space="preserve">
http://www.energy.ca.gov/sitingcases/ricesolar/documents/applicant/afc/Volume_1/RSEP_0%200_Executive_Summary.pdf
or PDF in source folder
page 4.</t>
        </r>
      </text>
    </comment>
    <comment ref="AS16" authorId="3">
      <text>
        <r>
          <rPr>
            <b/>
            <sz val="9"/>
            <color indexed="81"/>
            <rFont val="Tahoma"/>
            <charset val="1"/>
          </rPr>
          <t>ccampbel:</t>
        </r>
        <r>
          <rPr>
            <sz val="9"/>
            <color indexed="81"/>
            <rFont val="Tahoma"/>
            <charset val="1"/>
          </rPr>
          <t xml:space="preserve">
http://www.csp-world.com/news/20120807/00402/quartzsite-csp-project-be-expedited-obamas-we-cant-wait-initiative</t>
        </r>
      </text>
    </comment>
    <comment ref="AS17" authorId="3">
      <text>
        <r>
          <rPr>
            <b/>
            <sz val="9"/>
            <color indexed="81"/>
            <rFont val="Tahoma"/>
            <charset val="1"/>
          </rPr>
          <t>ccampbel:</t>
        </r>
        <r>
          <rPr>
            <sz val="9"/>
            <color indexed="81"/>
            <rFont val="Tahoma"/>
            <charset val="1"/>
          </rPr>
          <t xml:space="preserve">
http://crossroadssolar.com/project_overview.html
</t>
        </r>
      </text>
    </comment>
    <comment ref="D19" authorId="3">
      <text>
        <r>
          <rPr>
            <b/>
            <sz val="9"/>
            <color indexed="81"/>
            <rFont val="Tahoma"/>
            <charset val="1"/>
          </rPr>
          <t>ccampbel:</t>
        </r>
        <r>
          <rPr>
            <sz val="9"/>
            <color indexed="81"/>
            <rFont val="Tahoma"/>
            <charset val="1"/>
          </rPr>
          <t xml:space="preserve">
2 towers
</t>
        </r>
      </text>
    </comment>
    <comment ref="N19" authorId="2">
      <text>
        <r>
          <rPr>
            <b/>
            <sz val="9"/>
            <color indexed="81"/>
            <rFont val="Tahoma"/>
            <family val="2"/>
          </rPr>
          <t>Clinton Campbell:</t>
        </r>
        <r>
          <rPr>
            <sz val="9"/>
            <color indexed="81"/>
            <rFont val="Tahoma"/>
            <family val="2"/>
          </rPr>
          <t xml:space="preserve">
4300 radius heliostat structure*2+ 80000bldng+5000+5000+11000 = 116277096 sqft 
</t>
        </r>
      </text>
    </comment>
    <comment ref="AS19" authorId="3">
      <text>
        <r>
          <rPr>
            <b/>
            <sz val="9"/>
            <color indexed="81"/>
            <rFont val="Tahoma"/>
            <charset val="1"/>
          </rPr>
          <t>ccampbel:</t>
        </r>
        <r>
          <rPr>
            <sz val="9"/>
            <color indexed="81"/>
            <rFont val="Tahoma"/>
            <charset val="1"/>
          </rPr>
          <t xml:space="preserve">
900 or 1000
</t>
        </r>
      </text>
    </comment>
    <comment ref="D20" authorId="3">
      <text>
        <r>
          <rPr>
            <b/>
            <sz val="9"/>
            <color indexed="81"/>
            <rFont val="Tahoma"/>
            <charset val="1"/>
          </rPr>
          <t>ccampbel:</t>
        </r>
        <r>
          <rPr>
            <sz val="9"/>
            <color indexed="81"/>
            <rFont val="Tahoma"/>
            <charset val="1"/>
          </rPr>
          <t xml:space="preserve">
2 towers
</t>
        </r>
      </text>
    </comment>
    <comment ref="AS21" authorId="3">
      <text>
        <r>
          <rPr>
            <b/>
            <sz val="9"/>
            <color indexed="81"/>
            <rFont val="Tahoma"/>
            <charset val="1"/>
          </rPr>
          <t>ccampbel:</t>
        </r>
        <r>
          <rPr>
            <sz val="9"/>
            <color indexed="81"/>
            <rFont val="Tahoma"/>
            <charset val="1"/>
          </rPr>
          <t xml:space="preserve">
http://www.energy.ca.gov/sitingcases/hiddenhills/documents/applicant/2011-10-05_Letter_from_Applicant_Regarding_Air_Quality_TN-62518.pdf
716MWh Gross *.87</t>
        </r>
      </text>
    </comment>
    <comment ref="AS23" authorId="3">
      <text>
        <r>
          <rPr>
            <b/>
            <sz val="9"/>
            <color indexed="81"/>
            <rFont val="Tahoma"/>
            <charset val="1"/>
          </rPr>
          <t>ccampbel:</t>
        </r>
        <r>
          <rPr>
            <sz val="9"/>
            <color indexed="81"/>
            <rFont val="Tahoma"/>
            <charset val="1"/>
          </rPr>
          <t xml:space="preserve">
http://www.downstreamtoday.com/news/article.aspx?a_id=37681
</t>
        </r>
      </text>
    </comment>
    <comment ref="B26" authorId="2">
      <text>
        <r>
          <rPr>
            <b/>
            <sz val="9"/>
            <color indexed="81"/>
            <rFont val="Tahoma"/>
            <family val="2"/>
          </rPr>
          <t>Clinton Campbell:</t>
        </r>
        <r>
          <rPr>
            <sz val="9"/>
            <color indexed="81"/>
            <rFont val="Tahoma"/>
            <family val="2"/>
          </rPr>
          <t xml:space="preserve">
actually used as heat for oil refining and drilling.  13MWe, 29MWT
</t>
        </r>
      </text>
    </comment>
    <comment ref="I26" authorId="2">
      <text>
        <r>
          <rPr>
            <b/>
            <sz val="9"/>
            <color indexed="81"/>
            <rFont val="Tahoma"/>
            <family val="2"/>
          </rPr>
          <t>Clinton Campbell:</t>
        </r>
        <r>
          <rPr>
            <sz val="9"/>
            <color indexed="81"/>
            <rFont val="Tahoma"/>
            <family val="2"/>
          </rPr>
          <t xml:space="preserve">
Stated as 100 acres. Measured 86</t>
        </r>
      </text>
    </comment>
    <comment ref="D27" authorId="3">
      <text>
        <r>
          <rPr>
            <b/>
            <sz val="9"/>
            <color indexed="81"/>
            <rFont val="Tahoma"/>
            <charset val="1"/>
          </rPr>
          <t>ccampbel:</t>
        </r>
        <r>
          <rPr>
            <sz val="9"/>
            <color indexed="81"/>
            <rFont val="Tahoma"/>
            <charset val="1"/>
          </rPr>
          <t xml:space="preserve">
3 towers</t>
        </r>
      </text>
    </comment>
    <comment ref="AS27" authorId="3">
      <text>
        <r>
          <rPr>
            <b/>
            <sz val="9"/>
            <color indexed="81"/>
            <rFont val="Tahoma"/>
            <charset val="1"/>
          </rPr>
          <t>ccampbel:</t>
        </r>
        <r>
          <rPr>
            <sz val="9"/>
            <color indexed="81"/>
            <rFont val="Tahoma"/>
            <charset val="1"/>
          </rPr>
          <t xml:space="preserve">
http://www.ecc-conference.org/past-conferences/2012/BrightSource_ECC_Presentation_combined.pdf</t>
        </r>
      </text>
    </comment>
    <comment ref="B28" authorId="2">
      <text>
        <r>
          <rPr>
            <b/>
            <sz val="9"/>
            <color indexed="81"/>
            <rFont val="Tahoma"/>
            <family val="2"/>
          </rPr>
          <t>Clinton Campbell:</t>
        </r>
        <r>
          <rPr>
            <sz val="9"/>
            <color indexed="81"/>
            <rFont val="Tahoma"/>
            <family val="2"/>
          </rPr>
          <t xml:space="preserve">
what would happen if used to boost a coal plant</t>
        </r>
      </text>
    </comment>
    <comment ref="B32" authorId="2">
      <text>
        <r>
          <rPr>
            <b/>
            <sz val="9"/>
            <color indexed="81"/>
            <rFont val="Tahoma"/>
            <family val="2"/>
          </rPr>
          <t>Clinton Campbell:</t>
        </r>
        <r>
          <rPr>
            <sz val="9"/>
            <color indexed="81"/>
            <rFont val="Tahoma"/>
            <family val="2"/>
          </rPr>
          <t xml:space="preserve">
not on bright sources list of proposed projects.  Coyotes springs area under economic failure. No new news
</t>
        </r>
      </text>
    </comment>
    <comment ref="A34" authorId="0">
      <text>
        <r>
          <rPr>
            <b/>
            <sz val="9"/>
            <color indexed="81"/>
            <rFont val="Tahoma"/>
            <family val="2"/>
          </rPr>
          <t>Windows User:</t>
        </r>
        <r>
          <rPr>
            <sz val="9"/>
            <color indexed="81"/>
            <rFont val="Tahoma"/>
            <family val="2"/>
          </rPr>
          <t xml:space="preserve">
changing to PV system on 2000 acres, 300MW</t>
        </r>
      </text>
    </comment>
    <comment ref="A35" authorId="0">
      <text>
        <r>
          <rPr>
            <b/>
            <sz val="9"/>
            <color indexed="81"/>
            <rFont val="Tahoma"/>
            <family val="2"/>
          </rPr>
          <t>Windows User:</t>
        </r>
        <r>
          <rPr>
            <sz val="9"/>
            <color indexed="81"/>
            <rFont val="Tahoma"/>
            <family val="2"/>
          </rPr>
          <t xml:space="preserve">
switching to PV</t>
        </r>
      </text>
    </comment>
    <comment ref="AC35" authorId="0">
      <text>
        <r>
          <rPr>
            <b/>
            <sz val="9"/>
            <color indexed="81"/>
            <rFont val="Tahoma"/>
            <family val="2"/>
          </rPr>
          <t>Windows User:</t>
        </r>
        <r>
          <rPr>
            <sz val="9"/>
            <color indexed="81"/>
            <rFont val="Tahoma"/>
            <family val="2"/>
          </rPr>
          <t xml:space="preserve">
GTM daily mid-end of august 2010
http://www.greentechmedia.com/articles/read/nexteras-250-mw-beacon-csp-project-clears-california-energy-commission-hurd</t>
        </r>
      </text>
    </comment>
    <comment ref="A36" authorId="0">
      <text>
        <r>
          <rPr>
            <b/>
            <sz val="9"/>
            <color indexed="81"/>
            <rFont val="Tahoma"/>
            <family val="2"/>
          </rPr>
          <t>Windows User:</t>
        </r>
        <r>
          <rPr>
            <sz val="9"/>
            <color indexed="81"/>
            <rFont val="Tahoma"/>
            <family val="2"/>
          </rPr>
          <t xml:space="preserve">
Backruptcy
all millennium projects
</t>
        </r>
      </text>
    </comment>
    <comment ref="I38" authorId="5">
      <text>
        <r>
          <rPr>
            <b/>
            <sz val="8"/>
            <color indexed="81"/>
            <rFont val="Tahoma"/>
            <family val="2"/>
          </rPr>
          <t>song:</t>
        </r>
        <r>
          <rPr>
            <sz val="8"/>
            <color indexed="81"/>
            <rFont val="Tahoma"/>
            <family val="2"/>
          </rPr>
          <t xml:space="preserve">
"The footprint of the proposed
project is 5,950 acres, while the total disturbance area, including linear facilities and
drainage channels, is 7,043 acres"
"The proposed BSPP plant would consist of four fields of trough-type solar collectors,
with a power block in each field. Each field would produce a nominal 250 megawatts
(MW) of solar thermal-generated electricity, for a plant total of 1,000 MW."
The physical area number was obtained on the NREL website, this number in this cell was obtained by dividing 7043 by 4 (4 250MW parcels).</t>
        </r>
      </text>
    </comment>
    <comment ref="B40" authorId="2">
      <text>
        <r>
          <rPr>
            <b/>
            <sz val="9"/>
            <color indexed="81"/>
            <rFont val="Tahoma"/>
            <family val="2"/>
          </rPr>
          <t>Clinton Campbell:</t>
        </r>
        <r>
          <rPr>
            <sz val="9"/>
            <color indexed="81"/>
            <rFont val="Tahoma"/>
            <family val="2"/>
          </rPr>
          <t xml:space="preserve">
switching to PV
PPA's are being dropped.  May not get off ground?</t>
        </r>
      </text>
    </comment>
    <comment ref="B41" authorId="2">
      <text>
        <r>
          <rPr>
            <b/>
            <sz val="9"/>
            <color indexed="81"/>
            <rFont val="Tahoma"/>
            <family val="2"/>
          </rPr>
          <t>Clinton Campbell:</t>
        </r>
        <r>
          <rPr>
            <sz val="9"/>
            <color indexed="81"/>
            <rFont val="Tahoma"/>
            <family val="2"/>
          </rPr>
          <t xml:space="preserve">
some sites say canceled, other say that environmentalist are suing to stop project.  Others say just switching to mostly PV.
</t>
        </r>
      </text>
    </comment>
    <comment ref="B174" authorId="4">
      <text>
        <r>
          <rPr>
            <b/>
            <sz val="9"/>
            <color indexed="81"/>
            <rFont val="Tahoma"/>
            <charset val="1"/>
          </rPr>
          <t>Sean Ong:</t>
        </r>
        <r>
          <rPr>
            <sz val="9"/>
            <color indexed="81"/>
            <rFont val="Tahoma"/>
            <charset val="1"/>
          </rPr>
          <t xml:space="preserve">
removed because it was determined by the CSP group that we should only include sites greater than 1MW</t>
        </r>
      </text>
    </comment>
    <comment ref="Z174" authorId="0">
      <text>
        <r>
          <rPr>
            <b/>
            <sz val="9"/>
            <color indexed="81"/>
            <rFont val="Tahoma"/>
            <family val="2"/>
          </rPr>
          <t>Windows User:</t>
        </r>
        <r>
          <rPr>
            <sz val="9"/>
            <color indexed="81"/>
            <rFont val="Tahoma"/>
            <family val="2"/>
          </rPr>
          <t xml:space="preserve">
This plant does not use storage, however one of the NREL reports said that APS was considering the possibility of adding 6 hours of storage, suggesting that the plant is designed to be able to handle 6 hours of storage
http://www.nrel.gov/csp/troughnet/pdfs/37077.pdf</t>
        </r>
      </text>
    </comment>
    <comment ref="AS174" authorId="3">
      <text>
        <r>
          <rPr>
            <b/>
            <sz val="9"/>
            <color indexed="81"/>
            <rFont val="Tahoma"/>
            <charset val="1"/>
          </rPr>
          <t>ccampbel:</t>
        </r>
        <r>
          <rPr>
            <sz val="9"/>
            <color indexed="81"/>
            <rFont val="Tahoma"/>
            <charset val="1"/>
          </rPr>
          <t xml:space="preserve">
http://www.powermag.com/issues/cover_stories/Saguaro-Solar-Power-Plant-Red-Rock-Arizona_468_p2.html</t>
        </r>
      </text>
    </comment>
  </commentList>
</comments>
</file>

<file path=xl/comments5.xml><?xml version="1.0" encoding="utf-8"?>
<comments xmlns="http://schemas.openxmlformats.org/spreadsheetml/2006/main">
  <authors>
    <author>Clinton Campbell</author>
    <author>ccampbel</author>
  </authors>
  <commentList>
    <comment ref="K197" authorId="0">
      <text>
        <r>
          <rPr>
            <b/>
            <sz val="9"/>
            <color indexed="81"/>
            <rFont val="Tahoma"/>
            <family val="2"/>
          </rPr>
          <t>Clinton Campbell:</t>
        </r>
        <r>
          <rPr>
            <sz val="9"/>
            <color indexed="81"/>
            <rFont val="Tahoma"/>
            <family val="2"/>
          </rPr>
          <t xml:space="preserve">
Currently bankrupt and auctioning off equiptment from site.
</t>
        </r>
      </text>
    </comment>
    <comment ref="J202" authorId="0">
      <text>
        <r>
          <rPr>
            <b/>
            <sz val="9"/>
            <color indexed="81"/>
            <rFont val="Tahoma"/>
            <family val="2"/>
          </rPr>
          <t>Clinton Campbell:</t>
        </r>
        <r>
          <rPr>
            <sz val="9"/>
            <color indexed="81"/>
            <rFont val="Tahoma"/>
            <family val="2"/>
          </rPr>
          <t xml:space="preserve">
2.5MW ADDED IN 2010
</t>
        </r>
      </text>
    </comment>
    <comment ref="J206" authorId="0">
      <text>
        <r>
          <rPr>
            <b/>
            <sz val="9"/>
            <color indexed="81"/>
            <rFont val="Tahoma"/>
            <family val="2"/>
          </rPr>
          <t>Clinton Campbell:</t>
        </r>
        <r>
          <rPr>
            <sz val="9"/>
            <color indexed="81"/>
            <rFont val="Tahoma"/>
            <family val="2"/>
          </rPr>
          <t xml:space="preserve">
10% of peak output of total system
</t>
        </r>
      </text>
    </comment>
    <comment ref="J213" authorId="1">
      <text>
        <r>
          <rPr>
            <b/>
            <sz val="9"/>
            <color indexed="81"/>
            <rFont val="Tahoma"/>
            <charset val="1"/>
          </rPr>
          <t>ccampbel:</t>
        </r>
        <r>
          <rPr>
            <sz val="9"/>
            <color indexed="81"/>
            <rFont val="Tahoma"/>
            <charset val="1"/>
          </rPr>
          <t xml:space="preserve">
2 towers
</t>
        </r>
      </text>
    </comment>
    <comment ref="J214" authorId="1">
      <text>
        <r>
          <rPr>
            <b/>
            <sz val="9"/>
            <color indexed="81"/>
            <rFont val="Tahoma"/>
            <charset val="1"/>
          </rPr>
          <t>ccampbel:</t>
        </r>
        <r>
          <rPr>
            <sz val="9"/>
            <color indexed="81"/>
            <rFont val="Tahoma"/>
            <charset val="1"/>
          </rPr>
          <t xml:space="preserve">
2 towers
</t>
        </r>
      </text>
    </comment>
    <comment ref="K216" authorId="0">
      <text>
        <r>
          <rPr>
            <b/>
            <sz val="9"/>
            <color indexed="81"/>
            <rFont val="Tahoma"/>
            <family val="2"/>
          </rPr>
          <t>Clinton Campbell:</t>
        </r>
        <r>
          <rPr>
            <sz val="9"/>
            <color indexed="81"/>
            <rFont val="Tahoma"/>
            <family val="2"/>
          </rPr>
          <t xml:space="preserve">
actually used as heat for oil refining and drilling.  13MWe, 29MWT
</t>
        </r>
      </text>
    </comment>
    <comment ref="J220" authorId="1">
      <text>
        <r>
          <rPr>
            <b/>
            <sz val="9"/>
            <color indexed="81"/>
            <rFont val="Tahoma"/>
            <charset val="1"/>
          </rPr>
          <t>ccampbel:</t>
        </r>
        <r>
          <rPr>
            <sz val="9"/>
            <color indexed="81"/>
            <rFont val="Tahoma"/>
            <charset val="1"/>
          </rPr>
          <t xml:space="preserve">
3 towers</t>
        </r>
      </text>
    </comment>
  </commentList>
</comments>
</file>

<file path=xl/comments6.xml><?xml version="1.0" encoding="utf-8"?>
<comments xmlns="http://schemas.openxmlformats.org/spreadsheetml/2006/main">
  <authors>
    <author>song</author>
  </authors>
  <commentList>
    <comment ref="W102" authorId="0">
      <text>
        <r>
          <rPr>
            <b/>
            <sz val="8"/>
            <color indexed="81"/>
            <rFont val="Tahoma"/>
            <family val="2"/>
          </rPr>
          <t>song:</t>
        </r>
        <r>
          <rPr>
            <sz val="8"/>
            <color indexed="81"/>
            <rFont val="Tahoma"/>
            <family val="2"/>
          </rPr>
          <t xml:space="preserve">
latitude tilt</t>
        </r>
      </text>
    </comment>
    <comment ref="X102" authorId="0">
      <text>
        <r>
          <rPr>
            <b/>
            <sz val="8"/>
            <color indexed="81"/>
            <rFont val="Tahoma"/>
            <family val="2"/>
          </rPr>
          <t>song:</t>
        </r>
        <r>
          <rPr>
            <sz val="8"/>
            <color indexed="81"/>
            <rFont val="Tahoma"/>
            <family val="2"/>
          </rPr>
          <t xml:space="preserve">
zero degrees tilt, east to west daily tracking</t>
        </r>
      </text>
    </comment>
    <comment ref="AK102" authorId="0">
      <text>
        <r>
          <rPr>
            <b/>
            <sz val="8"/>
            <color indexed="81"/>
            <rFont val="Tahoma"/>
            <family val="2"/>
          </rPr>
          <t>song:</t>
        </r>
        <r>
          <rPr>
            <sz val="8"/>
            <color indexed="81"/>
            <rFont val="Tahoma"/>
            <family val="2"/>
          </rPr>
          <t xml:space="preserve">
latitude tilt</t>
        </r>
      </text>
    </comment>
    <comment ref="AL102" authorId="0">
      <text>
        <r>
          <rPr>
            <b/>
            <sz val="8"/>
            <color indexed="81"/>
            <rFont val="Tahoma"/>
            <family val="2"/>
          </rPr>
          <t>song:</t>
        </r>
        <r>
          <rPr>
            <sz val="8"/>
            <color indexed="81"/>
            <rFont val="Tahoma"/>
            <family val="2"/>
          </rPr>
          <t xml:space="preserve">
zero degrees tilt, east to west daily tracking</t>
        </r>
      </text>
    </comment>
  </commentList>
</comments>
</file>

<file path=xl/comments7.xml><?xml version="1.0" encoding="utf-8"?>
<comments xmlns="http://schemas.openxmlformats.org/spreadsheetml/2006/main">
  <authors>
    <author>ccampbel</author>
    <author>Windows User</author>
    <author>Sean Ong</author>
  </authors>
  <commentList>
    <comment ref="B6" authorId="0">
      <text>
        <r>
          <rPr>
            <b/>
            <sz val="8"/>
            <color indexed="81"/>
            <rFont val="Tahoma"/>
            <family val="2"/>
          </rPr>
          <t>ccampbel:</t>
        </r>
        <r>
          <rPr>
            <sz val="8"/>
            <color indexed="81"/>
            <rFont val="Tahoma"/>
            <family val="2"/>
          </rPr>
          <t xml:space="preserve">
3918KWdc, 3500KWac,Some of this is on buildings and at other sites.
</t>
        </r>
      </text>
    </comment>
    <comment ref="A16" authorId="0">
      <text>
        <r>
          <rPr>
            <b/>
            <sz val="8"/>
            <color indexed="81"/>
            <rFont val="Tahoma"/>
            <family val="2"/>
          </rPr>
          <t>ccampbel:</t>
        </r>
        <r>
          <rPr>
            <sz val="8"/>
            <color indexed="81"/>
            <rFont val="Tahoma"/>
            <family val="2"/>
          </rPr>
          <t xml:space="preserve">
assuming the 1MW label is ac, since calculated capacity is 1.16MW
</t>
        </r>
      </text>
    </comment>
    <comment ref="B16" authorId="0">
      <text>
        <r>
          <rPr>
            <b/>
            <sz val="8"/>
            <color indexed="81"/>
            <rFont val="Tahoma"/>
            <family val="2"/>
          </rPr>
          <t>ccampbel:</t>
        </r>
        <r>
          <rPr>
            <sz val="8"/>
            <color indexed="81"/>
            <rFont val="Tahoma"/>
            <family val="2"/>
          </rPr>
          <t xml:space="preserve">
225w*5152 panels
</t>
        </r>
      </text>
    </comment>
    <comment ref="A20" authorId="0">
      <text>
        <r>
          <rPr>
            <b/>
            <sz val="8"/>
            <color indexed="81"/>
            <rFont val="Tahoma"/>
            <family val="2"/>
          </rPr>
          <t>ccampbel:</t>
        </r>
        <r>
          <rPr>
            <sz val="8"/>
            <color indexed="81"/>
            <rFont val="Tahoma"/>
            <family val="2"/>
          </rPr>
          <t xml:space="preserve">
most sites claim 2 MW, but factsheets say 2.6MW Dc</t>
        </r>
      </text>
    </comment>
    <comment ref="A21" authorId="0">
      <text>
        <r>
          <rPr>
            <b/>
            <sz val="8"/>
            <color indexed="81"/>
            <rFont val="Tahoma"/>
            <family val="2"/>
          </rPr>
          <t>ccampbel:</t>
        </r>
        <r>
          <rPr>
            <sz val="8"/>
            <color indexed="81"/>
            <rFont val="Tahoma"/>
            <family val="2"/>
          </rPr>
          <t xml:space="preserve">
SMA 250U inverter 97% average efficiency</t>
        </r>
      </text>
    </comment>
    <comment ref="A26" authorId="1">
      <text>
        <r>
          <rPr>
            <b/>
            <sz val="9"/>
            <color indexed="81"/>
            <rFont val="Tahoma"/>
            <family val="2"/>
          </rPr>
          <t>Windows User:</t>
        </r>
        <r>
          <rPr>
            <sz val="9"/>
            <color indexed="81"/>
            <rFont val="Tahoma"/>
            <family val="2"/>
          </rPr>
          <t xml:space="preserve">
400 is actually fixed axis</t>
        </r>
      </text>
    </comment>
    <comment ref="B27" authorId="1">
      <text>
        <r>
          <rPr>
            <b/>
            <sz val="9"/>
            <color indexed="81"/>
            <rFont val="Tahoma"/>
            <family val="2"/>
          </rPr>
          <t>Windows User:</t>
        </r>
        <r>
          <rPr>
            <sz val="9"/>
            <color indexed="81"/>
            <rFont val="Tahoma"/>
            <family val="2"/>
          </rPr>
          <t xml:space="preserve">
http://www.weitz.com/project/aps-prescott/
specified 11.75MW, not 10MW</t>
        </r>
      </text>
    </comment>
    <comment ref="A30" authorId="0">
      <text>
        <r>
          <rPr>
            <b/>
            <sz val="8"/>
            <color indexed="81"/>
            <rFont val="Tahoma"/>
            <family val="2"/>
          </rPr>
          <t>ccampbel:</t>
        </r>
        <r>
          <rPr>
            <sz val="8"/>
            <color indexed="81"/>
            <rFont val="Tahoma"/>
            <family val="2"/>
          </rPr>
          <t xml:space="preserve">
http://www.pseg.com/family/holdings/global/solar_source/jacksonville/pdf/fact_sheet.pdf</t>
        </r>
      </text>
    </comment>
    <comment ref="B33" authorId="1">
      <text>
        <r>
          <rPr>
            <b/>
            <sz val="9"/>
            <color indexed="81"/>
            <rFont val="Tahoma"/>
            <family val="2"/>
          </rPr>
          <t>Windows User:</t>
        </r>
        <r>
          <rPr>
            <sz val="9"/>
            <color indexed="81"/>
            <rFont val="Tahoma"/>
            <family val="2"/>
          </rPr>
          <t xml:space="preserve">
specified dc
</t>
        </r>
      </text>
    </comment>
    <comment ref="B35" authorId="0">
      <text>
        <r>
          <rPr>
            <b/>
            <sz val="8"/>
            <color indexed="81"/>
            <rFont val="Tahoma"/>
            <family val="2"/>
          </rPr>
          <t>ccampbel:</t>
        </r>
        <r>
          <rPr>
            <sz val="8"/>
            <color indexed="81"/>
            <rFont val="Tahoma"/>
            <family val="2"/>
          </rPr>
          <t xml:space="preserve">
was 21500DC 18000AC
now 17200DC 15500AC</t>
        </r>
      </text>
    </comment>
    <comment ref="B42" authorId="2">
      <text>
        <r>
          <rPr>
            <b/>
            <sz val="8"/>
            <color indexed="81"/>
            <rFont val="Tahoma"/>
            <family val="2"/>
          </rPr>
          <t>Sean Ong:</t>
        </r>
        <r>
          <rPr>
            <sz val="8"/>
            <color indexed="81"/>
            <rFont val="Tahoma"/>
            <family val="2"/>
          </rPr>
          <t xml:space="preserve">
one of the links calimed that each array was 1MW AC or 1.2MW DC (21 arrays). See links txt file for more info.</t>
        </r>
      </text>
    </comment>
    <comment ref="A44" authorId="0">
      <text>
        <r>
          <rPr>
            <b/>
            <sz val="8"/>
            <color indexed="81"/>
            <rFont val="Tahoma"/>
            <family val="2"/>
          </rPr>
          <t>ccampbel:</t>
        </r>
        <r>
          <rPr>
            <sz val="8"/>
            <color indexed="81"/>
            <rFont val="Tahoma"/>
            <family val="2"/>
          </rPr>
          <t xml:space="preserve">
25MW ac pg 6.
http://seia.org/galleries/default-file/2009%20Solar%20Industry%20Year%20in%20Review.pdf</t>
        </r>
      </text>
    </comment>
    <comment ref="B48" authorId="2">
      <text>
        <r>
          <rPr>
            <b/>
            <sz val="8"/>
            <color indexed="81"/>
            <rFont val="Tahoma"/>
            <family val="2"/>
          </rPr>
          <t>Sean Ong:</t>
        </r>
        <r>
          <rPr>
            <sz val="8"/>
            <color indexed="81"/>
            <rFont val="Tahoma"/>
            <family val="2"/>
          </rPr>
          <t xml:space="preserve">
based on el dorado's scale factor of 1.2 and also FSE blythe had the same scale factor</t>
        </r>
      </text>
    </comment>
    <comment ref="B51" authorId="0">
      <text>
        <r>
          <rPr>
            <b/>
            <sz val="8"/>
            <color indexed="81"/>
            <rFont val="Tahoma"/>
            <family val="2"/>
          </rPr>
          <t>ccampbel:</t>
        </r>
        <r>
          <rPr>
            <sz val="8"/>
            <color indexed="81"/>
            <rFont val="Tahoma"/>
            <family val="2"/>
          </rPr>
          <t xml:space="preserve">
assuming the 75W modules used</t>
        </r>
      </text>
    </comment>
    <comment ref="A52" authorId="0">
      <text>
        <r>
          <rPr>
            <b/>
            <sz val="8"/>
            <color indexed="81"/>
            <rFont val="Tahoma"/>
            <family val="2"/>
          </rPr>
          <t>ccampbel:</t>
        </r>
        <r>
          <rPr>
            <sz val="8"/>
            <color indexed="81"/>
            <rFont val="Tahoma"/>
            <family val="2"/>
          </rPr>
          <t xml:space="preserve">
stated as both numbers, not specifying ac or dc
</t>
        </r>
      </text>
    </comment>
  </commentList>
</comments>
</file>

<file path=xl/comments8.xml><?xml version="1.0" encoding="utf-8"?>
<comments xmlns="http://schemas.openxmlformats.org/spreadsheetml/2006/main">
  <authors>
    <author>Author</author>
    <author>Sean Ong</author>
    <author>song</author>
    <author>Windows User</author>
    <author>ccampbel</author>
  </authors>
  <commentList>
    <comment ref="D1" authorId="0">
      <text>
        <r>
          <rPr>
            <b/>
            <sz val="8"/>
            <color indexed="81"/>
            <rFont val="Tahoma"/>
            <family val="2"/>
          </rPr>
          <t>Author:</t>
        </r>
        <r>
          <rPr>
            <sz val="8"/>
            <color indexed="81"/>
            <rFont val="Tahoma"/>
            <family val="2"/>
          </rPr>
          <t xml:space="preserve">
Green highlight means that original AC data was included. White means that AC data was based on the weighted average of all other PV farms that had AC data</t>
        </r>
      </text>
    </comment>
    <comment ref="S1" authorId="1">
      <text>
        <r>
          <rPr>
            <b/>
            <sz val="8"/>
            <color indexed="81"/>
            <rFont val="Tahoma"/>
            <family val="2"/>
          </rPr>
          <t>Sean Ong:</t>
        </r>
        <r>
          <rPr>
            <sz val="8"/>
            <color indexed="81"/>
            <rFont val="Tahoma"/>
            <family val="2"/>
          </rPr>
          <t xml:space="preserve">
Not all the calculations are of the same form. Some of them are based on measured values in visio while others are based on values given in the CAD drawings where available. Moreover, the cad drawings may be a variation of "post to post" vs "last edge to first edge." but all the final values given is the described in this cell's title.</t>
        </r>
      </text>
    </comment>
    <comment ref="T1" authorId="2">
      <text>
        <r>
          <rPr>
            <b/>
            <sz val="8"/>
            <color indexed="81"/>
            <rFont val="Tahoma"/>
            <family val="2"/>
          </rPr>
          <t>song:</t>
        </r>
        <r>
          <rPr>
            <sz val="8"/>
            <color indexed="81"/>
            <rFont val="Tahoma"/>
            <family val="2"/>
          </rPr>
          <t xml:space="preserve">
Land use and electricity generation: A life-cycle analysis
Vasilis Fthenakis a,b,*, Hyung Chul Kim b
see the above paper for packing factor definition, or just look at the formula in each cell</t>
        </r>
      </text>
    </comment>
    <comment ref="Z1" authorId="1">
      <text>
        <r>
          <rPr>
            <b/>
            <sz val="8"/>
            <color indexed="81"/>
            <rFont val="Tahoma"/>
            <family val="2"/>
          </rPr>
          <t>Sean Ong:</t>
        </r>
        <r>
          <rPr>
            <sz val="8"/>
            <color indexed="81"/>
            <rFont val="Tahoma"/>
            <family val="2"/>
          </rPr>
          <t xml:space="preserve">
Shape for total area
R = Rectangular
P = Polygon
I = Irregular</t>
        </r>
      </text>
    </comment>
    <comment ref="B4" authorId="3">
      <text>
        <r>
          <rPr>
            <b/>
            <sz val="9"/>
            <color indexed="81"/>
            <rFont val="Tahoma"/>
            <family val="2"/>
          </rPr>
          <t>Windows User:</t>
        </r>
        <r>
          <rPr>
            <sz val="9"/>
            <color indexed="81"/>
            <rFont val="Tahoma"/>
            <family val="2"/>
          </rPr>
          <t xml:space="preserve">
Not sure what status is currently</t>
        </r>
      </text>
    </comment>
    <comment ref="N4" authorId="3">
      <text>
        <r>
          <rPr>
            <b/>
            <sz val="9"/>
            <color indexed="81"/>
            <rFont val="Tahoma"/>
            <family val="2"/>
          </rPr>
          <t>Windows User:</t>
        </r>
        <r>
          <rPr>
            <sz val="9"/>
            <color indexed="81"/>
            <rFont val="Tahoma"/>
            <family val="2"/>
          </rPr>
          <t xml:space="preserve">
specified in application 
update when images available</t>
        </r>
      </text>
    </comment>
    <comment ref="B5" authorId="3">
      <text>
        <r>
          <rPr>
            <b/>
            <sz val="9"/>
            <color indexed="81"/>
            <rFont val="Tahoma"/>
            <family val="2"/>
          </rPr>
          <t>Windows User:</t>
        </r>
        <r>
          <rPr>
            <sz val="9"/>
            <color indexed="81"/>
            <rFont val="Tahoma"/>
            <family val="2"/>
          </rPr>
          <t xml:space="preserve">
antelope vally solar project? Same as previosly researched?
</t>
        </r>
      </text>
    </comment>
    <comment ref="B8" authorId="3">
      <text>
        <r>
          <rPr>
            <b/>
            <sz val="9"/>
            <color indexed="81"/>
            <rFont val="Tahoma"/>
            <family val="2"/>
          </rPr>
          <t>Windows User:</t>
        </r>
        <r>
          <rPr>
            <sz val="9"/>
            <color indexed="81"/>
            <rFont val="Tahoma"/>
            <family val="2"/>
          </rPr>
          <t xml:space="preserve">
not much data on 2 sites near fresno. Compiled into one entry</t>
        </r>
      </text>
    </comment>
    <comment ref="B9" authorId="3">
      <text>
        <r>
          <rPr>
            <b/>
            <sz val="9"/>
            <color indexed="81"/>
            <rFont val="Tahoma"/>
            <family val="2"/>
          </rPr>
          <t>Windows User:</t>
        </r>
        <r>
          <rPr>
            <sz val="9"/>
            <color indexed="81"/>
            <rFont val="Tahoma"/>
            <family val="2"/>
          </rPr>
          <t xml:space="preserve">
3 separate sites totaling 3.4MW
</t>
        </r>
      </text>
    </comment>
    <comment ref="E10" authorId="4">
      <text>
        <r>
          <rPr>
            <b/>
            <sz val="8"/>
            <color indexed="81"/>
            <rFont val="Tahoma"/>
            <family val="2"/>
          </rPr>
          <t>ccampbel:</t>
        </r>
        <r>
          <rPr>
            <sz val="8"/>
            <color indexed="81"/>
            <rFont val="Tahoma"/>
            <family val="2"/>
          </rPr>
          <t xml:space="preserve">
specified DC
</t>
        </r>
      </text>
    </comment>
  </commentList>
</comments>
</file>

<file path=xl/comments9.xml><?xml version="1.0" encoding="utf-8"?>
<comments xmlns="http://schemas.openxmlformats.org/spreadsheetml/2006/main">
  <authors>
    <author>Author</author>
    <author>Sean Ong</author>
    <author>song</author>
    <author>ccampbel</author>
    <author>Clinton Campbell</author>
    <author>Windows User</author>
  </authors>
  <commentList>
    <comment ref="E2" authorId="0">
      <text>
        <r>
          <rPr>
            <b/>
            <sz val="8"/>
            <color indexed="81"/>
            <rFont val="Tahoma"/>
            <family val="2"/>
          </rPr>
          <t>Author:</t>
        </r>
        <r>
          <rPr>
            <sz val="8"/>
            <color indexed="81"/>
            <rFont val="Tahoma"/>
            <family val="2"/>
          </rPr>
          <t xml:space="preserve">
Green highlight means that original AC data was included. White means that AC data was based on the weighted average of all other PV farms that had AC data</t>
        </r>
      </text>
    </comment>
    <comment ref="T2" authorId="1">
      <text>
        <r>
          <rPr>
            <b/>
            <sz val="8"/>
            <color indexed="81"/>
            <rFont val="Tahoma"/>
            <family val="2"/>
          </rPr>
          <t>Sean Ong:</t>
        </r>
        <r>
          <rPr>
            <sz val="8"/>
            <color indexed="81"/>
            <rFont val="Tahoma"/>
            <family val="2"/>
          </rPr>
          <t xml:space="preserve">
Not all the calculations are of the same form. Some of them are based on measured values in visio while others are based on values given in the CAD drawings where available. Moreover, the cad drawings may be a variation of "post to post" vs "last edge to first edge." but all the final values given is the described in this cell's title.</t>
        </r>
      </text>
    </comment>
    <comment ref="U2" authorId="2">
      <text>
        <r>
          <rPr>
            <b/>
            <sz val="8"/>
            <color indexed="81"/>
            <rFont val="Tahoma"/>
            <family val="2"/>
          </rPr>
          <t>song:</t>
        </r>
        <r>
          <rPr>
            <sz val="8"/>
            <color indexed="81"/>
            <rFont val="Tahoma"/>
            <family val="2"/>
          </rPr>
          <t xml:space="preserve">
Land use and electricity generation: A life-cycle analysis
Vasilis Fthenakis a,b,*, Hyung Chul Kim b
see the above paper for packing factor definition, or just look at the formula in each cell</t>
        </r>
      </text>
    </comment>
    <comment ref="AA2" authorId="1">
      <text>
        <r>
          <rPr>
            <b/>
            <sz val="8"/>
            <color indexed="81"/>
            <rFont val="Tahoma"/>
            <family val="2"/>
          </rPr>
          <t>Sean Ong:</t>
        </r>
        <r>
          <rPr>
            <sz val="8"/>
            <color indexed="81"/>
            <rFont val="Tahoma"/>
            <family val="2"/>
          </rPr>
          <t xml:space="preserve">
Shape for total area
R = Rectangular
P = Polygon
I = Irregular</t>
        </r>
      </text>
    </comment>
    <comment ref="F8" authorId="3">
      <text>
        <r>
          <rPr>
            <b/>
            <sz val="8"/>
            <color indexed="81"/>
            <rFont val="Tahoma"/>
            <family val="2"/>
          </rPr>
          <t>ccampbel:</t>
        </r>
        <r>
          <rPr>
            <sz val="8"/>
            <color indexed="81"/>
            <rFont val="Tahoma"/>
            <family val="2"/>
          </rPr>
          <t xml:space="preserve">
only see data for 1000 kW system.</t>
        </r>
      </text>
    </comment>
    <comment ref="H8" authorId="3">
      <text>
        <r>
          <rPr>
            <b/>
            <sz val="8"/>
            <color indexed="81"/>
            <rFont val="Tahoma"/>
            <family val="2"/>
          </rPr>
          <t>ccampbel:</t>
        </r>
        <r>
          <rPr>
            <sz val="8"/>
            <color indexed="81"/>
            <rFont val="Tahoma"/>
            <family val="2"/>
          </rPr>
          <t xml:space="preserve">
5504 after completion</t>
        </r>
      </text>
    </comment>
    <comment ref="J8" authorId="3">
      <text>
        <r>
          <rPr>
            <b/>
            <sz val="8"/>
            <color indexed="81"/>
            <rFont val="Tahoma"/>
            <family val="2"/>
          </rPr>
          <t>ccampbel:</t>
        </r>
        <r>
          <rPr>
            <sz val="8"/>
            <color indexed="81"/>
            <rFont val="Tahoma"/>
            <family val="2"/>
          </rPr>
          <t xml:space="preserve">
approximating with map to fence and parking lot is 6.85 acres</t>
        </r>
      </text>
    </comment>
    <comment ref="T9" authorId="4">
      <text>
        <r>
          <rPr>
            <b/>
            <sz val="9"/>
            <color indexed="81"/>
            <rFont val="Tahoma"/>
            <family val="2"/>
          </rPr>
          <t>Clinton Campbell:</t>
        </r>
        <r>
          <rPr>
            <sz val="9"/>
            <color indexed="81"/>
            <rFont val="Tahoma"/>
            <family val="2"/>
          </rPr>
          <t xml:space="preserve">
</t>
        </r>
      </text>
    </comment>
    <comment ref="F10" authorId="3">
      <text>
        <r>
          <rPr>
            <b/>
            <sz val="8"/>
            <color indexed="81"/>
            <rFont val="Tahoma"/>
            <family val="2"/>
          </rPr>
          <t>ccampbel:</t>
        </r>
        <r>
          <rPr>
            <sz val="8"/>
            <color indexed="81"/>
            <rFont val="Tahoma"/>
            <family val="2"/>
          </rPr>
          <t xml:space="preserve">
3918KWdc, 3500KWac,Some of this is on buildings and at other sites.
</t>
        </r>
      </text>
    </comment>
    <comment ref="B11" authorId="0">
      <text>
        <r>
          <rPr>
            <b/>
            <sz val="8"/>
            <color indexed="81"/>
            <rFont val="Tahoma"/>
            <family val="2"/>
          </rPr>
          <t>Author:</t>
        </r>
        <r>
          <rPr>
            <sz val="8"/>
            <color indexed="81"/>
            <rFont val="Tahoma"/>
            <family val="2"/>
          </rPr>
          <t xml:space="preserve">
Also known as Anheuser Busch Fairfield</t>
        </r>
      </text>
    </comment>
    <comment ref="J18" authorId="3">
      <text>
        <r>
          <rPr>
            <b/>
            <sz val="8"/>
            <color indexed="81"/>
            <rFont val="Tahoma"/>
            <family val="2"/>
          </rPr>
          <t>ccampbel:</t>
        </r>
        <r>
          <rPr>
            <sz val="8"/>
            <color indexed="81"/>
            <rFont val="Tahoma"/>
            <family val="2"/>
          </rPr>
          <t xml:space="preserve">
datasheet says total 11.4 and useable is 9.154
</t>
        </r>
      </text>
    </comment>
    <comment ref="E19" authorId="3">
      <text>
        <r>
          <rPr>
            <b/>
            <sz val="8"/>
            <color indexed="81"/>
            <rFont val="Tahoma"/>
            <family val="2"/>
          </rPr>
          <t>ccampbel:</t>
        </r>
        <r>
          <rPr>
            <sz val="8"/>
            <color indexed="81"/>
            <rFont val="Tahoma"/>
            <family val="2"/>
          </rPr>
          <t xml:space="preserve">
assuming the 1MW label is ac, since calculated capacity is 1.16MW
</t>
        </r>
      </text>
    </comment>
    <comment ref="F19" authorId="3">
      <text>
        <r>
          <rPr>
            <b/>
            <sz val="8"/>
            <color indexed="81"/>
            <rFont val="Tahoma"/>
            <family val="2"/>
          </rPr>
          <t>ccampbel:</t>
        </r>
        <r>
          <rPr>
            <sz val="8"/>
            <color indexed="81"/>
            <rFont val="Tahoma"/>
            <family val="2"/>
          </rPr>
          <t xml:space="preserve">
225w*5152 panels
</t>
        </r>
      </text>
    </comment>
    <comment ref="AD20" authorId="0">
      <text>
        <r>
          <rPr>
            <b/>
            <sz val="8"/>
            <color indexed="81"/>
            <rFont val="Tahoma"/>
            <family val="2"/>
          </rPr>
          <t>Author:</t>
        </r>
        <r>
          <rPr>
            <sz val="8"/>
            <color indexed="81"/>
            <rFont val="Tahoma"/>
            <family val="2"/>
          </rPr>
          <t xml:space="preserve">
I could not find any efficiency or technology data for these specific modules (I downloaded the datasheets from kyocera, but this information was not in there). But I used data from the 2008 photon survey to come up with a close approximation. I used data from the KD205GH-2P model.</t>
        </r>
      </text>
    </comment>
    <comment ref="F22" authorId="3">
      <text>
        <r>
          <rPr>
            <b/>
            <sz val="8"/>
            <color indexed="81"/>
            <rFont val="Tahoma"/>
            <family val="2"/>
          </rPr>
          <t>ccampbel:</t>
        </r>
        <r>
          <rPr>
            <sz val="8"/>
            <color indexed="81"/>
            <rFont val="Tahoma"/>
            <family val="2"/>
          </rPr>
          <t xml:space="preserve">
was 2000, second phase of 3.5MW completed December 2010.  Look below for second phase</t>
        </r>
      </text>
    </comment>
    <comment ref="J22" authorId="3">
      <text>
        <r>
          <rPr>
            <b/>
            <sz val="8"/>
            <color indexed="81"/>
            <rFont val="Tahoma"/>
            <family val="2"/>
          </rPr>
          <t>ccampbel:</t>
        </r>
        <r>
          <rPr>
            <sz val="8"/>
            <color indexed="81"/>
            <rFont val="Tahoma"/>
            <family val="2"/>
          </rPr>
          <t xml:space="preserve">
Total declared for first phase was 15 acres
</t>
        </r>
      </text>
    </comment>
    <comment ref="AA22" authorId="2">
      <text>
        <r>
          <rPr>
            <b/>
            <sz val="8"/>
            <color indexed="81"/>
            <rFont val="Tahoma"/>
            <family val="2"/>
          </rPr>
          <t>song:</t>
        </r>
        <r>
          <rPr>
            <sz val="8"/>
            <color indexed="81"/>
            <rFont val="Tahoma"/>
            <family val="2"/>
          </rPr>
          <t xml:space="preserve">
based on photos of this plant, so sat imagery of this plant at time of writing this</t>
        </r>
      </text>
    </comment>
    <comment ref="AA23" authorId="2">
      <text>
        <r>
          <rPr>
            <b/>
            <sz val="8"/>
            <color indexed="81"/>
            <rFont val="Tahoma"/>
            <family val="2"/>
          </rPr>
          <t>song:</t>
        </r>
        <r>
          <rPr>
            <sz val="8"/>
            <color indexed="81"/>
            <rFont val="Tahoma"/>
            <family val="2"/>
          </rPr>
          <t xml:space="preserve">
http://www.google.com/imgres?imgurl=http://www.sincerelysustainable.com/wp-content/uploads/2009/08/DIA-Solar-Field.jpg&amp;imgrefurl=http://www.sincerelysustainable.com/renewable-energy/solar-renewable-energy/denver-airport-expanding-its-solar-usage-significantly&amp;usg=__OWIfzpglGnDFUYc1kaHERm6FcdA=&amp;h=434&amp;w=654&amp;sz=83&amp;hl=en&amp;start=1&amp;sig2=E0RbDbByeN6-sz1SlNrlBA&amp;um=1&amp;itbs=1&amp;tbnid=NX-9dD25JMCQcM:&amp;tbnh=92&amp;tbnw=138&amp;prev=/images%3Fq%3DDIA%2Bsolar%26um%3D1%26hl%3Den%26safe%3Dactive%26sa%3DX%26qscrl%3D1%26tbs%3Disch:1&amp;ei=Z0cuTIWgHsyDnged4I33BA</t>
        </r>
      </text>
    </comment>
    <comment ref="F25" authorId="3">
      <text>
        <r>
          <rPr>
            <b/>
            <sz val="8"/>
            <color indexed="81"/>
            <rFont val="Tahoma"/>
            <family val="2"/>
          </rPr>
          <t>ccampbel:</t>
        </r>
        <r>
          <rPr>
            <sz val="8"/>
            <color indexed="81"/>
            <rFont val="Tahoma"/>
            <family val="2"/>
          </rPr>
          <t xml:space="preserve">
stated as DC
</t>
        </r>
      </text>
    </comment>
    <comment ref="AB25" authorId="3">
      <text>
        <r>
          <rPr>
            <b/>
            <sz val="8"/>
            <color indexed="81"/>
            <rFont val="Tahoma"/>
            <family val="2"/>
          </rPr>
          <t>ccampbel:</t>
        </r>
        <r>
          <rPr>
            <sz val="8"/>
            <color indexed="81"/>
            <rFont val="Tahoma"/>
            <family val="2"/>
          </rPr>
          <t xml:space="preserve">
weighted average of 16.7 and 14.3%
</t>
        </r>
      </text>
    </comment>
    <comment ref="B26" authorId="1">
      <text>
        <r>
          <rPr>
            <b/>
            <sz val="8"/>
            <color indexed="81"/>
            <rFont val="Tahoma"/>
            <family val="2"/>
          </rPr>
          <t>Sean Ong:</t>
        </r>
        <r>
          <rPr>
            <sz val="8"/>
            <color indexed="81"/>
            <rFont val="Tahoma"/>
            <family val="2"/>
          </rPr>
          <t xml:space="preserve">
Prescott Solar Plant comprised of 1axis and 2axis tracking, seperated here.
There are two different types of 1-axis tracking (horizontal, and tilted). This section only represents the horizontal. The tilted is an additional 384 kW DC. I will add that in the future.</t>
        </r>
      </text>
    </comment>
    <comment ref="J26" authorId="1">
      <text>
        <r>
          <rPr>
            <b/>
            <sz val="8"/>
            <color indexed="81"/>
            <rFont val="Tahoma"/>
            <family val="2"/>
          </rPr>
          <t>Sean Ong:</t>
        </r>
        <r>
          <rPr>
            <sz val="8"/>
            <color indexed="81"/>
            <rFont val="Tahoma"/>
            <family val="2"/>
          </rPr>
          <t xml:space="preserve">
Since this project is not yet complete, I didn't base calcs on 50 acres, but just the "road perimeter" around the respective arrays (see visio file)</t>
        </r>
      </text>
    </comment>
    <comment ref="A27" authorId="3">
      <text>
        <r>
          <rPr>
            <b/>
            <sz val="8"/>
            <color indexed="81"/>
            <rFont val="Tahoma"/>
            <family val="2"/>
          </rPr>
          <t>ccampbel:</t>
        </r>
        <r>
          <rPr>
            <sz val="8"/>
            <color indexed="81"/>
            <rFont val="Tahoma"/>
            <family val="2"/>
          </rPr>
          <t xml:space="preserve">
I don’t' think this ever made it off the ground, and the area was taken off of the prime solar energy list.</t>
        </r>
      </text>
    </comment>
    <comment ref="W27" authorId="2">
      <text>
        <r>
          <rPr>
            <b/>
            <sz val="8"/>
            <color indexed="81"/>
            <rFont val="Tahoma"/>
            <family val="2"/>
          </rPr>
          <t>song:</t>
        </r>
        <r>
          <rPr>
            <sz val="8"/>
            <color indexed="81"/>
            <rFont val="Tahoma"/>
            <family val="2"/>
          </rPr>
          <t xml:space="preserve">
"32952 Mountain View Road"</t>
        </r>
      </text>
    </comment>
    <comment ref="J28" authorId="3">
      <text>
        <r>
          <rPr>
            <b/>
            <sz val="8"/>
            <color indexed="81"/>
            <rFont val="Tahoma"/>
            <family val="2"/>
          </rPr>
          <t>ccampbel:</t>
        </r>
        <r>
          <rPr>
            <sz val="8"/>
            <color indexed="81"/>
            <rFont val="Tahoma"/>
            <family val="2"/>
          </rPr>
          <t xml:space="preserve">
From bing select area</t>
        </r>
      </text>
    </comment>
    <comment ref="O29" authorId="5">
      <text>
        <r>
          <rPr>
            <b/>
            <sz val="9"/>
            <color indexed="81"/>
            <rFont val="Tahoma"/>
            <family val="2"/>
          </rPr>
          <t>Windows User:</t>
        </r>
        <r>
          <rPr>
            <sz val="9"/>
            <color indexed="81"/>
            <rFont val="Tahoma"/>
            <family val="2"/>
          </rPr>
          <t xml:space="preserve">
specified in documents
</t>
        </r>
      </text>
    </comment>
    <comment ref="AE29" authorId="5">
      <text>
        <r>
          <rPr>
            <b/>
            <sz val="9"/>
            <color indexed="81"/>
            <rFont val="Tahoma"/>
            <family val="2"/>
          </rPr>
          <t>Windows User:</t>
        </r>
        <r>
          <rPr>
            <sz val="9"/>
            <color indexed="81"/>
            <rFont val="Tahoma"/>
            <family val="2"/>
          </rPr>
          <t xml:space="preserve">
sept 2011
 start 12 week build time</t>
        </r>
      </text>
    </comment>
    <comment ref="O32" authorId="5">
      <text>
        <r>
          <rPr>
            <b/>
            <sz val="9"/>
            <color indexed="81"/>
            <rFont val="Tahoma"/>
            <family val="2"/>
          </rPr>
          <t>Windows User:</t>
        </r>
        <r>
          <rPr>
            <sz val="9"/>
            <color indexed="81"/>
            <rFont val="Tahoma"/>
            <family val="2"/>
          </rPr>
          <t xml:space="preserve">
from project maps
</t>
        </r>
      </text>
    </comment>
    <comment ref="F33" authorId="3">
      <text>
        <r>
          <rPr>
            <b/>
            <sz val="8"/>
            <color indexed="81"/>
            <rFont val="Tahoma"/>
            <family val="2"/>
          </rPr>
          <t>ccampbel:</t>
        </r>
        <r>
          <rPr>
            <sz val="8"/>
            <color indexed="81"/>
            <rFont val="Tahoma"/>
            <family val="2"/>
          </rPr>
          <t xml:space="preserve">
http://www.slideshare.net/solarszaro/greenovations-ouc-presentation
specifies DC
</t>
        </r>
      </text>
    </comment>
    <comment ref="A34" authorId="3">
      <text>
        <r>
          <rPr>
            <b/>
            <sz val="8"/>
            <color indexed="81"/>
            <rFont val="Tahoma"/>
            <family val="2"/>
          </rPr>
          <t>ccampbel:</t>
        </r>
        <r>
          <rPr>
            <sz val="8"/>
            <color indexed="81"/>
            <rFont val="Tahoma"/>
            <family val="2"/>
          </rPr>
          <t xml:space="preserve">
found aerial image of site</t>
        </r>
      </text>
    </comment>
    <comment ref="AB36" authorId="5">
      <text>
        <r>
          <rPr>
            <b/>
            <sz val="9"/>
            <color indexed="81"/>
            <rFont val="Tahoma"/>
            <family val="2"/>
          </rPr>
          <t>Windows User:</t>
        </r>
        <r>
          <rPr>
            <sz val="9"/>
            <color indexed="81"/>
            <rFont val="Tahoma"/>
            <family val="2"/>
          </rPr>
          <t xml:space="preserve">
both poly and mono claimed the same efficiency rating on datasheets for 245W modules</t>
        </r>
      </text>
    </comment>
    <comment ref="B37"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J37"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AD37" authorId="0">
      <text>
        <r>
          <rPr>
            <b/>
            <sz val="8"/>
            <color indexed="81"/>
            <rFont val="Tahoma"/>
            <family val="2"/>
          </rPr>
          <t>Author:</t>
        </r>
        <r>
          <rPr>
            <sz val="8"/>
            <color indexed="81"/>
            <rFont val="Tahoma"/>
            <family val="2"/>
          </rPr>
          <t xml:space="preserve">
roughtly 10% of this is SUNTECH 280, no significant difference in technology, just different power</t>
        </r>
      </text>
    </comment>
    <comment ref="F38" authorId="5">
      <text>
        <r>
          <rPr>
            <b/>
            <sz val="9"/>
            <color indexed="81"/>
            <rFont val="Tahoma"/>
            <family val="2"/>
          </rPr>
          <t>Windows User:</t>
        </r>
        <r>
          <rPr>
            <sz val="9"/>
            <color indexed="81"/>
            <rFont val="Tahoma"/>
            <family val="2"/>
          </rPr>
          <t xml:space="preserve">
Specified DC
</t>
        </r>
      </text>
    </comment>
    <comment ref="W38" authorId="5">
      <text>
        <r>
          <rPr>
            <b/>
            <sz val="9"/>
            <color indexed="81"/>
            <rFont val="Tahoma"/>
            <family val="2"/>
          </rPr>
          <t>Windows User:</t>
        </r>
        <r>
          <rPr>
            <sz val="9"/>
            <color indexed="81"/>
            <rFont val="Tahoma"/>
            <family val="2"/>
          </rPr>
          <t xml:space="preserve">
approximate to city level</t>
        </r>
      </text>
    </comment>
    <comment ref="AB39" authorId="5">
      <text>
        <r>
          <rPr>
            <b/>
            <sz val="9"/>
            <color indexed="81"/>
            <rFont val="Tahoma"/>
            <family val="2"/>
          </rPr>
          <t>Windows User:</t>
        </r>
        <r>
          <rPr>
            <sz val="9"/>
            <color indexed="81"/>
            <rFont val="Tahoma"/>
            <family val="2"/>
          </rPr>
          <t xml:space="preserve">
assume E19 </t>
        </r>
      </text>
    </comment>
    <comment ref="G40" authorId="3">
      <text>
        <r>
          <rPr>
            <b/>
            <sz val="8"/>
            <color indexed="81"/>
            <rFont val="Tahoma"/>
            <family val="2"/>
          </rPr>
          <t>ccampbel:</t>
        </r>
        <r>
          <rPr>
            <sz val="8"/>
            <color indexed="81"/>
            <rFont val="Tahoma"/>
            <family val="2"/>
          </rPr>
          <t xml:space="preserve">
final cost was 60, proposed was 63
</t>
        </r>
      </text>
    </comment>
    <comment ref="F41" authorId="5">
      <text>
        <r>
          <rPr>
            <b/>
            <sz val="9"/>
            <color indexed="81"/>
            <rFont val="Tahoma"/>
            <family val="2"/>
          </rPr>
          <t>Windows User:</t>
        </r>
        <r>
          <rPr>
            <sz val="9"/>
            <color indexed="81"/>
            <rFont val="Tahoma"/>
            <family val="2"/>
          </rPr>
          <t xml:space="preserve">
specified dc
</t>
        </r>
      </text>
    </comment>
    <comment ref="AB41" authorId="5">
      <text>
        <r>
          <rPr>
            <b/>
            <sz val="9"/>
            <color indexed="81"/>
            <rFont val="Tahoma"/>
            <family val="2"/>
          </rPr>
          <t>Windows User:</t>
        </r>
        <r>
          <rPr>
            <sz val="9"/>
            <color indexed="81"/>
            <rFont val="Tahoma"/>
            <family val="2"/>
          </rPr>
          <t xml:space="preserve">
datasheets showed a range in the 14% for different types of panels
</t>
        </r>
      </text>
    </comment>
    <comment ref="J43" authorId="3">
      <text>
        <r>
          <rPr>
            <b/>
            <sz val="8"/>
            <color indexed="81"/>
            <rFont val="Tahoma"/>
            <family val="2"/>
          </rPr>
          <t>ccampbel:</t>
        </r>
        <r>
          <rPr>
            <sz val="8"/>
            <color indexed="81"/>
            <rFont val="Tahoma"/>
            <family val="2"/>
          </rPr>
          <t xml:space="preserve">
3 sites on 560 acres, other 2 on private land
</t>
        </r>
      </text>
    </comment>
    <comment ref="E44" authorId="5">
      <text>
        <r>
          <rPr>
            <b/>
            <sz val="9"/>
            <color indexed="81"/>
            <rFont val="Tahoma"/>
            <family val="2"/>
          </rPr>
          <t>Windows User:</t>
        </r>
        <r>
          <rPr>
            <sz val="9"/>
            <color indexed="81"/>
            <rFont val="Tahoma"/>
            <family val="2"/>
          </rPr>
          <t xml:space="preserve">
400 is actually fixed axis</t>
        </r>
      </text>
    </comment>
    <comment ref="O44" authorId="5">
      <text>
        <r>
          <rPr>
            <b/>
            <sz val="9"/>
            <color indexed="81"/>
            <rFont val="Tahoma"/>
            <family val="2"/>
          </rPr>
          <t>Windows User:</t>
        </r>
        <r>
          <rPr>
            <sz val="9"/>
            <color indexed="81"/>
            <rFont val="Tahoma"/>
            <family val="2"/>
          </rPr>
          <t xml:space="preserve">
redo when maps are updated</t>
        </r>
      </text>
    </comment>
    <comment ref="F45" authorId="5">
      <text>
        <r>
          <rPr>
            <b/>
            <sz val="9"/>
            <color indexed="81"/>
            <rFont val="Tahoma"/>
            <family val="2"/>
          </rPr>
          <t>Windows User:</t>
        </r>
        <r>
          <rPr>
            <sz val="9"/>
            <color indexed="81"/>
            <rFont val="Tahoma"/>
            <family val="2"/>
          </rPr>
          <t xml:space="preserve">
http://www.weitz.com/project/aps-prescott/
specified 11.75MW, not 10MW</t>
        </r>
      </text>
    </comment>
    <comment ref="O46" authorId="3">
      <text>
        <r>
          <rPr>
            <b/>
            <sz val="8"/>
            <color indexed="81"/>
            <rFont val="Tahoma"/>
            <family val="2"/>
          </rPr>
          <t>ccampbel:</t>
        </r>
        <r>
          <rPr>
            <sz val="8"/>
            <color indexed="81"/>
            <rFont val="Tahoma"/>
            <family val="2"/>
          </rPr>
          <t xml:space="preserve">
Map shows pole only, under construction.  Need to update when image updates.</t>
        </r>
      </text>
    </comment>
    <comment ref="B48" authorId="3">
      <text>
        <r>
          <rPr>
            <b/>
            <sz val="8"/>
            <color indexed="81"/>
            <rFont val="Tahoma"/>
            <family val="2"/>
          </rPr>
          <t>ccampbel:</t>
        </r>
        <r>
          <rPr>
            <sz val="8"/>
            <color indexed="81"/>
            <rFont val="Tahoma"/>
            <family val="2"/>
          </rPr>
          <t xml:space="preserve">
originally planned for 2 sites totalling 74.6MW, only the 14.4 MW on 90acres got approved. </t>
        </r>
      </text>
    </comment>
    <comment ref="J51" authorId="5">
      <text>
        <r>
          <rPr>
            <b/>
            <sz val="9"/>
            <color indexed="81"/>
            <rFont val="Tahoma"/>
            <family val="2"/>
          </rPr>
          <t>Windows User:</t>
        </r>
        <r>
          <rPr>
            <sz val="9"/>
            <color indexed="81"/>
            <rFont val="Tahoma"/>
            <family val="2"/>
          </rPr>
          <t xml:space="preserve">
just needed to fill the empty slot. </t>
        </r>
      </text>
    </comment>
    <comment ref="F52" authorId="5">
      <text>
        <r>
          <rPr>
            <b/>
            <sz val="9"/>
            <color indexed="81"/>
            <rFont val="Tahoma"/>
            <family val="2"/>
          </rPr>
          <t>Windows User:</t>
        </r>
        <r>
          <rPr>
            <sz val="9"/>
            <color indexed="81"/>
            <rFont val="Tahoma"/>
            <family val="2"/>
          </rPr>
          <t xml:space="preserve">
specified dc
</t>
        </r>
      </text>
    </comment>
    <comment ref="Y53" authorId="4">
      <text>
        <r>
          <rPr>
            <b/>
            <sz val="9"/>
            <color indexed="81"/>
            <rFont val="Tahoma"/>
            <family val="2"/>
          </rPr>
          <t>Clinton Campbell:</t>
        </r>
        <r>
          <rPr>
            <sz val="9"/>
            <color indexed="81"/>
            <rFont val="Tahoma"/>
            <family val="2"/>
          </rPr>
          <t xml:space="preserve">
looks fixed(pretty sure they stated tracking)</t>
        </r>
      </text>
    </comment>
    <comment ref="B54" authorId="3">
      <text>
        <r>
          <rPr>
            <b/>
            <sz val="8"/>
            <color indexed="81"/>
            <rFont val="Tahoma"/>
            <family val="2"/>
          </rPr>
          <t>ccampbel:</t>
        </r>
        <r>
          <rPr>
            <sz val="8"/>
            <color indexed="81"/>
            <rFont val="Tahoma"/>
            <family val="2"/>
          </rPr>
          <t xml:space="preserve">
added picture
size was decreased from initial ratings</t>
        </r>
      </text>
    </comment>
    <comment ref="F54" authorId="3">
      <text>
        <r>
          <rPr>
            <b/>
            <sz val="8"/>
            <color indexed="81"/>
            <rFont val="Tahoma"/>
            <family val="2"/>
          </rPr>
          <t>ccampbel:</t>
        </r>
        <r>
          <rPr>
            <sz val="8"/>
            <color indexed="81"/>
            <rFont val="Tahoma"/>
            <family val="2"/>
          </rPr>
          <t xml:space="preserve">
was 21500DC 18000AC
now 17200DC 15500AC</t>
        </r>
      </text>
    </comment>
    <comment ref="J54" authorId="3">
      <text>
        <r>
          <rPr>
            <b/>
            <sz val="8"/>
            <color indexed="81"/>
            <rFont val="Tahoma"/>
            <family val="2"/>
          </rPr>
          <t>ccampbel:</t>
        </r>
        <r>
          <rPr>
            <sz val="8"/>
            <color indexed="81"/>
            <rFont val="Tahoma"/>
            <family val="2"/>
          </rPr>
          <t xml:space="preserve">
was 386, now over 200</t>
        </r>
      </text>
    </comment>
    <comment ref="AB55" authorId="3">
      <text>
        <r>
          <rPr>
            <b/>
            <sz val="8"/>
            <color indexed="81"/>
            <rFont val="Tahoma"/>
            <family val="2"/>
          </rPr>
          <t>ccampbel:</t>
        </r>
        <r>
          <rPr>
            <sz val="8"/>
            <color indexed="81"/>
            <rFont val="Tahoma"/>
            <family val="2"/>
          </rPr>
          <t xml:space="preserve">
http://www.solardesigntool.com/components/module-panel-solar/Sunpower/SPR-320E-WHT-D/specification-data-sheet.html;jsessionid=F3CDAC6C1788328FCCFF1761D0B1ADFB
</t>
        </r>
      </text>
    </comment>
    <comment ref="H57" authorId="5">
      <text>
        <r>
          <rPr>
            <b/>
            <sz val="9"/>
            <color indexed="81"/>
            <rFont val="Tahoma"/>
            <family val="2"/>
          </rPr>
          <t>Windows User:</t>
        </r>
        <r>
          <rPr>
            <sz val="9"/>
            <color indexed="81"/>
            <rFont val="Tahoma"/>
            <family val="2"/>
          </rPr>
          <t xml:space="preserve">
one site says 75168, another at completion says 93000
</t>
        </r>
      </text>
    </comment>
    <comment ref="E58" authorId="5">
      <text>
        <r>
          <rPr>
            <b/>
            <sz val="9"/>
            <color indexed="81"/>
            <rFont val="Tahoma"/>
            <family val="2"/>
          </rPr>
          <t>Windows User:</t>
        </r>
        <r>
          <rPr>
            <sz val="9"/>
            <color indexed="81"/>
            <rFont val="Tahoma"/>
            <family val="2"/>
          </rPr>
          <t xml:space="preserve">
specified AC
</t>
        </r>
      </text>
    </comment>
    <comment ref="O58" authorId="5">
      <text>
        <r>
          <rPr>
            <b/>
            <sz val="9"/>
            <color indexed="81"/>
            <rFont val="Tahoma"/>
            <family val="2"/>
          </rPr>
          <t>Windows User:</t>
        </r>
        <r>
          <rPr>
            <sz val="9"/>
            <color indexed="81"/>
            <rFont val="Tahoma"/>
            <family val="2"/>
          </rPr>
          <t xml:space="preserve">
partial image
update when image updates</t>
        </r>
      </text>
    </comment>
    <comment ref="E59" authorId="3">
      <text>
        <r>
          <rPr>
            <b/>
            <sz val="8"/>
            <color indexed="81"/>
            <rFont val="Tahoma"/>
            <family val="2"/>
          </rPr>
          <t>ccampbel:</t>
        </r>
        <r>
          <rPr>
            <sz val="8"/>
            <color indexed="81"/>
            <rFont val="Tahoma"/>
            <family val="2"/>
          </rPr>
          <t xml:space="preserve">
specified AC
</t>
        </r>
      </text>
    </comment>
    <comment ref="E60" authorId="5">
      <text>
        <r>
          <rPr>
            <b/>
            <sz val="9"/>
            <color indexed="81"/>
            <rFont val="Tahoma"/>
            <family val="2"/>
          </rPr>
          <t>Windows User:</t>
        </r>
        <r>
          <rPr>
            <sz val="9"/>
            <color indexed="81"/>
            <rFont val="Tahoma"/>
            <family val="2"/>
          </rPr>
          <t xml:space="preserve">
specified AC</t>
        </r>
      </text>
    </comment>
    <comment ref="W60" authorId="5">
      <text>
        <r>
          <rPr>
            <b/>
            <sz val="9"/>
            <color indexed="81"/>
            <rFont val="Tahoma"/>
            <family val="2"/>
          </rPr>
          <t>Windows User:</t>
        </r>
        <r>
          <rPr>
            <sz val="9"/>
            <color indexed="81"/>
            <rFont val="Tahoma"/>
            <family val="2"/>
          </rPr>
          <t xml:space="preserve">
Said property is located east of S. Road 1 East and between E. Road 2 South and E. Road 4 South</t>
        </r>
      </text>
    </comment>
    <comment ref="E62" authorId="5">
      <text>
        <r>
          <rPr>
            <b/>
            <sz val="9"/>
            <color indexed="81"/>
            <rFont val="Tahoma"/>
            <family val="2"/>
          </rPr>
          <t>Windows User:</t>
        </r>
        <r>
          <rPr>
            <sz val="9"/>
            <color indexed="81"/>
            <rFont val="Tahoma"/>
            <family val="2"/>
          </rPr>
          <t xml:space="preserve">
specified ac
</t>
        </r>
      </text>
    </comment>
    <comment ref="B63" authorId="3">
      <text>
        <r>
          <rPr>
            <b/>
            <sz val="8"/>
            <color indexed="81"/>
            <rFont val="Tahoma"/>
            <family val="2"/>
          </rPr>
          <t>ccampbel:</t>
        </r>
        <r>
          <rPr>
            <sz val="8"/>
            <color indexed="81"/>
            <rFont val="Tahoma"/>
            <family val="2"/>
          </rPr>
          <t xml:space="preserve">
found location and image
</t>
        </r>
      </text>
    </comment>
    <comment ref="E63" authorId="3">
      <text>
        <r>
          <rPr>
            <b/>
            <sz val="8"/>
            <color indexed="81"/>
            <rFont val="Tahoma"/>
            <family val="2"/>
          </rPr>
          <t>ccampbel:</t>
        </r>
        <r>
          <rPr>
            <sz val="8"/>
            <color indexed="81"/>
            <rFont val="Tahoma"/>
            <family val="2"/>
          </rPr>
          <t xml:space="preserve">
25MW ac pg 6.
http://seia.org/galleries/default-file/2009%20Solar%20Industry%20Year%20in%20Review.pdf</t>
        </r>
      </text>
    </comment>
    <comment ref="F65" authorId="3">
      <text>
        <r>
          <rPr>
            <b/>
            <sz val="8"/>
            <color indexed="81"/>
            <rFont val="Tahoma"/>
            <family val="2"/>
          </rPr>
          <t>ccampbel:</t>
        </r>
        <r>
          <rPr>
            <sz val="8"/>
            <color indexed="81"/>
            <rFont val="Tahoma"/>
            <family val="2"/>
          </rPr>
          <t xml:space="preserve">
Factsheet 110000*320Watt panesl</t>
        </r>
      </text>
    </comment>
    <comment ref="AE66" authorId="5">
      <text>
        <r>
          <rPr>
            <b/>
            <sz val="9"/>
            <color indexed="81"/>
            <rFont val="Tahoma"/>
            <family val="2"/>
          </rPr>
          <t>Windows User:</t>
        </r>
        <r>
          <rPr>
            <sz val="9"/>
            <color indexed="81"/>
            <rFont val="Tahoma"/>
            <family val="2"/>
          </rPr>
          <t xml:space="preserve">
approved
</t>
        </r>
      </text>
    </comment>
    <comment ref="AE67" authorId="5">
      <text>
        <r>
          <rPr>
            <b/>
            <sz val="9"/>
            <color indexed="81"/>
            <rFont val="Tahoma"/>
            <family val="2"/>
          </rPr>
          <t>Windows User:</t>
        </r>
        <r>
          <rPr>
            <sz val="9"/>
            <color indexed="81"/>
            <rFont val="Tahoma"/>
            <family val="2"/>
          </rPr>
          <t xml:space="preserve">
construction to start in 2012
</t>
        </r>
      </text>
    </comment>
    <comment ref="O68" authorId="3">
      <text>
        <r>
          <rPr>
            <b/>
            <sz val="8"/>
            <color indexed="81"/>
            <rFont val="Tahoma"/>
            <family val="2"/>
          </rPr>
          <t>ccampbel:</t>
        </r>
        <r>
          <rPr>
            <sz val="8"/>
            <color indexed="81"/>
            <rFont val="Tahoma"/>
            <family val="2"/>
          </rPr>
          <t xml:space="preserve">
no images</t>
        </r>
      </text>
    </comment>
    <comment ref="F69" authorId="3">
      <text>
        <r>
          <rPr>
            <b/>
            <sz val="8"/>
            <color indexed="81"/>
            <rFont val="Tahoma"/>
            <family val="2"/>
          </rPr>
          <t>ccampbel:</t>
        </r>
        <r>
          <rPr>
            <sz val="8"/>
            <color indexed="81"/>
            <rFont val="Tahoma"/>
            <family val="2"/>
          </rPr>
          <t xml:space="preserve">
assuming the 75W modules used</t>
        </r>
      </text>
    </comment>
    <comment ref="G69" authorId="3">
      <text>
        <r>
          <rPr>
            <b/>
            <sz val="8"/>
            <color indexed="81"/>
            <rFont val="Tahoma"/>
            <family val="2"/>
          </rPr>
          <t>ccampbel:</t>
        </r>
        <r>
          <rPr>
            <sz val="8"/>
            <color indexed="81"/>
            <rFont val="Tahoma"/>
            <family val="2"/>
          </rPr>
          <t xml:space="preserve">
1.36 billion total investment, 713mil in equity investment through 2013</t>
        </r>
      </text>
    </comment>
    <comment ref="O69" authorId="3">
      <text>
        <r>
          <rPr>
            <b/>
            <sz val="8"/>
            <color indexed="81"/>
            <rFont val="Tahoma"/>
            <family val="2"/>
          </rPr>
          <t>ccampbel:</t>
        </r>
        <r>
          <rPr>
            <sz val="8"/>
            <color indexed="81"/>
            <rFont val="Tahoma"/>
            <family val="2"/>
          </rPr>
          <t xml:space="preserve">
project_r2009-02239_deir.pdf
pg 139 line 5
</t>
        </r>
      </text>
    </comment>
    <comment ref="AB69" authorId="3">
      <text>
        <r>
          <rPr>
            <b/>
            <sz val="8"/>
            <color indexed="81"/>
            <rFont val="Tahoma"/>
            <family val="2"/>
          </rPr>
          <t>ccampbel:</t>
        </r>
        <r>
          <rPr>
            <sz val="8"/>
            <color indexed="81"/>
            <rFont val="Tahoma"/>
            <family val="2"/>
          </rPr>
          <t xml:space="preserve">
http://www.focusvoltaico.com/en/photovoltaic-panels/catalogue/details/110/113
</t>
        </r>
      </text>
    </comment>
    <comment ref="B70" authorId="3">
      <text>
        <r>
          <rPr>
            <b/>
            <sz val="8"/>
            <color indexed="81"/>
            <rFont val="Tahoma"/>
            <family val="2"/>
          </rPr>
          <t>ccampbel:</t>
        </r>
        <r>
          <rPr>
            <sz val="8"/>
            <color indexed="81"/>
            <rFont val="Tahoma"/>
            <family val="2"/>
          </rPr>
          <t xml:space="preserve">
https://lpo.energy.gov/wp-content/uploads/2010/10/EA-1840_CVSR_Final_EA_08-20112.pdf</t>
        </r>
      </text>
    </comment>
    <comment ref="O70" authorId="3">
      <text>
        <r>
          <rPr>
            <b/>
            <sz val="8"/>
            <color indexed="81"/>
            <rFont val="Tahoma"/>
            <family val="2"/>
          </rPr>
          <t>ccampbel:</t>
        </r>
        <r>
          <rPr>
            <sz val="8"/>
            <color indexed="81"/>
            <rFont val="Tahoma"/>
            <family val="2"/>
          </rPr>
          <t xml:space="preserve">
no images</t>
        </r>
      </text>
    </comment>
    <comment ref="B71" authorId="3">
      <text>
        <r>
          <rPr>
            <b/>
            <sz val="8"/>
            <color indexed="81"/>
            <rFont val="Tahoma"/>
            <family val="2"/>
          </rPr>
          <t>ccampbel:</t>
        </r>
        <r>
          <rPr>
            <sz val="8"/>
            <color indexed="81"/>
            <rFont val="Tahoma"/>
            <family val="2"/>
          </rPr>
          <t xml:space="preserve">
updated 2/2012  was 400MW, now 250MW</t>
        </r>
      </text>
    </comment>
    <comment ref="J71" authorId="3">
      <text>
        <r>
          <rPr>
            <b/>
            <sz val="8"/>
            <color indexed="81"/>
            <rFont val="Tahoma"/>
            <family val="2"/>
          </rPr>
          <t>ccampbel:</t>
        </r>
        <r>
          <rPr>
            <sz val="8"/>
            <color indexed="81"/>
            <rFont val="Tahoma"/>
            <family val="2"/>
          </rPr>
          <t xml:space="preserve">
was 7925 acres
now 2500
</t>
        </r>
      </text>
    </comment>
    <comment ref="M71" authorId="2">
      <text>
        <r>
          <rPr>
            <b/>
            <sz val="8"/>
            <color indexed="81"/>
            <rFont val="Tahoma"/>
            <family val="2"/>
          </rPr>
          <t>song:</t>
        </r>
        <r>
          <rPr>
            <sz val="8"/>
            <color indexed="81"/>
            <rFont val="Tahoma"/>
            <family val="2"/>
          </rPr>
          <t xml:space="preserve">
large because of drainage controls </t>
        </r>
      </text>
    </comment>
    <comment ref="B75"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J75"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T75" authorId="1">
      <text>
        <r>
          <rPr>
            <b/>
            <sz val="8"/>
            <color indexed="81"/>
            <rFont val="Tahoma"/>
            <family val="2"/>
          </rPr>
          <t>Sean Ong:</t>
        </r>
        <r>
          <rPr>
            <sz val="8"/>
            <color indexed="81"/>
            <rFont val="Tahoma"/>
            <family val="2"/>
          </rPr>
          <t xml:space="preserve">
area of tracker/(area around each tracker, including tracker area)
see visio file for a more visual explanation (areas are highlighted)</t>
        </r>
      </text>
    </comment>
    <comment ref="AB75" authorId="0">
      <text>
        <r>
          <rPr>
            <b/>
            <sz val="8"/>
            <color indexed="81"/>
            <rFont val="Tahoma"/>
            <family val="2"/>
          </rPr>
          <t>Author:</t>
        </r>
        <r>
          <rPr>
            <sz val="8"/>
            <color indexed="81"/>
            <rFont val="Tahoma"/>
            <family val="2"/>
          </rPr>
          <t xml:space="preserve">
There was no datasheets found for the actual dual tracking system used at alamosa, however, based on the website, I believe that this would be a reasonable estimate for the type of cells/modules used in the mover XL-ECO system. </t>
        </r>
      </text>
    </comment>
    <comment ref="B76" authorId="3">
      <text>
        <r>
          <rPr>
            <b/>
            <sz val="8"/>
            <color indexed="81"/>
            <rFont val="Tahoma"/>
            <family val="2"/>
          </rPr>
          <t>ccampbel:</t>
        </r>
        <r>
          <rPr>
            <sz val="8"/>
            <color indexed="81"/>
            <rFont val="Tahoma"/>
            <family val="2"/>
          </rPr>
          <t xml:space="preserve">
2 axis tracking placed where it would fit on land. Odd Shape
</t>
        </r>
      </text>
    </comment>
    <comment ref="F76" authorId="3">
      <text>
        <r>
          <rPr>
            <b/>
            <sz val="8"/>
            <color indexed="81"/>
            <rFont val="Tahoma"/>
            <family val="2"/>
          </rPr>
          <t>ccampbel:</t>
        </r>
        <r>
          <rPr>
            <sz val="8"/>
            <color indexed="81"/>
            <rFont val="Tahoma"/>
            <family val="2"/>
          </rPr>
          <t xml:space="preserve">
specified DC
</t>
        </r>
      </text>
    </comment>
    <comment ref="O76" authorId="3">
      <text>
        <r>
          <rPr>
            <b/>
            <sz val="8"/>
            <color indexed="81"/>
            <rFont val="Tahoma"/>
            <family val="2"/>
          </rPr>
          <t>ccampbel:</t>
        </r>
        <r>
          <rPr>
            <sz val="8"/>
            <color indexed="81"/>
            <rFont val="Tahoma"/>
            <family val="2"/>
          </rPr>
          <t xml:space="preserve">
Spacing doesn't seem optimal
</t>
        </r>
      </text>
    </comment>
    <comment ref="AE79" authorId="5">
      <text>
        <r>
          <rPr>
            <b/>
            <sz val="9"/>
            <color indexed="81"/>
            <rFont val="Tahoma"/>
            <family val="2"/>
          </rPr>
          <t>Windows User:</t>
        </r>
        <r>
          <rPr>
            <sz val="9"/>
            <color indexed="81"/>
            <rFont val="Tahoma"/>
            <family val="2"/>
          </rPr>
          <t xml:space="preserve">
Construction to start 2012</t>
        </r>
      </text>
    </comment>
    <comment ref="A80" authorId="4">
      <text>
        <r>
          <rPr>
            <b/>
            <sz val="9"/>
            <color indexed="81"/>
            <rFont val="Tahoma"/>
            <family val="2"/>
          </rPr>
          <t>Clinton Campbell:</t>
        </r>
        <r>
          <rPr>
            <sz val="9"/>
            <color indexed="81"/>
            <rFont val="Tahoma"/>
            <family val="2"/>
          </rPr>
          <t xml:space="preserve">
this one skeps CPV data since it is 2 axis and a very small plant.  Odd shaped panels too.</t>
        </r>
      </text>
    </comment>
    <comment ref="B80" authorId="1">
      <text>
        <r>
          <rPr>
            <b/>
            <sz val="8"/>
            <color indexed="81"/>
            <rFont val="Tahoma"/>
            <family val="2"/>
          </rPr>
          <t>Sean Ong:</t>
        </r>
        <r>
          <rPr>
            <sz val="8"/>
            <color indexed="81"/>
            <rFont val="Tahoma"/>
            <family val="2"/>
          </rPr>
          <t xml:space="preserve">
Prescott Solar Plant comprised of 1axis and 2axis tracking, seperated here</t>
        </r>
      </text>
    </comment>
    <comment ref="J80" authorId="1">
      <text>
        <r>
          <rPr>
            <b/>
            <sz val="8"/>
            <color indexed="81"/>
            <rFont val="Tahoma"/>
            <family val="2"/>
          </rPr>
          <t>Sean Ong:</t>
        </r>
        <r>
          <rPr>
            <sz val="8"/>
            <color indexed="81"/>
            <rFont val="Tahoma"/>
            <family val="2"/>
          </rPr>
          <t xml:space="preserve">
Since this project is not yet complete, I didn't base calcs on 50 acres, but just the "road perimeter" around the respective arrays (see visio file)</t>
        </r>
      </text>
    </comment>
    <comment ref="E81" authorId="3">
      <text>
        <r>
          <rPr>
            <b/>
            <sz val="8"/>
            <color indexed="81"/>
            <rFont val="Tahoma"/>
            <family val="2"/>
          </rPr>
          <t>ccampbel:</t>
        </r>
        <r>
          <rPr>
            <sz val="8"/>
            <color indexed="81"/>
            <rFont val="Tahoma"/>
            <family val="2"/>
          </rPr>
          <t xml:space="preserve">
modules are 60kW AC
</t>
        </r>
      </text>
    </comment>
    <comment ref="F81" authorId="3">
      <text>
        <r>
          <rPr>
            <b/>
            <sz val="8"/>
            <color indexed="81"/>
            <rFont val="Tahoma"/>
            <family val="2"/>
          </rPr>
          <t>ccampbel:</t>
        </r>
        <r>
          <rPr>
            <sz val="8"/>
            <color indexed="81"/>
            <rFont val="Tahoma"/>
            <family val="2"/>
          </rPr>
          <t xml:space="preserve">
84*77KW models
</t>
        </r>
      </text>
    </comment>
    <comment ref="B83" authorId="0">
      <text>
        <r>
          <rPr>
            <b/>
            <sz val="8"/>
            <color indexed="81"/>
            <rFont val="Tahoma"/>
            <family val="2"/>
          </rPr>
          <t>Author:</t>
        </r>
        <r>
          <rPr>
            <sz val="8"/>
            <color indexed="81"/>
            <rFont val="Tahoma"/>
            <family val="2"/>
          </rPr>
          <t xml:space="preserve">
same PV farm but with three different PV types (single axis daily, single axis seasonal, dual axis concentrating)</t>
        </r>
      </text>
    </comment>
    <comment ref="J83" authorId="0">
      <text>
        <r>
          <rPr>
            <b/>
            <sz val="8"/>
            <color indexed="81"/>
            <rFont val="Tahoma"/>
            <family val="2"/>
          </rPr>
          <t>Author:</t>
        </r>
        <r>
          <rPr>
            <sz val="8"/>
            <color indexed="81"/>
            <rFont val="Tahoma"/>
            <family val="2"/>
          </rPr>
          <t xml:space="preserve">
Total acreage of this PV system is about 81 acres. I divided this number by the sum of the physical areas to get a scaling factor for each PV type. Looking at the site plan, it's hard to distinguish which PV type uses more "total area" and it seems reasonable that all types should share an equal "burden" of extra area proportional to their own area usage.</t>
        </r>
      </text>
    </comment>
    <comment ref="Z83" authorId="0">
      <text>
        <r>
          <rPr>
            <b/>
            <sz val="8"/>
            <color indexed="81"/>
            <rFont val="Tahoma"/>
            <family val="2"/>
          </rPr>
          <t>Author:</t>
        </r>
        <r>
          <rPr>
            <sz val="8"/>
            <color indexed="81"/>
            <rFont val="Tahoma"/>
            <family val="2"/>
          </rPr>
          <t xml:space="preserve">
Although I haven't found a detailed description of this, from what I read from various sources, it sounds like these panels are automatically or manually shifted (tilted) depending on the season. That's all I know at the moment.</t>
        </r>
      </text>
    </comment>
    <comment ref="B85" authorId="3">
      <text>
        <r>
          <rPr>
            <b/>
            <sz val="8"/>
            <color indexed="81"/>
            <rFont val="Tahoma"/>
            <family val="2"/>
          </rPr>
          <t>ccampbel:</t>
        </r>
        <r>
          <rPr>
            <sz val="8"/>
            <color indexed="81"/>
            <rFont val="Tahoma"/>
            <family val="2"/>
          </rPr>
          <t xml:space="preserve">
2 or more ground intallation added to the premises. Need to use viseo and find more info.</t>
        </r>
      </text>
    </comment>
    <comment ref="B86" authorId="1">
      <text>
        <r>
          <rPr>
            <b/>
            <sz val="8"/>
            <color indexed="81"/>
            <rFont val="Tahoma"/>
            <family val="2"/>
          </rPr>
          <t>Sean Ong:</t>
        </r>
        <r>
          <rPr>
            <sz val="8"/>
            <color indexed="81"/>
            <rFont val="Tahoma"/>
            <family val="2"/>
          </rPr>
          <t xml:space="preserve">
not too sure the exact land usage of this project, it is in the same project area as the 10 MW space system.
Update: I decided to split evenly the land use based on MW capacity.</t>
        </r>
      </text>
    </comment>
    <comment ref="Z88" authorId="0">
      <text>
        <r>
          <rPr>
            <b/>
            <sz val="8"/>
            <color indexed="81"/>
            <rFont val="Tahoma"/>
            <family val="2"/>
          </rPr>
          <t>Author:</t>
        </r>
        <r>
          <rPr>
            <sz val="8"/>
            <color indexed="81"/>
            <rFont val="Tahoma"/>
            <family val="2"/>
          </rPr>
          <t xml:space="preserve">
"oriented 10 degrees east of true south"</t>
        </r>
      </text>
    </comment>
    <comment ref="AB88" authorId="0">
      <text>
        <r>
          <rPr>
            <b/>
            <sz val="8"/>
            <color indexed="81"/>
            <rFont val="Tahoma"/>
            <family val="2"/>
          </rPr>
          <t>Author:</t>
        </r>
        <r>
          <rPr>
            <sz val="8"/>
            <color indexed="81"/>
            <rFont val="Tahoma"/>
            <family val="2"/>
          </rPr>
          <t xml:space="preserve">
efficiency data not available on datasheets, I could not locate it anywhere, so I found the closest module on the 2008 photon survey which is the sunmodule SW 185 mono. </t>
        </r>
      </text>
    </comment>
    <comment ref="F90" authorId="3">
      <text>
        <r>
          <rPr>
            <b/>
            <sz val="8"/>
            <color indexed="81"/>
            <rFont val="Tahoma"/>
            <family val="2"/>
          </rPr>
          <t>ccampbel:</t>
        </r>
        <r>
          <rPr>
            <sz val="8"/>
            <color indexed="81"/>
            <rFont val="Tahoma"/>
            <family val="2"/>
          </rPr>
          <t xml:space="preserve">
specified dc
</t>
        </r>
      </text>
    </comment>
    <comment ref="O90" authorId="3">
      <text>
        <r>
          <rPr>
            <b/>
            <sz val="8"/>
            <color indexed="81"/>
            <rFont val="Tahoma"/>
            <family val="2"/>
          </rPr>
          <t>ccampbel:</t>
        </r>
        <r>
          <rPr>
            <sz val="8"/>
            <color indexed="81"/>
            <rFont val="Tahoma"/>
            <family val="2"/>
          </rPr>
          <t xml:space="preserve">
no arial image, matched land to posted image.
Tightly packed on land
</t>
        </r>
      </text>
    </comment>
    <comment ref="AB90" authorId="3">
      <text>
        <r>
          <rPr>
            <b/>
            <sz val="8"/>
            <color indexed="81"/>
            <rFont val="Tahoma"/>
            <family val="2"/>
          </rPr>
          <t>ccampbel:</t>
        </r>
        <r>
          <rPr>
            <sz val="8"/>
            <color indexed="81"/>
            <rFont val="Tahoma"/>
            <family val="2"/>
          </rPr>
          <t xml:space="preserve">
assume tianwei panes, 
Tianwei solar panels used by hoku. 280 watt modules from calculation
</t>
        </r>
      </text>
    </comment>
    <comment ref="F95" authorId="3">
      <text>
        <r>
          <rPr>
            <b/>
            <sz val="8"/>
            <color indexed="81"/>
            <rFont val="Tahoma"/>
            <family val="2"/>
          </rPr>
          <t>ccampbel:</t>
        </r>
        <r>
          <rPr>
            <sz val="8"/>
            <color indexed="81"/>
            <rFont val="Tahoma"/>
            <family val="2"/>
          </rPr>
          <t xml:space="preserve">
specified DC
</t>
        </r>
      </text>
    </comment>
    <comment ref="J99" authorId="5">
      <text>
        <r>
          <rPr>
            <b/>
            <sz val="9"/>
            <color indexed="81"/>
            <rFont val="Tahoma"/>
            <family val="2"/>
          </rPr>
          <t>Windows User:</t>
        </r>
        <r>
          <rPr>
            <sz val="9"/>
            <color indexed="81"/>
            <rFont val="Tahoma"/>
            <family val="2"/>
          </rPr>
          <t xml:space="preserve">
sources say 6 acres</t>
        </r>
      </text>
    </comment>
    <comment ref="Y100" authorId="5">
      <text>
        <r>
          <rPr>
            <b/>
            <sz val="9"/>
            <color indexed="81"/>
            <rFont val="Tahoma"/>
            <family val="2"/>
          </rPr>
          <t>Windows User:</t>
        </r>
        <r>
          <rPr>
            <sz val="9"/>
            <color indexed="81"/>
            <rFont val="Tahoma"/>
            <family val="2"/>
          </rPr>
          <t xml:space="preserve">
this looks like a fixed array on maps</t>
        </r>
      </text>
    </comment>
    <comment ref="B102" authorId="3">
      <text>
        <r>
          <rPr>
            <b/>
            <sz val="8"/>
            <color indexed="81"/>
            <rFont val="Tahoma"/>
            <family val="2"/>
          </rPr>
          <t>ccampbel:</t>
        </r>
        <r>
          <rPr>
            <sz val="8"/>
            <color indexed="81"/>
            <rFont val="Tahoma"/>
            <family val="2"/>
          </rPr>
          <t xml:space="preserve">
also known as silver lake solar project on internet
</t>
        </r>
      </text>
    </comment>
    <comment ref="F102" authorId="3">
      <text>
        <r>
          <rPr>
            <b/>
            <sz val="8"/>
            <color indexed="81"/>
            <rFont val="Tahoma"/>
            <family val="2"/>
          </rPr>
          <t>ccampbel:</t>
        </r>
        <r>
          <rPr>
            <sz val="8"/>
            <color indexed="81"/>
            <rFont val="Tahoma"/>
            <family val="2"/>
          </rPr>
          <t xml:space="preserve">
specified DC
</t>
        </r>
      </text>
    </comment>
    <comment ref="J102" authorId="3">
      <text>
        <r>
          <rPr>
            <b/>
            <sz val="8"/>
            <color indexed="81"/>
            <rFont val="Tahoma"/>
            <family val="2"/>
          </rPr>
          <t>ccampbel:</t>
        </r>
        <r>
          <rPr>
            <sz val="8"/>
            <color indexed="81"/>
            <rFont val="Tahoma"/>
            <family val="2"/>
          </rPr>
          <t xml:space="preserve">
9.25 measured
stated 8 acres
</t>
        </r>
      </text>
    </comment>
    <comment ref="Y104" authorId="3">
      <text>
        <r>
          <rPr>
            <b/>
            <sz val="8"/>
            <color indexed="81"/>
            <rFont val="Tahoma"/>
            <family val="2"/>
          </rPr>
          <t>ccampbel:</t>
        </r>
        <r>
          <rPr>
            <sz val="8"/>
            <color indexed="81"/>
            <rFont val="Tahoma"/>
            <family val="2"/>
          </rPr>
          <t xml:space="preserve">
8020 on fixed
312 on tracking
</t>
        </r>
      </text>
    </comment>
    <comment ref="F107" authorId="3">
      <text>
        <r>
          <rPr>
            <b/>
            <sz val="8"/>
            <color indexed="81"/>
            <rFont val="Tahoma"/>
            <family val="2"/>
          </rPr>
          <t>ccampbel:</t>
        </r>
        <r>
          <rPr>
            <sz val="8"/>
            <color indexed="81"/>
            <rFont val="Tahoma"/>
            <family val="2"/>
          </rPr>
          <t xml:space="preserve">
specified dc
</t>
        </r>
      </text>
    </comment>
    <comment ref="O107" authorId="3">
      <text>
        <r>
          <rPr>
            <b/>
            <sz val="8"/>
            <color indexed="81"/>
            <rFont val="Tahoma"/>
            <family val="2"/>
          </rPr>
          <t>ccampbel:</t>
        </r>
        <r>
          <rPr>
            <sz val="8"/>
            <color indexed="81"/>
            <rFont val="Tahoma"/>
            <family val="2"/>
          </rPr>
          <t xml:space="preserve">
number quoted in articles, I found 5.9 for phy and 8 for total</t>
        </r>
      </text>
    </comment>
    <comment ref="E108" authorId="3">
      <text>
        <r>
          <rPr>
            <b/>
            <sz val="8"/>
            <color indexed="81"/>
            <rFont val="Tahoma"/>
            <family val="2"/>
          </rPr>
          <t>ccampbel:</t>
        </r>
        <r>
          <rPr>
            <sz val="8"/>
            <color indexed="81"/>
            <rFont val="Tahoma"/>
            <family val="2"/>
          </rPr>
          <t xml:space="preserve">
most sites claim 2 MW, but factsheets say 2.6MW Dc</t>
        </r>
      </text>
    </comment>
    <comment ref="J108" authorId="5">
      <text>
        <r>
          <rPr>
            <b/>
            <sz val="9"/>
            <color indexed="81"/>
            <rFont val="Tahoma"/>
            <family val="2"/>
          </rPr>
          <t>Windows User:</t>
        </r>
        <r>
          <rPr>
            <sz val="9"/>
            <color indexed="81"/>
            <rFont val="Tahoma"/>
            <family val="2"/>
          </rPr>
          <t xml:space="preserve">
resources say 16, visio shows max of 14.5, actual not farm usage is 13.7 acres</t>
        </r>
      </text>
    </comment>
    <comment ref="E109" authorId="3">
      <text>
        <r>
          <rPr>
            <b/>
            <sz val="8"/>
            <color indexed="81"/>
            <rFont val="Tahoma"/>
            <family val="2"/>
          </rPr>
          <t>ccampbel:</t>
        </r>
        <r>
          <rPr>
            <sz val="8"/>
            <color indexed="81"/>
            <rFont val="Tahoma"/>
            <family val="2"/>
          </rPr>
          <t xml:space="preserve">
SMA 250U inverter 97% average efficiency</t>
        </r>
      </text>
    </comment>
    <comment ref="J109" authorId="3">
      <text>
        <r>
          <rPr>
            <b/>
            <sz val="8"/>
            <color indexed="81"/>
            <rFont val="Tahoma"/>
            <family val="2"/>
          </rPr>
          <t>ccampbel:</t>
        </r>
        <r>
          <rPr>
            <sz val="8"/>
            <color indexed="81"/>
            <rFont val="Tahoma"/>
            <family val="2"/>
          </rPr>
          <t xml:space="preserve">
stated as 18, fenced area is 14.</t>
        </r>
      </text>
    </comment>
    <comment ref="J111" authorId="3">
      <text>
        <r>
          <rPr>
            <b/>
            <sz val="8"/>
            <color indexed="81"/>
            <rFont val="Tahoma"/>
            <family val="2"/>
          </rPr>
          <t>ccampbel:</t>
        </r>
        <r>
          <rPr>
            <sz val="8"/>
            <color indexed="81"/>
            <rFont val="Tahoma"/>
            <family val="2"/>
          </rPr>
          <t xml:space="preserve">
16.5 stated
13.3 measured around the panels, extra 3.2 acres on the side</t>
        </r>
      </text>
    </comment>
    <comment ref="F112" authorId="3">
      <text>
        <r>
          <rPr>
            <b/>
            <sz val="8"/>
            <color indexed="81"/>
            <rFont val="Tahoma"/>
            <family val="2"/>
          </rPr>
          <t>ccampbel:</t>
        </r>
        <r>
          <rPr>
            <sz val="8"/>
            <color indexed="81"/>
            <rFont val="Tahoma"/>
            <family val="2"/>
          </rPr>
          <t xml:space="preserve">
3MWDc from pseg
kearny, NJ</t>
        </r>
      </text>
    </comment>
    <comment ref="O112" authorId="3">
      <text>
        <r>
          <rPr>
            <b/>
            <sz val="8"/>
            <color indexed="81"/>
            <rFont val="Tahoma"/>
            <family val="2"/>
          </rPr>
          <t>ccampbel:</t>
        </r>
        <r>
          <rPr>
            <sz val="8"/>
            <color indexed="81"/>
            <rFont val="Tahoma"/>
            <family val="2"/>
          </rPr>
          <t xml:space="preserve">
no map image yet
</t>
        </r>
      </text>
    </comment>
    <comment ref="B113" authorId="3">
      <text>
        <r>
          <rPr>
            <b/>
            <sz val="8"/>
            <color indexed="81"/>
            <rFont val="Tahoma"/>
            <family val="2"/>
          </rPr>
          <t>ccampbel:</t>
        </r>
        <r>
          <rPr>
            <sz val="8"/>
            <color indexed="81"/>
            <rFont val="Tahoma"/>
            <family val="2"/>
          </rPr>
          <t xml:space="preserve">
this was added to the 2Mw on the same 30 acres.  Total Capacity brought to 5300KW</t>
        </r>
      </text>
    </comment>
    <comment ref="H113" authorId="3">
      <text>
        <r>
          <rPr>
            <b/>
            <sz val="8"/>
            <color indexed="81"/>
            <rFont val="Tahoma"/>
            <family val="2"/>
          </rPr>
          <t>ccampbel:</t>
        </r>
        <r>
          <rPr>
            <sz val="8"/>
            <color indexed="81"/>
            <rFont val="Tahoma"/>
            <family val="2"/>
          </rPr>
          <t xml:space="preserve">
http://www.today.colostate.edu/story.aspx?id=3004</t>
        </r>
      </text>
    </comment>
    <comment ref="W113" authorId="2">
      <text>
        <r>
          <rPr>
            <b/>
            <sz val="8"/>
            <color indexed="81"/>
            <rFont val="Tahoma"/>
            <family val="2"/>
          </rPr>
          <t>song:</t>
        </r>
        <r>
          <rPr>
            <sz val="8"/>
            <color indexed="81"/>
            <rFont val="Tahoma"/>
            <family val="2"/>
          </rPr>
          <t xml:space="preserve">
expansions of 2MW farm, see references</t>
        </r>
      </text>
    </comment>
    <comment ref="F115" authorId="3">
      <text>
        <r>
          <rPr>
            <b/>
            <sz val="8"/>
            <color indexed="81"/>
            <rFont val="Tahoma"/>
            <family val="2"/>
          </rPr>
          <t>ccampbel:</t>
        </r>
        <r>
          <rPr>
            <sz val="8"/>
            <color indexed="81"/>
            <rFont val="Tahoma"/>
            <family val="2"/>
          </rPr>
          <t xml:space="preserve">
american capital energy says 4.4MWDC
http://www.americancapitalenergy.com/yardville-solar-farm/</t>
        </r>
      </text>
    </comment>
    <comment ref="Y115" authorId="4">
      <text>
        <r>
          <rPr>
            <b/>
            <sz val="9"/>
            <color indexed="81"/>
            <rFont val="Tahoma"/>
            <family val="2"/>
          </rPr>
          <t>Clinton Campbell:</t>
        </r>
        <r>
          <rPr>
            <sz val="9"/>
            <color indexed="81"/>
            <rFont val="Tahoma"/>
            <family val="2"/>
          </rPr>
          <t xml:space="preserve">
alternative power construction magazine winter 2010= looks like fixed axis in picture</t>
        </r>
      </text>
    </comment>
    <comment ref="O118" authorId="5">
      <text>
        <r>
          <rPr>
            <b/>
            <sz val="9"/>
            <color indexed="81"/>
            <rFont val="Tahoma"/>
            <family val="2"/>
          </rPr>
          <t>Windows User:</t>
        </r>
        <r>
          <rPr>
            <sz val="9"/>
            <color indexed="81"/>
            <rFont val="Tahoma"/>
            <family val="2"/>
          </rPr>
          <t xml:space="preserve">
irregularly shaped
update when images are newer</t>
        </r>
      </text>
    </comment>
    <comment ref="B119" authorId="3">
      <text>
        <r>
          <rPr>
            <b/>
            <sz val="8"/>
            <color indexed="81"/>
            <rFont val="Tahoma"/>
            <family val="2"/>
          </rPr>
          <t>ccampbel:</t>
        </r>
        <r>
          <rPr>
            <sz val="8"/>
            <color indexed="81"/>
            <rFont val="Tahoma"/>
            <family val="2"/>
          </rPr>
          <t xml:space="preserve">
On the roof of a huge covered reservoir.</t>
        </r>
      </text>
    </comment>
    <comment ref="W121" authorId="3">
      <text>
        <r>
          <rPr>
            <b/>
            <sz val="8"/>
            <color indexed="81"/>
            <rFont val="Tahoma"/>
            <family val="2"/>
          </rPr>
          <t xml:space="preserve">ccampbel:
Not sure about this  being the correct site.  Matches stated acrage in the right part of town.  To new for maps
</t>
        </r>
      </text>
    </comment>
    <comment ref="B123" authorId="5">
      <text>
        <r>
          <rPr>
            <b/>
            <sz val="9"/>
            <color indexed="81"/>
            <rFont val="Tahoma"/>
            <family val="2"/>
          </rPr>
          <t>Windows User:</t>
        </r>
        <r>
          <rPr>
            <sz val="9"/>
            <color indexed="81"/>
            <rFont val="Tahoma"/>
            <family val="2"/>
          </rPr>
          <t xml:space="preserve">
these arrays are very closely spaced, edge to edge throughout, increasing in height entire way</t>
        </r>
      </text>
    </comment>
    <comment ref="B124" authorId="1">
      <text>
        <r>
          <rPr>
            <b/>
            <sz val="8"/>
            <color indexed="81"/>
            <rFont val="Tahoma"/>
            <family val="2"/>
          </rPr>
          <t>Sean Ong:</t>
        </r>
        <r>
          <rPr>
            <sz val="8"/>
            <color indexed="81"/>
            <rFont val="Tahoma"/>
            <family val="2"/>
          </rPr>
          <t xml:space="preserve">
2nd or 3rd phase of many. After looking at imagery, it seems that there is much empty land allocated for the panels, but for which the panels have not yet been built. This will cause the total area to be bigger per MW than other similar plants.
March 2011, rest of land filled up increasing output to 6.4MW. CJC
Sean Ong - fact sheet says that another 2 - 5MW of PV will be built at site during future phases.</t>
        </r>
      </text>
    </comment>
    <comment ref="H124" authorId="3">
      <text>
        <r>
          <rPr>
            <b/>
            <sz val="8"/>
            <color indexed="81"/>
            <rFont val="Tahoma"/>
            <family val="2"/>
          </rPr>
          <t>ccampbel:</t>
        </r>
        <r>
          <rPr>
            <sz val="8"/>
            <color indexed="81"/>
            <rFont val="Tahoma"/>
            <family val="2"/>
          </rPr>
          <t xml:space="preserve">
orignally said 34980, but there are only 8400</t>
        </r>
      </text>
    </comment>
    <comment ref="J124" authorId="0">
      <text>
        <r>
          <rPr>
            <b/>
            <sz val="8"/>
            <color indexed="81"/>
            <rFont val="Tahoma"/>
            <family val="2"/>
          </rPr>
          <t>Author:</t>
        </r>
        <r>
          <rPr>
            <sz val="8"/>
            <color indexed="81"/>
            <rFont val="Tahoma"/>
            <family val="2"/>
          </rPr>
          <t xml:space="preserve">
online sources report "44" acres, but doesn't really specify what this area is.
Area calculated from imagery yeids 70 acres, but this includes large open spaces reserved for upcoming expansions of this facility. 
Update: Now all spaces are filled 2011
</t>
        </r>
      </text>
    </comment>
    <comment ref="AB124"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AC124" authorId="0">
      <text>
        <r>
          <rPr>
            <b/>
            <sz val="8"/>
            <color indexed="81"/>
            <rFont val="Tahoma"/>
            <family val="2"/>
          </rPr>
          <t>Author:</t>
        </r>
        <r>
          <rPr>
            <sz val="8"/>
            <color indexed="81"/>
            <rFont val="Tahoma"/>
            <family val="2"/>
          </rPr>
          <t xml:space="preserve">
see module model comment</t>
        </r>
      </text>
    </comment>
    <comment ref="AD124" authorId="0">
      <text>
        <r>
          <rPr>
            <b/>
            <sz val="8"/>
            <color indexed="81"/>
            <rFont val="Tahoma"/>
            <family val="2"/>
          </rPr>
          <t>Author:</t>
        </r>
        <r>
          <rPr>
            <sz val="8"/>
            <color indexed="81"/>
            <rFont val="Tahoma"/>
            <family val="2"/>
          </rPr>
          <t xml:space="preserve">
ASE 300 DG/50 = 3510 kW, tech = EFG ribbon, eff = 12.4%
First Solar FS-45 and FS-50 = 537.6 kW, tech = CdTe, eff = 6.94%
BP Solarex MST-43 = 516 kW, tech = a-Si, eff = 5.4%
calculated efficiency by taking the weighted average.</t>
        </r>
      </text>
    </comment>
    <comment ref="B127" authorId="1">
      <text>
        <r>
          <rPr>
            <b/>
            <sz val="8"/>
            <color indexed="81"/>
            <rFont val="Tahoma"/>
            <family val="2"/>
          </rPr>
          <t>Sean Ong:</t>
        </r>
        <r>
          <rPr>
            <sz val="8"/>
            <color indexed="81"/>
            <rFont val="Tahoma"/>
            <family val="2"/>
          </rPr>
          <t xml:space="preserve">
land is shared with NASA 1MW PV system, land slit based on MW capacity
found image</t>
        </r>
      </text>
    </comment>
    <comment ref="J127" authorId="3">
      <text>
        <r>
          <rPr>
            <b/>
            <sz val="8"/>
            <color indexed="81"/>
            <rFont val="Tahoma"/>
            <family val="2"/>
          </rPr>
          <t>ccampbel:</t>
        </r>
        <r>
          <rPr>
            <sz val="8"/>
            <color indexed="81"/>
            <rFont val="Tahoma"/>
            <family val="2"/>
          </rPr>
          <t xml:space="preserve">
stated as 45 acres, measured as 48 without open patch of land</t>
        </r>
      </text>
    </comment>
    <comment ref="B128" authorId="1">
      <text>
        <r>
          <rPr>
            <b/>
            <sz val="8"/>
            <color indexed="81"/>
            <rFont val="Tahoma"/>
            <family val="2"/>
          </rPr>
          <t>Sean Ong:</t>
        </r>
        <r>
          <rPr>
            <sz val="8"/>
            <color indexed="81"/>
            <rFont val="Tahoma"/>
            <family val="2"/>
          </rPr>
          <t xml:space="preserve">
first phase in up to about 60 MW project</t>
        </r>
      </text>
    </comment>
    <comment ref="O129" authorId="3">
      <text>
        <r>
          <rPr>
            <b/>
            <sz val="8"/>
            <color indexed="81"/>
            <rFont val="Tahoma"/>
            <family val="2"/>
          </rPr>
          <t>ccampbel:</t>
        </r>
        <r>
          <rPr>
            <sz val="8"/>
            <color indexed="81"/>
            <rFont val="Tahoma"/>
            <family val="2"/>
          </rPr>
          <t xml:space="preserve">
http://www.pseg.com/family/holdings/global/solar_source/pdf/wyandot_factsheet.pdf</t>
        </r>
      </text>
    </comment>
    <comment ref="B130" authorId="5">
      <text>
        <r>
          <rPr>
            <b/>
            <sz val="9"/>
            <color indexed="81"/>
            <rFont val="Tahoma"/>
            <family val="2"/>
          </rPr>
          <t>Windows User:</t>
        </r>
        <r>
          <rPr>
            <sz val="9"/>
            <color indexed="81"/>
            <rFont val="Tahoma"/>
            <family val="2"/>
          </rPr>
          <t xml:space="preserve">
sometimes called fairfield solar project
</t>
        </r>
      </text>
    </comment>
    <comment ref="E130" authorId="5">
      <text>
        <r>
          <rPr>
            <b/>
            <sz val="9"/>
            <color indexed="81"/>
            <rFont val="Tahoma"/>
            <family val="2"/>
          </rPr>
          <t>Windows User:</t>
        </r>
        <r>
          <rPr>
            <sz val="9"/>
            <color indexed="81"/>
            <rFont val="Tahoma"/>
            <family val="2"/>
          </rPr>
          <t xml:space="preserve">
Specified AC
</t>
        </r>
      </text>
    </comment>
    <comment ref="F130" authorId="5">
      <text>
        <r>
          <rPr>
            <b/>
            <sz val="9"/>
            <color indexed="81"/>
            <rFont val="Tahoma"/>
            <family val="2"/>
          </rPr>
          <t>Windows User:</t>
        </r>
        <r>
          <rPr>
            <sz val="9"/>
            <color indexed="81"/>
            <rFont val="Tahoma"/>
            <family val="2"/>
          </rPr>
          <t xml:space="preserve">
235 watt modules
</t>
        </r>
      </text>
    </comment>
    <comment ref="O130" authorId="5">
      <text>
        <r>
          <rPr>
            <b/>
            <sz val="9"/>
            <color indexed="81"/>
            <rFont val="Tahoma"/>
            <family val="2"/>
          </rPr>
          <t>Windows User:</t>
        </r>
        <r>
          <rPr>
            <sz val="9"/>
            <color indexed="81"/>
            <rFont val="Tahoma"/>
            <family val="2"/>
          </rPr>
          <t xml:space="preserve">
http://www.nj.com/cumberland/index.ssf/2011/10/fairfield_solar_project_breaks.html</t>
        </r>
      </text>
    </comment>
    <comment ref="B131" authorId="3">
      <text>
        <r>
          <rPr>
            <b/>
            <sz val="8"/>
            <color indexed="81"/>
            <rFont val="Tahoma"/>
            <family val="2"/>
          </rPr>
          <t>ccampbel:</t>
        </r>
        <r>
          <rPr>
            <sz val="8"/>
            <color indexed="81"/>
            <rFont val="Tahoma"/>
            <family val="2"/>
          </rPr>
          <t xml:space="preserve">
found image of land
</t>
        </r>
      </text>
    </comment>
    <comment ref="E131" authorId="3">
      <text>
        <r>
          <rPr>
            <b/>
            <sz val="8"/>
            <color indexed="81"/>
            <rFont val="Tahoma"/>
            <family val="2"/>
          </rPr>
          <t>ccampbel:</t>
        </r>
        <r>
          <rPr>
            <sz val="8"/>
            <color indexed="81"/>
            <rFont val="Tahoma"/>
            <family val="2"/>
          </rPr>
          <t xml:space="preserve">
http://www.pseg.com/family/holdings/global/solar_source/jacksonville/pdf/fact_sheet.pdf</t>
        </r>
      </text>
    </comment>
    <comment ref="J131" authorId="3">
      <text>
        <r>
          <rPr>
            <b/>
            <sz val="8"/>
            <color indexed="81"/>
            <rFont val="Tahoma"/>
            <family val="2"/>
          </rPr>
          <t>ccampbel:</t>
        </r>
        <r>
          <rPr>
            <sz val="8"/>
            <color indexed="81"/>
            <rFont val="Tahoma"/>
            <family val="2"/>
          </rPr>
          <t xml:space="preserve">
stated as 91, map shows 96 fenced
</t>
        </r>
      </text>
    </comment>
    <comment ref="AB131" authorId="3">
      <text>
        <r>
          <rPr>
            <b/>
            <sz val="8"/>
            <color indexed="81"/>
            <rFont val="Tahoma"/>
            <family val="2"/>
          </rPr>
          <t>ccampbel:</t>
        </r>
        <r>
          <rPr>
            <sz val="8"/>
            <color indexed="81"/>
            <rFont val="Tahoma"/>
            <family val="2"/>
          </rPr>
          <t xml:space="preserve">
general efficiency for thin film cadmium telluride PV
</t>
        </r>
      </text>
    </comment>
    <comment ref="J132" authorId="3">
      <text>
        <r>
          <rPr>
            <b/>
            <sz val="8"/>
            <color indexed="81"/>
            <rFont val="Tahoma"/>
            <family val="2"/>
          </rPr>
          <t>ccampbel:</t>
        </r>
        <r>
          <rPr>
            <sz val="8"/>
            <color indexed="81"/>
            <rFont val="Tahoma"/>
            <family val="2"/>
          </rPr>
          <t xml:space="preserve">
stated as 115 measured 108.  There is extra space not utilized.</t>
        </r>
      </text>
    </comment>
    <comment ref="O133" authorId="5">
      <text>
        <r>
          <rPr>
            <b/>
            <sz val="9"/>
            <color indexed="81"/>
            <rFont val="Tahoma"/>
            <family val="2"/>
          </rPr>
          <t>Windows User:</t>
        </r>
        <r>
          <rPr>
            <sz val="9"/>
            <color indexed="81"/>
            <rFont val="Tahoma"/>
            <family val="2"/>
          </rPr>
          <t xml:space="preserve">
specified panel land
no image
</t>
        </r>
      </text>
    </comment>
    <comment ref="J135" authorId="5">
      <text>
        <r>
          <rPr>
            <b/>
            <sz val="9"/>
            <color indexed="81"/>
            <rFont val="Tahoma"/>
            <family val="2"/>
          </rPr>
          <t>Windows User:</t>
        </r>
        <r>
          <rPr>
            <sz val="9"/>
            <color indexed="81"/>
            <rFont val="Tahoma"/>
            <family val="2"/>
          </rPr>
          <t xml:space="preserve">
check for images later
</t>
        </r>
      </text>
    </comment>
    <comment ref="Y138" authorId="3">
      <text>
        <r>
          <rPr>
            <b/>
            <sz val="8"/>
            <color indexed="81"/>
            <rFont val="Tahoma"/>
            <family val="2"/>
          </rPr>
          <t>ccampbel:</t>
        </r>
        <r>
          <rPr>
            <sz val="8"/>
            <color indexed="81"/>
            <rFont val="Tahoma"/>
            <family val="2"/>
          </rPr>
          <t xml:space="preserve">
assuming fixed from photo</t>
        </r>
      </text>
    </comment>
    <comment ref="B139" authorId="3">
      <text>
        <r>
          <rPr>
            <b/>
            <sz val="8"/>
            <color indexed="81"/>
            <rFont val="Tahoma"/>
            <family val="2"/>
          </rPr>
          <t>ccampbel:</t>
        </r>
        <r>
          <rPr>
            <sz val="8"/>
            <color indexed="81"/>
            <rFont val="Tahoma"/>
            <family val="2"/>
          </rPr>
          <t xml:space="preserve">
No info about actually moving forward, or cancellation of project.
Maybe BP dropped it with the gulf oil spill.  Update.  BP Solar no longer exist
</t>
        </r>
      </text>
    </comment>
    <comment ref="F140" authorId="1">
      <text>
        <r>
          <rPr>
            <b/>
            <sz val="8"/>
            <color indexed="81"/>
            <rFont val="Tahoma"/>
            <family val="2"/>
          </rPr>
          <t>Sean Ong:</t>
        </r>
        <r>
          <rPr>
            <sz val="8"/>
            <color indexed="81"/>
            <rFont val="Tahoma"/>
            <family val="2"/>
          </rPr>
          <t xml:space="preserve">
one of the links calimed that each array was 1MW AC or 1.2MW DC (21 arrays). See links txt file for more info.</t>
        </r>
      </text>
    </comment>
    <comment ref="J140" authorId="3">
      <text>
        <r>
          <rPr>
            <b/>
            <sz val="8"/>
            <color indexed="81"/>
            <rFont val="Tahoma"/>
            <family val="2"/>
          </rPr>
          <t>ccampbel:</t>
        </r>
        <r>
          <rPr>
            <sz val="8"/>
            <color indexed="81"/>
            <rFont val="Tahoma"/>
            <family val="2"/>
          </rPr>
          <t xml:space="preserve">
stated as 200, measured 186
</t>
        </r>
      </text>
    </comment>
    <comment ref="E141" authorId="3">
      <text>
        <r>
          <rPr>
            <b/>
            <sz val="8"/>
            <color indexed="81"/>
            <rFont val="Tahoma"/>
            <family val="2"/>
          </rPr>
          <t>ccampbel:</t>
        </r>
        <r>
          <rPr>
            <sz val="8"/>
            <color indexed="81"/>
            <rFont val="Tahoma"/>
            <family val="2"/>
          </rPr>
          <t xml:space="preserve">
30000kW AC</t>
        </r>
      </text>
    </comment>
    <comment ref="B143" authorId="4">
      <text>
        <r>
          <rPr>
            <b/>
            <sz val="9"/>
            <color indexed="81"/>
            <rFont val="Tahoma"/>
            <family val="2"/>
          </rPr>
          <t>Clinton Campbell:</t>
        </r>
        <r>
          <rPr>
            <sz val="9"/>
            <color indexed="81"/>
            <rFont val="Tahoma"/>
            <family val="2"/>
          </rPr>
          <t xml:space="preserve">
http://www.blm.gov/ca/st/en/fo/palmsprings/Solar_Projects/Desert_Sunlight.html</t>
        </r>
      </text>
    </comment>
    <comment ref="B144" authorId="3">
      <text>
        <r>
          <rPr>
            <b/>
            <sz val="8"/>
            <color indexed="81"/>
            <rFont val="Tahoma"/>
            <family val="2"/>
          </rPr>
          <t>ccampbel:</t>
        </r>
        <r>
          <rPr>
            <sz val="8"/>
            <color indexed="81"/>
            <rFont val="Tahoma"/>
            <family val="2"/>
          </rPr>
          <t xml:space="preserve">
3 separate projects built on the same site, by the same company totalling 45 MW.
Google Maps</t>
        </r>
      </text>
    </comment>
    <comment ref="B145" authorId="1">
      <text>
        <r>
          <rPr>
            <b/>
            <sz val="8"/>
            <color indexed="81"/>
            <rFont val="Tahoma"/>
            <family val="2"/>
          </rPr>
          <t>Sean Ong:</t>
        </r>
        <r>
          <rPr>
            <sz val="8"/>
            <color indexed="81"/>
            <rFont val="Tahoma"/>
            <family val="2"/>
          </rPr>
          <t xml:space="preserve">
Expansion of El Dorado Solar, so look into the el dorado solar folder
Also sempra mesquite 150MW project on same land?</t>
        </r>
      </text>
    </comment>
    <comment ref="F145" authorId="1">
      <text>
        <r>
          <rPr>
            <b/>
            <sz val="8"/>
            <color indexed="81"/>
            <rFont val="Tahoma"/>
            <family val="2"/>
          </rPr>
          <t>Sean Ong:</t>
        </r>
        <r>
          <rPr>
            <sz val="8"/>
            <color indexed="81"/>
            <rFont val="Tahoma"/>
            <family val="2"/>
          </rPr>
          <t xml:space="preserve">
based on el dorado's scale factor of 1.2 and also FSE blythe had the same scale factor</t>
        </r>
      </text>
    </comment>
    <comment ref="J145" authorId="3">
      <text>
        <r>
          <rPr>
            <b/>
            <sz val="8"/>
            <color indexed="81"/>
            <rFont val="Tahoma"/>
            <family val="2"/>
          </rPr>
          <t>ccampbel:</t>
        </r>
        <r>
          <rPr>
            <sz val="8"/>
            <color indexed="81"/>
            <rFont val="Tahoma"/>
            <family val="2"/>
          </rPr>
          <t xml:space="preserve">
Sempras factsheet says 450 acres and almost a million panesl Also rates as 58MW</t>
        </r>
      </text>
    </comment>
    <comment ref="J146" authorId="3">
      <text>
        <r>
          <rPr>
            <b/>
            <sz val="8"/>
            <color indexed="81"/>
            <rFont val="Tahoma"/>
            <family val="2"/>
          </rPr>
          <t>ccampbel:</t>
        </r>
        <r>
          <rPr>
            <sz val="8"/>
            <color indexed="81"/>
            <rFont val="Tahoma"/>
            <family val="2"/>
          </rPr>
          <t xml:space="preserve">
http://www.blm.gov/pgdata/etc/medialib/blm/nv/field_offices/las_vegas_field_office/energy/nextlight_-_other/nextlight_map.Par.94625.File.dat/Project%20Fact%20Sheet%2002Nov10.pdf
</t>
        </r>
      </text>
    </comment>
    <comment ref="F147" authorId="5">
      <text>
        <r>
          <rPr>
            <b/>
            <sz val="9"/>
            <color indexed="81"/>
            <rFont val="Tahoma"/>
            <family val="2"/>
          </rPr>
          <t>Windows User:</t>
        </r>
        <r>
          <rPr>
            <sz val="9"/>
            <color indexed="81"/>
            <rFont val="Tahoma"/>
            <family val="2"/>
          </rPr>
          <t xml:space="preserve">
may be as high as 80000
</t>
        </r>
      </text>
    </comment>
    <comment ref="AF149" authorId="1">
      <text>
        <r>
          <rPr>
            <b/>
            <sz val="8"/>
            <color indexed="81"/>
            <rFont val="Tahoma"/>
            <family val="2"/>
          </rPr>
          <t>Sean Ong:</t>
        </r>
        <r>
          <rPr>
            <sz val="8"/>
            <color indexed="81"/>
            <rFont val="Tahoma"/>
            <family val="2"/>
          </rPr>
          <t xml:space="preserve">
on link at right: "The three main project components will require a total of about 4,410 acres – 4,090 acres for the Solar Farm, 230 acres for the transmission corridor, and 90 acres for the substation."
on BLM front page link:
"7040 acres"
http://www.blm.gov/wo/st/en/prog/energy/renewable_energy/fast-track_renewable.html
</t>
        </r>
      </text>
    </comment>
    <comment ref="B150" authorId="5">
      <text>
        <r>
          <rPr>
            <b/>
            <sz val="9"/>
            <color indexed="81"/>
            <rFont val="Tahoma"/>
            <family val="2"/>
          </rPr>
          <t>Windows User:</t>
        </r>
        <r>
          <rPr>
            <sz val="9"/>
            <color indexed="81"/>
            <rFont val="Tahoma"/>
            <family val="2"/>
          </rPr>
          <t xml:space="preserve">
largest farm under construction
</t>
        </r>
      </text>
    </comment>
    <comment ref="E150" authorId="5">
      <text>
        <r>
          <rPr>
            <b/>
            <sz val="9"/>
            <color indexed="81"/>
            <rFont val="Tahoma"/>
            <family val="2"/>
          </rPr>
          <t>Windows User:</t>
        </r>
        <r>
          <rPr>
            <sz val="9"/>
            <color indexed="81"/>
            <rFont val="Tahoma"/>
            <family val="2"/>
          </rPr>
          <t xml:space="preserve">
specified ac
</t>
        </r>
      </text>
    </comment>
    <comment ref="F152" authorId="3">
      <text>
        <r>
          <rPr>
            <b/>
            <sz val="8"/>
            <color indexed="81"/>
            <rFont val="Tahoma"/>
            <family val="2"/>
          </rPr>
          <t>ccampbel:</t>
        </r>
        <r>
          <rPr>
            <sz val="8"/>
            <color indexed="81"/>
            <rFont val="Tahoma"/>
            <family val="2"/>
          </rPr>
          <t xml:space="preserve">
3.2 MWdc from pseg
</t>
        </r>
      </text>
    </comment>
    <comment ref="W152" authorId="4">
      <text>
        <r>
          <rPr>
            <b/>
            <sz val="9"/>
            <color indexed="81"/>
            <rFont val="Tahoma"/>
            <family val="2"/>
          </rPr>
          <t>Clinton Campbell:</t>
        </r>
        <r>
          <rPr>
            <sz val="9"/>
            <color indexed="81"/>
            <rFont val="Tahoma"/>
            <family val="2"/>
          </rPr>
          <t xml:space="preserve">
next to linden generator station</t>
        </r>
      </text>
    </comment>
    <comment ref="O153" authorId="3">
      <text>
        <r>
          <rPr>
            <b/>
            <sz val="8"/>
            <color indexed="81"/>
            <rFont val="Tahoma"/>
            <family val="2"/>
          </rPr>
          <t>ccampbel:</t>
        </r>
        <r>
          <rPr>
            <sz val="8"/>
            <color indexed="81"/>
            <rFont val="Tahoma"/>
            <family val="2"/>
          </rPr>
          <t xml:space="preserve">
specified in article
</t>
        </r>
      </text>
    </comment>
    <comment ref="W153" authorId="3">
      <text>
        <r>
          <rPr>
            <b/>
            <sz val="8"/>
            <color indexed="81"/>
            <rFont val="Tahoma"/>
            <family val="2"/>
          </rPr>
          <t>ccampbel:</t>
        </r>
        <r>
          <rPr>
            <sz val="8"/>
            <color indexed="81"/>
            <rFont val="Tahoma"/>
            <family val="2"/>
          </rPr>
          <t xml:space="preserve">
282 Cottage St.  springfield MA, but map doesn't show location
</t>
        </r>
      </text>
    </comment>
    <comment ref="B154" authorId="5">
      <text>
        <r>
          <rPr>
            <b/>
            <sz val="9"/>
            <color indexed="81"/>
            <rFont val="Tahoma"/>
            <family val="2"/>
          </rPr>
          <t>Windows User:</t>
        </r>
        <r>
          <rPr>
            <sz val="9"/>
            <color indexed="81"/>
            <rFont val="Tahoma"/>
            <family val="2"/>
          </rPr>
          <t xml:space="preserve">
also referred to as shelby solar farm in kings mountain NC  (Different than the SC site)
</t>
        </r>
      </text>
    </comment>
    <comment ref="W154" authorId="5">
      <text>
        <r>
          <rPr>
            <b/>
            <sz val="9"/>
            <color indexed="81"/>
            <rFont val="Tahoma"/>
            <family val="2"/>
          </rPr>
          <t>Windows User:</t>
        </r>
        <r>
          <rPr>
            <sz val="9"/>
            <color indexed="81"/>
            <rFont val="Tahoma"/>
            <family val="2"/>
          </rPr>
          <t xml:space="preserve">
dixon dairy road in Kings Mountain</t>
        </r>
      </text>
    </comment>
    <comment ref="W155" authorId="3">
      <text>
        <r>
          <rPr>
            <b/>
            <sz val="8"/>
            <color indexed="81"/>
            <rFont val="Tahoma"/>
            <family val="2"/>
          </rPr>
          <t>ccampbel:</t>
        </r>
        <r>
          <rPr>
            <sz val="8"/>
            <color indexed="81"/>
            <rFont val="Tahoma"/>
            <family val="2"/>
          </rPr>
          <t xml:space="preserve">
North of downtown
Not on maps as of 2/2012
</t>
        </r>
      </text>
    </comment>
    <comment ref="B160" authorId="3">
      <text>
        <r>
          <rPr>
            <b/>
            <sz val="8"/>
            <color indexed="81"/>
            <rFont val="Tahoma"/>
            <family val="2"/>
          </rPr>
          <t>ccampbel:</t>
        </r>
        <r>
          <rPr>
            <sz val="8"/>
            <color indexed="81"/>
            <rFont val="Tahoma"/>
            <family val="2"/>
          </rPr>
          <t xml:space="preserve">
information still lacking</t>
        </r>
      </text>
    </comment>
    <comment ref="W166" authorId="5">
      <text>
        <r>
          <rPr>
            <b/>
            <sz val="9"/>
            <color indexed="81"/>
            <rFont val="Tahoma"/>
            <family val="2"/>
          </rPr>
          <t>Windows User:</t>
        </r>
        <r>
          <rPr>
            <sz val="9"/>
            <color indexed="81"/>
            <rFont val="Tahoma"/>
            <family val="2"/>
          </rPr>
          <t xml:space="preserve">
approximate location
</t>
        </r>
      </text>
    </comment>
    <comment ref="W168" authorId="5">
      <text>
        <r>
          <rPr>
            <b/>
            <sz val="9"/>
            <color indexed="81"/>
            <rFont val="Tahoma"/>
            <family val="2"/>
          </rPr>
          <t>Windows User:</t>
        </r>
        <r>
          <rPr>
            <sz val="9"/>
            <color indexed="81"/>
            <rFont val="Tahoma"/>
            <family val="2"/>
          </rPr>
          <t xml:space="preserve">
approximate
</t>
        </r>
      </text>
    </comment>
    <comment ref="B176" authorId="3">
      <text>
        <r>
          <rPr>
            <b/>
            <sz val="8"/>
            <color indexed="81"/>
            <rFont val="Tahoma"/>
            <family val="2"/>
          </rPr>
          <t>ccampbel:</t>
        </r>
        <r>
          <rPr>
            <sz val="8"/>
            <color indexed="81"/>
            <rFont val="Tahoma"/>
            <family val="2"/>
          </rPr>
          <t xml:space="preserve">
Pending financing, since laws allowing passing cost to utility customers wasn't passed.</t>
        </r>
      </text>
    </comment>
    <comment ref="E178" authorId="5">
      <text>
        <r>
          <rPr>
            <b/>
            <sz val="9"/>
            <color indexed="81"/>
            <rFont val="Tahoma"/>
            <family val="2"/>
          </rPr>
          <t>Windows User:</t>
        </r>
        <r>
          <rPr>
            <sz val="9"/>
            <color indexed="81"/>
            <rFont val="Tahoma"/>
            <family val="2"/>
          </rPr>
          <t xml:space="preserve">
may be 50000MWAC</t>
        </r>
      </text>
    </comment>
    <comment ref="G181" authorId="3">
      <text>
        <r>
          <rPr>
            <b/>
            <sz val="8"/>
            <color indexed="81"/>
            <rFont val="Tahoma"/>
            <family val="2"/>
          </rPr>
          <t>ccampbel:</t>
        </r>
        <r>
          <rPr>
            <sz val="8"/>
            <color indexed="81"/>
            <rFont val="Tahoma"/>
            <family val="2"/>
          </rPr>
          <t xml:space="preserve">
how much loaned by DOE
</t>
        </r>
      </text>
    </comment>
    <comment ref="B187" authorId="3">
      <text>
        <r>
          <rPr>
            <b/>
            <sz val="8"/>
            <color indexed="81"/>
            <rFont val="Tahoma"/>
            <family val="2"/>
          </rPr>
          <t>ccampbel:</t>
        </r>
        <r>
          <rPr>
            <sz val="8"/>
            <color indexed="81"/>
            <rFont val="Tahoma"/>
            <family val="2"/>
          </rPr>
          <t xml:space="preserve">
No new information since it was announced. Still on SEIA projects- no name
</t>
        </r>
      </text>
    </comment>
    <comment ref="B188" authorId="3">
      <text>
        <r>
          <rPr>
            <b/>
            <sz val="8"/>
            <color indexed="81"/>
            <rFont val="Tahoma"/>
            <family val="2"/>
          </rPr>
          <t>ccampbel:</t>
        </r>
        <r>
          <rPr>
            <sz val="8"/>
            <color indexed="81"/>
            <rFont val="Tahoma"/>
            <family val="2"/>
          </rPr>
          <t xml:space="preserve">
land use approved by blm.gov.  First phase 175MW, second 100MW</t>
        </r>
      </text>
    </comment>
    <comment ref="E188" authorId="3">
      <text>
        <r>
          <rPr>
            <b/>
            <sz val="8"/>
            <color indexed="81"/>
            <rFont val="Tahoma"/>
            <family val="2"/>
          </rPr>
          <t>ccampbel:</t>
        </r>
        <r>
          <rPr>
            <sz val="8"/>
            <color indexed="81"/>
            <rFont val="Tahoma"/>
            <family val="2"/>
          </rPr>
          <t xml:space="preserve">
BLM documents</t>
        </r>
      </text>
    </comment>
    <comment ref="J188" authorId="3">
      <text>
        <r>
          <rPr>
            <b/>
            <sz val="8"/>
            <color indexed="81"/>
            <rFont val="Tahoma"/>
            <family val="2"/>
          </rPr>
          <t>ccampbel:</t>
        </r>
        <r>
          <rPr>
            <sz val="8"/>
            <color indexed="81"/>
            <rFont val="Tahoma"/>
            <family val="2"/>
          </rPr>
          <t xml:space="preserve">
was 1150 now 2067</t>
        </r>
      </text>
    </comment>
    <comment ref="B189" authorId="5">
      <text>
        <r>
          <rPr>
            <b/>
            <sz val="9"/>
            <color indexed="81"/>
            <rFont val="Tahoma"/>
            <family val="2"/>
          </rPr>
          <t>Windows User:</t>
        </r>
        <r>
          <rPr>
            <sz val="9"/>
            <color indexed="81"/>
            <rFont val="Tahoma"/>
            <family val="2"/>
          </rPr>
          <t xml:space="preserve">
Possibly not one chunk in a single location.  A minimum of 20 farms
</t>
        </r>
      </text>
    </comment>
    <comment ref="B191" authorId="3">
      <text>
        <r>
          <rPr>
            <b/>
            <sz val="8"/>
            <color indexed="81"/>
            <rFont val="Tahoma"/>
            <family val="2"/>
          </rPr>
          <t>ccampbel:</t>
        </r>
        <r>
          <rPr>
            <sz val="8"/>
            <color indexed="81"/>
            <rFont val="Tahoma"/>
            <family val="2"/>
          </rPr>
          <t xml:space="preserve">
construction to begin in 2013
DOD says 440MW on 3288acres</t>
        </r>
      </text>
    </comment>
    <comment ref="E191" authorId="3">
      <text>
        <r>
          <rPr>
            <b/>
            <sz val="8"/>
            <color indexed="81"/>
            <rFont val="Tahoma"/>
            <family val="2"/>
          </rPr>
          <t>ccampbel:</t>
        </r>
        <r>
          <rPr>
            <sz val="8"/>
            <color indexed="81"/>
            <rFont val="Tahoma"/>
            <family val="2"/>
          </rPr>
          <t xml:space="preserve">
stated as both numbers, not specifying ac or dc
</t>
        </r>
      </text>
    </comment>
    <comment ref="B192" authorId="3">
      <text>
        <r>
          <rPr>
            <b/>
            <sz val="8"/>
            <color indexed="81"/>
            <rFont val="Tahoma"/>
            <family val="2"/>
          </rPr>
          <t>ccampbel:</t>
        </r>
        <r>
          <rPr>
            <sz val="8"/>
            <color indexed="81"/>
            <rFont val="Tahoma"/>
            <family val="2"/>
          </rPr>
          <t xml:space="preserve">
this is what the final build size of Mesquite solar should be when all phases completed
</t>
        </r>
      </text>
    </comment>
    <comment ref="AA198" authorId="5">
      <text>
        <r>
          <rPr>
            <b/>
            <sz val="9"/>
            <color indexed="81"/>
            <rFont val="Tahoma"/>
            <family val="2"/>
          </rPr>
          <t>Windows User:</t>
        </r>
        <r>
          <rPr>
            <sz val="9"/>
            <color indexed="81"/>
            <rFont val="Tahoma"/>
            <family val="2"/>
          </rPr>
          <t xml:space="preserve">
power rating of solar field / power rating of turbine</t>
        </r>
      </text>
    </comment>
    <comment ref="C199" authorId="0">
      <text>
        <r>
          <rPr>
            <b/>
            <sz val="8"/>
            <color indexed="81"/>
            <rFont val="Tahoma"/>
            <family val="2"/>
          </rPr>
          <t>Author:</t>
        </r>
        <r>
          <rPr>
            <sz val="8"/>
            <color indexed="81"/>
            <rFont val="Tahoma"/>
            <family val="2"/>
          </rPr>
          <t xml:space="preserve">
1984 - 1990</t>
        </r>
      </text>
    </comment>
    <comment ref="AA199" authorId="4">
      <text>
        <r>
          <rPr>
            <b/>
            <sz val="9"/>
            <color indexed="81"/>
            <rFont val="Tahoma"/>
            <family val="2"/>
          </rPr>
          <t xml:space="preserve">Clinton Campbell:
http://www.nrel.gov/docs/fy10osti/47605.pdf
</t>
        </r>
        <r>
          <rPr>
            <sz val="9"/>
            <color indexed="81"/>
            <rFont val="Tahoma"/>
            <family val="2"/>
          </rPr>
          <t xml:space="preserve">
Without storage, the plant is designed to have a solar multiple of 1.25 (i.e. 25% larger than needed for full plant output at 1000 watts/m2). The purpose of this solar multiple is to provide more mirror area to account for radiation losses when the sun is at lower latitude and when radiation is less than design</t>
        </r>
      </text>
    </comment>
    <comment ref="D201" authorId="4">
      <text>
        <r>
          <rPr>
            <b/>
            <sz val="9"/>
            <color indexed="81"/>
            <rFont val="Tahoma"/>
            <family val="2"/>
          </rPr>
          <t>Clinton Campbell:</t>
        </r>
        <r>
          <rPr>
            <sz val="9"/>
            <color indexed="81"/>
            <rFont val="Tahoma"/>
            <family val="2"/>
          </rPr>
          <t xml:space="preserve">
10% of peak output of total system
</t>
        </r>
      </text>
    </comment>
    <comment ref="AS202" authorId="3">
      <text>
        <r>
          <rPr>
            <b/>
            <sz val="9"/>
            <color indexed="81"/>
            <rFont val="Tahoma"/>
            <charset val="1"/>
          </rPr>
          <t>ccampbel:</t>
        </r>
        <r>
          <rPr>
            <sz val="9"/>
            <color indexed="81"/>
            <rFont val="Tahoma"/>
            <charset val="1"/>
          </rPr>
          <t xml:space="preserve">
http://www.energy.ca.gov/2010publications/CEC-800-2010-011/CEC-800-2010-011-CMF.PDF</t>
        </r>
      </text>
    </comment>
    <comment ref="B203" authorId="1">
      <text>
        <r>
          <rPr>
            <b/>
            <sz val="9"/>
            <color indexed="81"/>
            <rFont val="Tahoma"/>
            <charset val="1"/>
          </rPr>
          <t>Sean Ong:</t>
        </r>
        <r>
          <rPr>
            <sz val="9"/>
            <color indexed="81"/>
            <rFont val="Tahoma"/>
            <charset val="1"/>
          </rPr>
          <t xml:space="preserve">
See the Environmental impact statement PDF page 39 or page 3-26</t>
        </r>
      </text>
    </comment>
    <comment ref="AA203" authorId="4">
      <text>
        <r>
          <rPr>
            <b/>
            <sz val="9"/>
            <color indexed="81"/>
            <rFont val="Tahoma"/>
            <family val="2"/>
          </rPr>
          <t>Clinton Campbell:</t>
        </r>
        <r>
          <rPr>
            <sz val="9"/>
            <color indexed="81"/>
            <rFont val="Tahoma"/>
            <family val="2"/>
          </rPr>
          <t xml:space="preserve">
http://www.nrel.gov/docs/fy10osti/47605.pdf page 9 
With six hours of storage, a solar multiple of 2.0 has been shown by NREL to minimize LCOE under typical conditions</t>
        </r>
      </text>
    </comment>
    <comment ref="AS203" authorId="3">
      <text>
        <r>
          <rPr>
            <b/>
            <sz val="9"/>
            <color indexed="81"/>
            <rFont val="Tahoma"/>
            <charset val="1"/>
          </rPr>
          <t>ccampbel:
944</t>
        </r>
        <r>
          <rPr>
            <sz val="9"/>
            <color indexed="81"/>
            <rFont val="Tahoma"/>
            <charset val="1"/>
          </rPr>
          <t xml:space="preserve">
https://lpo.energy.gov/?projects=abengoa-solar-inc</t>
        </r>
      </text>
    </comment>
    <comment ref="AA204" authorId="4">
      <text>
        <r>
          <rPr>
            <b/>
            <sz val="9"/>
            <color indexed="81"/>
            <rFont val="Tahoma"/>
            <family val="2"/>
          </rPr>
          <t>Clinton Campbell:</t>
        </r>
        <r>
          <rPr>
            <sz val="9"/>
            <color indexed="81"/>
            <rFont val="Tahoma"/>
            <family val="2"/>
          </rPr>
          <t xml:space="preserve">
probably in reality a little higher, like 1.45
</t>
        </r>
      </text>
    </comment>
    <comment ref="AS205" authorId="3">
      <text>
        <r>
          <rPr>
            <b/>
            <sz val="9"/>
            <color indexed="81"/>
            <rFont val="Tahoma"/>
            <charset val="1"/>
          </rPr>
          <t>ccampbel:</t>
        </r>
        <r>
          <rPr>
            <sz val="9"/>
            <color indexed="81"/>
            <rFont val="Tahoma"/>
            <charset val="1"/>
          </rPr>
          <t xml:space="preserve">
http://www.powermag.com/issues/cover_stories/Saguaro-Solar-Power-Plant-Red-Rock-Arizona_468_p2.html</t>
        </r>
      </text>
    </comment>
    <comment ref="B206" authorId="1">
      <text>
        <r>
          <rPr>
            <b/>
            <sz val="9"/>
            <color indexed="81"/>
            <rFont val="Tahoma"/>
            <charset val="1"/>
          </rPr>
          <t>Sean Ong:</t>
        </r>
        <r>
          <rPr>
            <sz val="9"/>
            <color indexed="81"/>
            <rFont val="Tahoma"/>
            <charset val="1"/>
          </rPr>
          <t xml:space="preserve">
See the very bottom of this sheet for the removed site</t>
        </r>
      </text>
    </comment>
    <comment ref="Z206" authorId="5">
      <text>
        <r>
          <rPr>
            <b/>
            <sz val="9"/>
            <color indexed="81"/>
            <rFont val="Tahoma"/>
            <family val="2"/>
          </rPr>
          <t>Windows User:</t>
        </r>
        <r>
          <rPr>
            <sz val="9"/>
            <color indexed="81"/>
            <rFont val="Tahoma"/>
            <family val="2"/>
          </rPr>
          <t xml:space="preserve">
This plant does not use storage, however one of the NREL reports said that APS was considering the possibility of adding 6 hours of storage, suggesting that the plant is designed to be able to handle 6 hours of storage
http://www.nrel.gov/csp/troughnet/pdfs/37077.pdf</t>
        </r>
      </text>
    </comment>
    <comment ref="AS206" authorId="3">
      <text>
        <r>
          <rPr>
            <b/>
            <sz val="9"/>
            <color indexed="81"/>
            <rFont val="Tahoma"/>
            <charset val="1"/>
          </rPr>
          <t>ccampbel:</t>
        </r>
        <r>
          <rPr>
            <sz val="9"/>
            <color indexed="81"/>
            <rFont val="Tahoma"/>
            <charset val="1"/>
          </rPr>
          <t xml:space="preserve">
http://www.powermag.com/issues/cover_stories/Saguaro-Solar-Power-Plant-Red-Rock-Arizona_468_p2.html</t>
        </r>
      </text>
    </comment>
    <comment ref="A207" authorId="4">
      <text>
        <r>
          <rPr>
            <b/>
            <sz val="9"/>
            <color indexed="81"/>
            <rFont val="Tahoma"/>
            <family val="2"/>
          </rPr>
          <t>Clinton Campbell:</t>
        </r>
        <r>
          <rPr>
            <sz val="9"/>
            <color indexed="81"/>
            <rFont val="Tahoma"/>
            <family val="2"/>
          </rPr>
          <t xml:space="preserve">
currently facing issues with kit foxes and ancient human settlement on proposed land</t>
        </r>
      </text>
    </comment>
    <comment ref="AS207" authorId="3">
      <text>
        <r>
          <rPr>
            <b/>
            <sz val="9"/>
            <color indexed="81"/>
            <rFont val="Tahoma"/>
            <charset val="1"/>
          </rPr>
          <t>ccampbel:</t>
        </r>
        <r>
          <rPr>
            <sz val="9"/>
            <color indexed="81"/>
            <rFont val="Tahoma"/>
            <charset val="1"/>
          </rPr>
          <t xml:space="preserve">
http://www.energy.ca.gov/2010publications/CEC-800-2010-011/CEC-800-2010-011-CMF.PDF</t>
        </r>
      </text>
    </comment>
    <comment ref="D208" authorId="4">
      <text>
        <r>
          <rPr>
            <b/>
            <sz val="9"/>
            <color indexed="81"/>
            <rFont val="Tahoma"/>
            <family val="2"/>
          </rPr>
          <t>Clinton Campbell:</t>
        </r>
        <r>
          <rPr>
            <sz val="9"/>
            <color indexed="81"/>
            <rFont val="Tahoma"/>
            <family val="2"/>
          </rPr>
          <t xml:space="preserve">
2.5MW ADDED IN 2010
</t>
        </r>
      </text>
    </comment>
    <comment ref="B209" authorId="4">
      <text>
        <r>
          <rPr>
            <b/>
            <sz val="9"/>
            <color indexed="81"/>
            <rFont val="Tahoma"/>
            <family val="2"/>
          </rPr>
          <t>Clinton Campbell:</t>
        </r>
        <r>
          <rPr>
            <sz val="9"/>
            <color indexed="81"/>
            <rFont val="Tahoma"/>
            <family val="2"/>
          </rPr>
          <t xml:space="preserve">
Currently bankrupt and auctioning off equiptment from site.
</t>
        </r>
      </text>
    </comment>
    <comment ref="I211" authorId="2">
      <text>
        <r>
          <rPr>
            <b/>
            <sz val="8"/>
            <color indexed="81"/>
            <rFont val="Tahoma"/>
            <family val="2"/>
          </rPr>
          <t>song:</t>
        </r>
        <r>
          <rPr>
            <sz val="8"/>
            <color indexed="81"/>
            <rFont val="Tahoma"/>
            <family val="2"/>
          </rPr>
          <t xml:space="preserve">
http://www.energy.ca.gov/sitingcases/ricesolar/documents/applicant/afc/Volume_1/RSEP_0%200_Executive_Summary.pdf
or PDF in source folder
page 4.</t>
        </r>
      </text>
    </comment>
    <comment ref="AS212" authorId="3">
      <text>
        <r>
          <rPr>
            <b/>
            <sz val="9"/>
            <color indexed="81"/>
            <rFont val="Tahoma"/>
            <charset val="1"/>
          </rPr>
          <t>ccampbel:</t>
        </r>
        <r>
          <rPr>
            <sz val="9"/>
            <color indexed="81"/>
            <rFont val="Tahoma"/>
            <charset val="1"/>
          </rPr>
          <t xml:space="preserve">
http://www.csp-world.com/news/20120807/00402/quartzsite-csp-project-be-expedited-obamas-we-cant-wait-initiative</t>
        </r>
      </text>
    </comment>
    <comment ref="AS213" authorId="3">
      <text>
        <r>
          <rPr>
            <b/>
            <sz val="9"/>
            <color indexed="81"/>
            <rFont val="Tahoma"/>
            <charset val="1"/>
          </rPr>
          <t>ccampbel:</t>
        </r>
        <r>
          <rPr>
            <sz val="9"/>
            <color indexed="81"/>
            <rFont val="Tahoma"/>
            <charset val="1"/>
          </rPr>
          <t xml:space="preserve">
http://crossroadssolar.com/project_overview.html
</t>
        </r>
      </text>
    </comment>
    <comment ref="D215" authorId="3">
      <text>
        <r>
          <rPr>
            <b/>
            <sz val="9"/>
            <color indexed="81"/>
            <rFont val="Tahoma"/>
            <charset val="1"/>
          </rPr>
          <t>ccampbel:</t>
        </r>
        <r>
          <rPr>
            <sz val="9"/>
            <color indexed="81"/>
            <rFont val="Tahoma"/>
            <charset val="1"/>
          </rPr>
          <t xml:space="preserve">
2 towers
</t>
        </r>
      </text>
    </comment>
    <comment ref="N215" authorId="4">
      <text>
        <r>
          <rPr>
            <b/>
            <sz val="9"/>
            <color indexed="81"/>
            <rFont val="Tahoma"/>
            <family val="2"/>
          </rPr>
          <t>Clinton Campbell:</t>
        </r>
        <r>
          <rPr>
            <sz val="9"/>
            <color indexed="81"/>
            <rFont val="Tahoma"/>
            <family val="2"/>
          </rPr>
          <t xml:space="preserve">
4300 radius heliostat structure*2+ 80000bldng+5000+5000+11000 = 116277096 sqft 
</t>
        </r>
      </text>
    </comment>
    <comment ref="AS215" authorId="3">
      <text>
        <r>
          <rPr>
            <b/>
            <sz val="9"/>
            <color indexed="81"/>
            <rFont val="Tahoma"/>
            <charset val="1"/>
          </rPr>
          <t>ccampbel:</t>
        </r>
        <r>
          <rPr>
            <sz val="9"/>
            <color indexed="81"/>
            <rFont val="Tahoma"/>
            <charset val="1"/>
          </rPr>
          <t xml:space="preserve">
900 or 1000
</t>
        </r>
      </text>
    </comment>
    <comment ref="D216" authorId="3">
      <text>
        <r>
          <rPr>
            <b/>
            <sz val="9"/>
            <color indexed="81"/>
            <rFont val="Tahoma"/>
            <charset val="1"/>
          </rPr>
          <t>ccampbel:</t>
        </r>
        <r>
          <rPr>
            <sz val="9"/>
            <color indexed="81"/>
            <rFont val="Tahoma"/>
            <charset val="1"/>
          </rPr>
          <t xml:space="preserve">
2 towers
</t>
        </r>
      </text>
    </comment>
    <comment ref="AS217" authorId="3">
      <text>
        <r>
          <rPr>
            <b/>
            <sz val="9"/>
            <color indexed="81"/>
            <rFont val="Tahoma"/>
            <charset val="1"/>
          </rPr>
          <t>ccampbel:</t>
        </r>
        <r>
          <rPr>
            <sz val="9"/>
            <color indexed="81"/>
            <rFont val="Tahoma"/>
            <charset val="1"/>
          </rPr>
          <t xml:space="preserve">
http://www.energy.ca.gov/sitingcases/hiddenhills/documents/applicant/2011-10-05_Letter_from_Applicant_Regarding_Air_Quality_TN-62518.pdf
716MWh Gross *.87</t>
        </r>
      </text>
    </comment>
    <comment ref="AS219" authorId="3">
      <text>
        <r>
          <rPr>
            <b/>
            <sz val="9"/>
            <color indexed="81"/>
            <rFont val="Tahoma"/>
            <charset val="1"/>
          </rPr>
          <t>ccampbel:</t>
        </r>
        <r>
          <rPr>
            <sz val="9"/>
            <color indexed="81"/>
            <rFont val="Tahoma"/>
            <charset val="1"/>
          </rPr>
          <t xml:space="preserve">
http://www.downstreamtoday.com/news/article.aspx?a_id=37681
</t>
        </r>
      </text>
    </comment>
    <comment ref="B222" authorId="4">
      <text>
        <r>
          <rPr>
            <b/>
            <sz val="9"/>
            <color indexed="81"/>
            <rFont val="Tahoma"/>
            <family val="2"/>
          </rPr>
          <t>Clinton Campbell:</t>
        </r>
        <r>
          <rPr>
            <sz val="9"/>
            <color indexed="81"/>
            <rFont val="Tahoma"/>
            <family val="2"/>
          </rPr>
          <t xml:space="preserve">
actually used as heat for oil refining and drilling.  13MWe, 29MWT
</t>
        </r>
      </text>
    </comment>
    <comment ref="I222" authorId="4">
      <text>
        <r>
          <rPr>
            <b/>
            <sz val="9"/>
            <color indexed="81"/>
            <rFont val="Tahoma"/>
            <family val="2"/>
          </rPr>
          <t>Clinton Campbell:</t>
        </r>
        <r>
          <rPr>
            <sz val="9"/>
            <color indexed="81"/>
            <rFont val="Tahoma"/>
            <family val="2"/>
          </rPr>
          <t xml:space="preserve">
Stated as 100 acres. Measured 86</t>
        </r>
      </text>
    </comment>
    <comment ref="D223" authorId="3">
      <text>
        <r>
          <rPr>
            <b/>
            <sz val="9"/>
            <color indexed="81"/>
            <rFont val="Tahoma"/>
            <charset val="1"/>
          </rPr>
          <t>ccampbel:</t>
        </r>
        <r>
          <rPr>
            <sz val="9"/>
            <color indexed="81"/>
            <rFont val="Tahoma"/>
            <charset val="1"/>
          </rPr>
          <t xml:space="preserve">
3 towers</t>
        </r>
      </text>
    </comment>
    <comment ref="AS223" authorId="3">
      <text>
        <r>
          <rPr>
            <b/>
            <sz val="9"/>
            <color indexed="81"/>
            <rFont val="Tahoma"/>
            <charset val="1"/>
          </rPr>
          <t>ccampbel:</t>
        </r>
        <r>
          <rPr>
            <sz val="9"/>
            <color indexed="81"/>
            <rFont val="Tahoma"/>
            <charset val="1"/>
          </rPr>
          <t xml:space="preserve">
http://www.ecc-conference.org/past-conferences/2012/BrightSource_ECC_Presentation_combined.pdf</t>
        </r>
      </text>
    </comment>
  </commentList>
</comments>
</file>

<file path=xl/sharedStrings.xml><?xml version="1.0" encoding="utf-8"?>
<sst xmlns="http://schemas.openxmlformats.org/spreadsheetml/2006/main" count="14061" uniqueCount="1182">
  <si>
    <t>State</t>
  </si>
  <si>
    <t>Name</t>
  </si>
  <si>
    <t>Year completed</t>
  </si>
  <si>
    <t>CO</t>
  </si>
  <si>
    <t>Denver Federal Center Solar Park</t>
  </si>
  <si>
    <t>cost (million)</t>
  </si>
  <si>
    <t>number of panels</t>
  </si>
  <si>
    <t>Owner</t>
  </si>
  <si>
    <t>SunEdison</t>
  </si>
  <si>
    <t>Physical Area</t>
  </si>
  <si>
    <t>Acres</t>
  </si>
  <si>
    <t>km²</t>
  </si>
  <si>
    <t>hectares</t>
  </si>
  <si>
    <t>Total Area</t>
  </si>
  <si>
    <t>hect/MW</t>
  </si>
  <si>
    <t>Lat</t>
  </si>
  <si>
    <t>Long</t>
  </si>
  <si>
    <t>Status</t>
  </si>
  <si>
    <t>source</t>
  </si>
  <si>
    <t>Official paperwork, news</t>
  </si>
  <si>
    <t>Type</t>
  </si>
  <si>
    <t>1 axis</t>
  </si>
  <si>
    <t>MW/km²</t>
  </si>
  <si>
    <t>Buckley AFB</t>
  </si>
  <si>
    <t>proposed</t>
  </si>
  <si>
    <t>SolSource?</t>
  </si>
  <si>
    <t>CA</t>
  </si>
  <si>
    <t>SEGS (all)</t>
  </si>
  <si>
    <t>N/A</t>
  </si>
  <si>
    <t>completed</t>
  </si>
  <si>
    <t>satellite imagery, web sources</t>
  </si>
  <si>
    <t>NREL Mesa Top PV Project</t>
  </si>
  <si>
    <t>NREL NWTC Project</t>
  </si>
  <si>
    <t>sunEdison</t>
  </si>
  <si>
    <t>official paperwork</t>
  </si>
  <si>
    <t>AZ</t>
  </si>
  <si>
    <t>Springerville</t>
  </si>
  <si>
    <t>Tuscon EP</t>
  </si>
  <si>
    <t>Alamosa WTF</t>
  </si>
  <si>
    <t>official paperwork, sunedison website</t>
  </si>
  <si>
    <t>Alamosa (2)</t>
  </si>
  <si>
    <t>Alamosa (1)</t>
  </si>
  <si>
    <t>Alamosa (3)</t>
  </si>
  <si>
    <t>Rifle Pump Station</t>
  </si>
  <si>
    <t>Rifle WWRF</t>
  </si>
  <si>
    <t>Arvada Ralston Water Treatment Plant</t>
  </si>
  <si>
    <t>Ironwood State Prison</t>
  </si>
  <si>
    <t>NC</t>
  </si>
  <si>
    <t>Progress Energy</t>
  </si>
  <si>
    <t>Budwiser</t>
  </si>
  <si>
    <t>Chuckawalla state prison</t>
  </si>
  <si>
    <t>official paperwork, CA gov website</t>
  </si>
  <si>
    <t>Walmart Apple Valley</t>
  </si>
  <si>
    <t>official paperwork, news</t>
  </si>
  <si>
    <t>MW/km2</t>
  </si>
  <si>
    <t>MW</t>
  </si>
  <si>
    <t>Number of installations</t>
  </si>
  <si>
    <t>1 axis total area</t>
  </si>
  <si>
    <t>for counting</t>
  </si>
  <si>
    <t>1 axis physical area</t>
  </si>
  <si>
    <t>Completed</t>
  </si>
  <si>
    <t>Number of Installations</t>
  </si>
  <si>
    <t>kW - AC</t>
  </si>
  <si>
    <t>kW - DC</t>
  </si>
  <si>
    <t>Module Efficiency</t>
  </si>
  <si>
    <t>Technology</t>
  </si>
  <si>
    <t>HIT</t>
  </si>
  <si>
    <t>ribbon</t>
  </si>
  <si>
    <t>Module Model</t>
  </si>
  <si>
    <t>SANYO HIP 190BA3</t>
  </si>
  <si>
    <t>Evergreen Solar ES-195</t>
  </si>
  <si>
    <t>SUNTECH 270</t>
  </si>
  <si>
    <t>SOLON MOVER XL ECO</t>
  </si>
  <si>
    <t>SUNTECH STP170S-24AB-1</t>
  </si>
  <si>
    <t>SUNTECH 270s/280S</t>
  </si>
  <si>
    <t>SANYO HIT 190 BA 19</t>
  </si>
  <si>
    <t>Evergreen Solar ES-190-SL</t>
  </si>
  <si>
    <t>KYOCERA KD205GX-LP (and 210)</t>
  </si>
  <si>
    <t>KYOCERA KD205GX-LP</t>
  </si>
  <si>
    <t>EVERGREEN 190-SL</t>
  </si>
  <si>
    <t>fact sheets, areal imagery</t>
  </si>
  <si>
    <t>multiple</t>
  </si>
  <si>
    <t>SolarWorld AG Sunmodule SW 230 mono</t>
  </si>
  <si>
    <t>KYOCERA KC200GT</t>
  </si>
  <si>
    <t>fixed axis total area</t>
  </si>
  <si>
    <t>fixed axis physical area</t>
  </si>
  <si>
    <t>Type 2</t>
  </si>
  <si>
    <t>20° S</t>
  </si>
  <si>
    <t>34° S</t>
  </si>
  <si>
    <t>35° 10 ES</t>
  </si>
  <si>
    <t>Seasonal Adjust</t>
  </si>
  <si>
    <t>fixed</t>
  </si>
  <si>
    <t>Width of array/(width of array + width of spacing between arrays)</t>
  </si>
  <si>
    <t>Shape</t>
  </si>
  <si>
    <t>R</t>
  </si>
  <si>
    <t>I</t>
  </si>
  <si>
    <t>P</t>
  </si>
  <si>
    <t>Apprx Array Area (H/MW)</t>
  </si>
  <si>
    <t>Solar Two</t>
  </si>
  <si>
    <t>Tower</t>
  </si>
  <si>
    <t>Decommissioned</t>
  </si>
  <si>
    <t>Desert Sunlight</t>
  </si>
  <si>
    <t>First Solar</t>
  </si>
  <si>
    <t>Lucerene Valley Solar</t>
  </si>
  <si>
    <t>Chevron Energy Solutions</t>
  </si>
  <si>
    <t>20 to 25 S</t>
  </si>
  <si>
    <t>p</t>
  </si>
  <si>
    <t>NV</t>
  </si>
  <si>
    <t>Boulder City</t>
  </si>
  <si>
    <t>construction</t>
  </si>
  <si>
    <t>fact sheets</t>
  </si>
  <si>
    <t>Sonoran Solar</t>
  </si>
  <si>
    <t>Parabolic Trough</t>
  </si>
  <si>
    <t>Parabolic trough</t>
  </si>
  <si>
    <t>Stirling Engine</t>
  </si>
  <si>
    <t>Solar Millennium 3 (ridgecrest)</t>
  </si>
  <si>
    <t>Calico Solar</t>
  </si>
  <si>
    <t>AV Solar Ranch One</t>
  </si>
  <si>
    <t>Large Projects</t>
  </si>
  <si>
    <t>Number of Projects</t>
  </si>
  <si>
    <t>Distributed Wholesale PV</t>
  </si>
  <si>
    <t>Central PV</t>
  </si>
  <si>
    <t>CSP</t>
  </si>
  <si>
    <t>Average Total Area Requirements (Hectares/MW)</t>
  </si>
  <si>
    <t>Average Direct Area Requirements (Hectares/MW)</t>
  </si>
  <si>
    <t>news, factsheets</t>
  </si>
  <si>
    <t>Reported Total Area (km2)</t>
  </si>
  <si>
    <t>Reported Direct Area (km2)</t>
  </si>
  <si>
    <t>Total Capacity (MW-DC)</t>
  </si>
  <si>
    <t>Distributed PV</t>
  </si>
  <si>
    <t>Fixed Tilt</t>
  </si>
  <si>
    <t>1 Axis Tracking</t>
  </si>
  <si>
    <t>2 Axis Tracking</t>
  </si>
  <si>
    <t>% of capacity</t>
  </si>
  <si>
    <t>Max</t>
  </si>
  <si>
    <t>Min</t>
  </si>
  <si>
    <t>SD</t>
  </si>
  <si>
    <t>W. Average</t>
  </si>
  <si>
    <t>Fixed</t>
  </si>
  <si>
    <t>2 axis</t>
  </si>
  <si>
    <t>Dish Stirling</t>
  </si>
  <si>
    <t>Nellis AFB</t>
  </si>
  <si>
    <t>DIA Solar 1 (Pena Blvd)</t>
  </si>
  <si>
    <t>DIA Solar 2 (Fuel Farm)</t>
  </si>
  <si>
    <t>DIA Solar 3</t>
  </si>
  <si>
    <t>Ft Carson</t>
  </si>
  <si>
    <t>first solar</t>
  </si>
  <si>
    <t>official document</t>
  </si>
  <si>
    <t>FL</t>
  </si>
  <si>
    <t>DeSoto</t>
  </si>
  <si>
    <t>sun power</t>
  </si>
  <si>
    <t>Florida Power and Light</t>
  </si>
  <si>
    <t>Space Coast</t>
  </si>
  <si>
    <t>flordia power and light</t>
  </si>
  <si>
    <t>NASA PV</t>
  </si>
  <si>
    <t>NASA</t>
  </si>
  <si>
    <t>CSU 2MW</t>
  </si>
  <si>
    <t>news</t>
  </si>
  <si>
    <t>CSU Pueblo 1.2MW</t>
  </si>
  <si>
    <t>Renewable Ventures</t>
  </si>
  <si>
    <t>NM</t>
  </si>
  <si>
    <t>Elephant Butte</t>
  </si>
  <si>
    <t>BP</t>
  </si>
  <si>
    <t>Newberry Springs</t>
  </si>
  <si>
    <t>Solutions for Utilities</t>
  </si>
  <si>
    <t>Johnson Utilities</t>
  </si>
  <si>
    <t>The North Face</t>
  </si>
  <si>
    <t>Recurrent Energy</t>
  </si>
  <si>
    <t>PA</t>
  </si>
  <si>
    <t>Pocono Raceway</t>
  </si>
  <si>
    <t>enXco</t>
  </si>
  <si>
    <t>NJ</t>
  </si>
  <si>
    <t>Upper Pittsgrove</t>
  </si>
  <si>
    <t>CALRENEW-1</t>
  </si>
  <si>
    <t>Sharp</t>
  </si>
  <si>
    <t>APS</t>
  </si>
  <si>
    <t>Amonix 7700</t>
  </si>
  <si>
    <t>multijunction</t>
  </si>
  <si>
    <t>Exelon Conergy</t>
  </si>
  <si>
    <t>Conergy</t>
  </si>
  <si>
    <t>IL</t>
  </si>
  <si>
    <t>Exelon City Solar</t>
  </si>
  <si>
    <t>Vineland</t>
  </si>
  <si>
    <t>25 S</t>
  </si>
  <si>
    <t>FSE Blythe</t>
  </si>
  <si>
    <t>El Dorado Solar</t>
  </si>
  <si>
    <t>Sempra</t>
  </si>
  <si>
    <t>Copper Mountain</t>
  </si>
  <si>
    <t>Davidson County Solar</t>
  </si>
  <si>
    <t>sunedison</t>
  </si>
  <si>
    <t>TX</t>
  </si>
  <si>
    <t>Blue Wing Solar</t>
  </si>
  <si>
    <t>juwi</t>
  </si>
  <si>
    <t>Edwards AFB</t>
  </si>
  <si>
    <t>fotowatio</t>
  </si>
  <si>
    <t>Jacksonville Solar</t>
  </si>
  <si>
    <t>OH</t>
  </si>
  <si>
    <t>Wyandot Solar</t>
  </si>
  <si>
    <t>Mars Solar Garden</t>
  </si>
  <si>
    <t>PSEG</t>
  </si>
  <si>
    <t>First Solar FS-2</t>
  </si>
  <si>
    <t>Guadalupe Solar</t>
  </si>
  <si>
    <t>GA Solar</t>
  </si>
  <si>
    <t>unknown</t>
  </si>
  <si>
    <t>Cimarron</t>
  </si>
  <si>
    <t>Centinela Solar</t>
  </si>
  <si>
    <t>LS Power</t>
  </si>
  <si>
    <t>Fish Springs</t>
  </si>
  <si>
    <t>Signet S1-396</t>
  </si>
  <si>
    <t>30 S</t>
  </si>
  <si>
    <t>Grand total</t>
  </si>
  <si>
    <t>total distributed PV projects</t>
  </si>
  <si>
    <t>Total MW</t>
  </si>
  <si>
    <t>Undetermined</t>
  </si>
  <si>
    <t>Hect/MW</t>
  </si>
  <si>
    <t>Fixed total area</t>
  </si>
  <si>
    <t>amorphous</t>
  </si>
  <si>
    <t>proposed MW</t>
  </si>
  <si>
    <t>construction MW</t>
  </si>
  <si>
    <t>Projects with Direct Impact Area listed</t>
  </si>
  <si>
    <t>Projects with Total Area</t>
  </si>
  <si>
    <t>CSP Technology</t>
  </si>
  <si>
    <t>PV Technology</t>
  </si>
  <si>
    <t>Data Type</t>
  </si>
  <si>
    <t>Direct Impact Area</t>
  </si>
  <si>
    <t>PV</t>
  </si>
  <si>
    <t>Number of Projects with Corresponding Data</t>
  </si>
  <si>
    <r>
      <t>Total Reported Area (km</t>
    </r>
    <r>
      <rPr>
        <b/>
        <vertAlign val="superscript"/>
        <sz val="10"/>
        <color theme="1"/>
        <rFont val="Arial"/>
        <family val="2"/>
      </rPr>
      <t>2</t>
    </r>
    <r>
      <rPr>
        <b/>
        <sz val="10"/>
        <color theme="1"/>
        <rFont val="Arial"/>
        <family val="2"/>
      </rPr>
      <t>)</t>
    </r>
  </si>
  <si>
    <t>Average Area Requirements (hectare/MW)</t>
  </si>
  <si>
    <t>All large scale</t>
  </si>
  <si>
    <t>All small scale</t>
  </si>
  <si>
    <t>All PV</t>
  </si>
  <si>
    <t>Factor</t>
  </si>
  <si>
    <t>dist</t>
  </si>
  <si>
    <t>central</t>
  </si>
  <si>
    <t>weighted total</t>
  </si>
  <si>
    <t>DC to AC weighted average factor</t>
  </si>
  <si>
    <t>Total Capacity (MW-AC)</t>
  </si>
  <si>
    <t>Total Capacity (MW AC) with Corresponding Data</t>
  </si>
  <si>
    <t>Acres/MW</t>
  </si>
  <si>
    <t>Hectares/MW</t>
  </si>
  <si>
    <t>&lt; 20 MW</t>
  </si>
  <si>
    <t>1 Axis</t>
  </si>
  <si>
    <t>2 Axis</t>
  </si>
  <si>
    <t>&gt;= 20 MW</t>
  </si>
  <si>
    <t>TBD</t>
  </si>
  <si>
    <t>Total</t>
  </si>
  <si>
    <t>Installations</t>
  </si>
  <si>
    <t>Unknown</t>
  </si>
  <si>
    <t>Direct Area</t>
  </si>
  <si>
    <t>total area</t>
  </si>
  <si>
    <t>Source Category</t>
  </si>
  <si>
    <t>Developer</t>
  </si>
  <si>
    <t>SunTech</t>
  </si>
  <si>
    <t>Trina Solar</t>
  </si>
  <si>
    <t> -120.365853</t>
  </si>
  <si>
    <t> -81.95539</t>
  </si>
  <si>
    <t>All CSP</t>
  </si>
  <si>
    <t>Maricopa Solar Project</t>
  </si>
  <si>
    <t>number of collectors</t>
  </si>
  <si>
    <t>NREL</t>
  </si>
  <si>
    <t>Saguaro Power Plant</t>
  </si>
  <si>
    <t>parabolic trough</t>
  </si>
  <si>
    <t>Storage (hours)</t>
  </si>
  <si>
    <t>Solana</t>
  </si>
  <si>
    <t>eSolar</t>
  </si>
  <si>
    <t>Sierra SunTower</t>
  </si>
  <si>
    <t> -118.138384</t>
  </si>
  <si>
    <t>Solar Millennium 4 (Blythe Solar Power Project)</t>
  </si>
  <si>
    <t>news, factsheets, NREL</t>
  </si>
  <si>
    <t>Ford Dry Lake (Genesis)</t>
  </si>
  <si>
    <t>Imperial Valley Solar Two</t>
  </si>
  <si>
    <t>Martin Next Generation</t>
  </si>
  <si>
    <t>FPL</t>
  </si>
  <si>
    <t>NREL, factsheets</t>
  </si>
  <si>
    <t>Tonopah (Crescent Dunes)</t>
  </si>
  <si>
    <t>Nevada Solar One</t>
  </si>
  <si>
    <t>Acciona</t>
  </si>
  <si>
    <t>Solar Millennium 5 (Amargosa)</t>
  </si>
  <si>
    <t>Solar Millennium 6 (Palen)</t>
  </si>
  <si>
    <t>Rice Solar</t>
  </si>
  <si>
    <t>SolarReserve</t>
  </si>
  <si>
    <t>Imports Crystalline Si</t>
  </si>
  <si>
    <t>Fixed (MW)</t>
  </si>
  <si>
    <t>1 Axis (MW)</t>
  </si>
  <si>
    <t>2 Axis (MW)</t>
  </si>
  <si>
    <t>Fixed (Projects)</t>
  </si>
  <si>
    <t>1 Axis (Projects)</t>
  </si>
  <si>
    <t>2 Axis (Projects)</t>
  </si>
  <si>
    <t>These have been scaled by 5 to make it look right in the chart!!!!</t>
  </si>
  <si>
    <t>Configuration</t>
  </si>
  <si>
    <t>Rectangular</t>
  </si>
  <si>
    <t>Irregular</t>
  </si>
  <si>
    <t>Polygon</t>
  </si>
  <si>
    <t>Trough</t>
  </si>
  <si>
    <t>Small PV</t>
  </si>
  <si>
    <t>Large PV</t>
  </si>
  <si>
    <t>NREL, official documents</t>
  </si>
  <si>
    <t>AeroJet Solar Project</t>
  </si>
  <si>
    <t>SPI 205W</t>
  </si>
  <si>
    <t>2 - 2.5</t>
  </si>
  <si>
    <t>2.5 - 3</t>
  </si>
  <si>
    <t>3 - 3.5</t>
  </si>
  <si>
    <t>3.5 - 4</t>
  </si>
  <si>
    <t>4 - 4.5</t>
  </si>
  <si>
    <t>&gt;4.5</t>
  </si>
  <si>
    <t>&lt;4</t>
  </si>
  <si>
    <t>4 - 5</t>
  </si>
  <si>
    <t>5 - 6</t>
  </si>
  <si>
    <t>6 - 7</t>
  </si>
  <si>
    <t>7 - 8</t>
  </si>
  <si>
    <t>&gt;8</t>
  </si>
  <si>
    <t>Region</t>
  </si>
  <si>
    <t>No. CA</t>
  </si>
  <si>
    <t>So. CA</t>
  </si>
  <si>
    <t>-</t>
  </si>
  <si>
    <t>SAM runs (annual kwh per kw)</t>
  </si>
  <si>
    <t>San Francicsco</t>
  </si>
  <si>
    <t>San Diego</t>
  </si>
  <si>
    <t>Alamosa</t>
  </si>
  <si>
    <t>Phoenix</t>
  </si>
  <si>
    <t>Jacksonville</t>
  </si>
  <si>
    <t>Newark</t>
  </si>
  <si>
    <t>Hectares/GWh</t>
  </si>
  <si>
    <t>% Increase in area/ unit energy</t>
  </si>
  <si>
    <t>Small PV - Total Area</t>
  </si>
  <si>
    <t>1 axis vs fixed</t>
  </si>
  <si>
    <t>2 axis vs 1 axis</t>
  </si>
  <si>
    <t>2 axis vs fixed</t>
  </si>
  <si>
    <t>Packing Factor</t>
  </si>
  <si>
    <t>thin film projects</t>
  </si>
  <si>
    <t>total</t>
  </si>
  <si>
    <t>NY</t>
  </si>
  <si>
    <t>Brookhaven Lab</t>
  </si>
  <si>
    <t>official paperwork, factsheets</t>
  </si>
  <si>
    <t>BP 3220 N</t>
  </si>
  <si>
    <t>physical area as % of total area</t>
  </si>
  <si>
    <t>Small PV - Direct Area</t>
  </si>
  <si>
    <t>kW</t>
  </si>
  <si>
    <t>physical</t>
  </si>
  <si>
    <t>Weighted StDev</t>
  </si>
  <si>
    <t>acres/MW</t>
  </si>
  <si>
    <t>Construction</t>
  </si>
  <si>
    <t>extra land for additional phases?</t>
  </si>
  <si>
    <t>Capacity Density (MW/km2)</t>
  </si>
  <si>
    <t>Direct</t>
  </si>
  <si>
    <t>SD total</t>
  </si>
  <si>
    <t>SD Direct</t>
  </si>
  <si>
    <t>Weighted Average</t>
  </si>
  <si>
    <t>with silver state removed</t>
  </si>
  <si>
    <t>Efficiency</t>
  </si>
  <si>
    <t>Source</t>
  </si>
  <si>
    <t>Third Party</t>
  </si>
  <si>
    <t>Application</t>
  </si>
  <si>
    <t>Kimberlina</t>
  </si>
  <si>
    <t>Linear Fresnel</t>
  </si>
  <si>
    <t>Solar Multiple</t>
  </si>
  <si>
    <t> -119.20180</t>
  </si>
  <si>
    <t>news, factsheets, imagery</t>
  </si>
  <si>
    <t>Solargenix</t>
  </si>
  <si>
    <t>NextEra Beacon Solar</t>
  </si>
  <si>
    <t>California Valley Solar Ranch</t>
  </si>
  <si>
    <t>Exelon</t>
  </si>
  <si>
    <t>abandoned</t>
  </si>
  <si>
    <t>BP Solar</t>
  </si>
  <si>
    <t>Fotowatio Renewable Ventures</t>
  </si>
  <si>
    <t>thin film</t>
  </si>
  <si>
    <t xml:space="preserve">FS-272 72.5 </t>
  </si>
  <si>
    <t>Silver State Solar North</t>
  </si>
  <si>
    <t>Silver State Solar South</t>
  </si>
  <si>
    <t>25 0degSW</t>
  </si>
  <si>
    <t xml:space="preserve">I </t>
  </si>
  <si>
    <t>Sun Power</t>
  </si>
  <si>
    <t xml:space="preserve">FS Series 3 PV Module </t>
  </si>
  <si>
    <t>Atlantic Green Power</t>
  </si>
  <si>
    <t>sempra</t>
  </si>
  <si>
    <t>Babcock Ranch Solar</t>
  </si>
  <si>
    <t>kitson and partners</t>
  </si>
  <si>
    <t>Tuusso Energy antelope plant</t>
  </si>
  <si>
    <t>Janssen Pharmaceutical</t>
  </si>
  <si>
    <t>third party</t>
  </si>
  <si>
    <t>Johnson and Johnson</t>
  </si>
  <si>
    <t>Sunset Reservoir</t>
  </si>
  <si>
    <t>Albuquerque Solar Center</t>
  </si>
  <si>
    <t>Las Vegas Solar Center</t>
  </si>
  <si>
    <t>developer</t>
  </si>
  <si>
    <t>Alamogordo Solar Center</t>
  </si>
  <si>
    <t>PNM First Solar</t>
  </si>
  <si>
    <t>Greater Sand Hill Solar Plant</t>
  </si>
  <si>
    <t>SunPower</t>
  </si>
  <si>
    <r>
      <t>SunPower</t>
    </r>
    <r>
      <rPr>
        <vertAlign val="superscript"/>
        <sz val="11"/>
        <color theme="1"/>
        <rFont val="Calibri"/>
        <family val="2"/>
        <scheme val="minor"/>
      </rPr>
      <t>®</t>
    </r>
    <r>
      <rPr>
        <sz val="11"/>
        <color theme="1"/>
        <rFont val="Calibri"/>
        <family val="2"/>
        <scheme val="minor"/>
      </rPr>
      <t xml:space="preserve"> T20 Tracker</t>
    </r>
  </si>
  <si>
    <t>mono</t>
  </si>
  <si>
    <t>San Luis Valley Solar Ranch</t>
  </si>
  <si>
    <t>sunpower 320W</t>
  </si>
  <si>
    <t>FactSheet</t>
  </si>
  <si>
    <t>Mesquite Solar 1</t>
  </si>
  <si>
    <t>Mesquite Solar Total</t>
  </si>
  <si>
    <t>Factsheet, DOE, News</t>
  </si>
  <si>
    <t>Owner/Gov</t>
  </si>
  <si>
    <t>poly</t>
  </si>
  <si>
    <t>suntech Utility line</t>
  </si>
  <si>
    <t>Avenal SunCity SandDrag Avenal Park</t>
  </si>
  <si>
    <t>sharp 128W</t>
  </si>
  <si>
    <t>ibedrola/sunpower</t>
  </si>
  <si>
    <t>Euros/NRG</t>
  </si>
  <si>
    <t>Factsheed,News</t>
  </si>
  <si>
    <t>Blairsville</t>
  </si>
  <si>
    <t>GA</t>
  </si>
  <si>
    <t>ESA Renewables</t>
  </si>
  <si>
    <t>suniva</t>
  </si>
  <si>
    <t>Bowling Greens Solar Farm</t>
  </si>
  <si>
    <t>Star Harvest</t>
  </si>
  <si>
    <t>280W</t>
  </si>
  <si>
    <t>KY</t>
  </si>
  <si>
    <t>SAS solar farm 1 and 2</t>
  </si>
  <si>
    <t>SAS</t>
  </si>
  <si>
    <t>200W Sanyo and 230W Canadian Solar</t>
  </si>
  <si>
    <t>Factsheet</t>
  </si>
  <si>
    <t>Inlands Empire Utility</t>
  </si>
  <si>
    <t>Inlands Empire Utility Solar Farm</t>
  </si>
  <si>
    <t>factsheet,news</t>
  </si>
  <si>
    <t>sunpower</t>
  </si>
  <si>
    <t>Air force Academy CO springs</t>
  </si>
  <si>
    <t>Fish Springs Ranch</t>
  </si>
  <si>
    <t>C A</t>
  </si>
  <si>
    <t xml:space="preserve">Western Riverside County Regional Wastewater Authority </t>
  </si>
  <si>
    <t>T20</t>
  </si>
  <si>
    <t>News/Factsheet</t>
  </si>
  <si>
    <t>PNM/First Solar</t>
  </si>
  <si>
    <t>DE</t>
  </si>
  <si>
    <t>Dover Sun Park</t>
  </si>
  <si>
    <t>sunpower e-20/327</t>
  </si>
  <si>
    <t>LS power/sunpower</t>
  </si>
  <si>
    <t>News</t>
  </si>
  <si>
    <t>Silver Lake Solar Farm</t>
  </si>
  <si>
    <t>Yardville Solar Farm</t>
  </si>
  <si>
    <t>Linden Solar Farm</t>
  </si>
  <si>
    <t>Trenton Solar Farm</t>
  </si>
  <si>
    <t>PSE&amp;G</t>
  </si>
  <si>
    <t>Sharp NU-235F1 &amp; ND-224UC1</t>
  </si>
  <si>
    <t>Suntech 275-watt</t>
  </si>
  <si>
    <t>NJMC landfill</t>
  </si>
  <si>
    <t>next to linden generating station</t>
  </si>
  <si>
    <t>Sundurance energy</t>
  </si>
  <si>
    <t>owner</t>
  </si>
  <si>
    <t>Nichols Farms</t>
  </si>
  <si>
    <t>8.8 kilowatt SolFocus SF-1100S CPV</t>
  </si>
  <si>
    <t>Hatch Solar Center</t>
  </si>
  <si>
    <t xml:space="preserve">NextEra Energy Resources </t>
  </si>
  <si>
    <t>amonix 60KW modules</t>
  </si>
  <si>
    <t>news/factsheet</t>
  </si>
  <si>
    <t>Hayward Wastewater</t>
  </si>
  <si>
    <t>REC</t>
  </si>
  <si>
    <t>rec 225PE</t>
  </si>
  <si>
    <t>Kent County Waste water</t>
  </si>
  <si>
    <t>Kent County Waste</t>
  </si>
  <si>
    <t>SunEdison 1 Carlsbad</t>
  </si>
  <si>
    <t>SunEdison 2 Jal</t>
  </si>
  <si>
    <t>SunEdison 3 Jal</t>
  </si>
  <si>
    <t>SunEdison 4 Eunice</t>
  </si>
  <si>
    <t>SunEdison 5 Monument</t>
  </si>
  <si>
    <t>Deming solar energy center</t>
  </si>
  <si>
    <t>First Solar/PNM</t>
  </si>
  <si>
    <t>24 tilt</t>
  </si>
  <si>
    <t>memc</t>
  </si>
  <si>
    <t>NM Hwy 176 Eunice, NM</t>
  </si>
  <si>
    <t>Maddox Rd, Monument, NM</t>
  </si>
  <si>
    <t>City of Madera waste</t>
  </si>
  <si>
    <t>REC 220PE</t>
  </si>
  <si>
    <t>REC 235-W</t>
  </si>
  <si>
    <t xml:space="preserve">completed </t>
  </si>
  <si>
    <t>Mayberry/Mt Airy Solar Farm</t>
  </si>
  <si>
    <t>O2 energies</t>
  </si>
  <si>
    <t>rancho california</t>
  </si>
  <si>
    <t>T-20 tracker</t>
  </si>
  <si>
    <t>factsheet</t>
  </si>
  <si>
    <t>HI</t>
  </si>
  <si>
    <t>Kopolei Sustainable Energy Park</t>
  </si>
  <si>
    <t>Forest City HI</t>
  </si>
  <si>
    <t xml:space="preserve">tianwei P72 EA2 Series
</t>
  </si>
  <si>
    <t>Stanton  Energy Center</t>
  </si>
  <si>
    <t>Regenesis power LLC</t>
  </si>
  <si>
    <t>Pilesgrove Project</t>
  </si>
  <si>
    <t>suntech 280W</t>
  </si>
  <si>
    <t>Pilesgrove Solar llc</t>
  </si>
  <si>
    <t>Copper Crossing Solar Ranch</t>
  </si>
  <si>
    <t>T0</t>
  </si>
  <si>
    <t>SunPower E19 320W and 425W</t>
  </si>
  <si>
    <t>william stanley bussiness park</t>
  </si>
  <si>
    <t>wetern MA electric</t>
  </si>
  <si>
    <t>construction jobs</t>
  </si>
  <si>
    <t>MA</t>
  </si>
  <si>
    <t>suntech 275watt</t>
  </si>
  <si>
    <t>official documents</t>
  </si>
  <si>
    <t>MassDEP</t>
  </si>
  <si>
    <t>Questa</t>
  </si>
  <si>
    <t>Chevron technology ventures</t>
  </si>
  <si>
    <t>Soitec’s Concentrix</t>
  </si>
  <si>
    <t>Neuse River Waste water</t>
  </si>
  <si>
    <t>NxGen</t>
  </si>
  <si>
    <t>trina 280</t>
  </si>
  <si>
    <t>3 layer CPV</t>
  </si>
  <si>
    <t>West County Waste Water</t>
  </si>
  <si>
    <t>Solar Power Partners</t>
  </si>
  <si>
    <t>ET solar trackers</t>
  </si>
  <si>
    <t>suntech 200 and 210W</t>
  </si>
  <si>
    <t>news release/Factsheet</t>
  </si>
  <si>
    <t>senga doherty pump station</t>
  </si>
  <si>
    <t>SunPower 318 Watt</t>
  </si>
  <si>
    <t>Murrrieta CA</t>
  </si>
  <si>
    <t>factsheet/news</t>
  </si>
  <si>
    <t>Sacramento soleil</t>
  </si>
  <si>
    <t xml:space="preserve">KD235 Kyocera </t>
  </si>
  <si>
    <t>Box Canyon Camp Pendleton</t>
  </si>
  <si>
    <t>Kyocera</t>
  </si>
  <si>
    <t>Porterville Solar Plant</t>
  </si>
  <si>
    <t>Souther California Edison</t>
  </si>
  <si>
    <t>TSM-PA05 230W</t>
  </si>
  <si>
    <t>25 tilt</t>
  </si>
  <si>
    <t>Santa Fe WasteWater Plant</t>
  </si>
  <si>
    <t>no tilt south</t>
  </si>
  <si>
    <t>TSM-270PA14</t>
  </si>
  <si>
    <t>Roadrunner Solar Facility</t>
  </si>
  <si>
    <t>Berkshire School</t>
  </si>
  <si>
    <t>Powerplay solar</t>
  </si>
  <si>
    <t>solarWorld</t>
  </si>
  <si>
    <t>Shelby Solar Project</t>
  </si>
  <si>
    <t>SC</t>
  </si>
  <si>
    <t>South Burlington Solar Farm</t>
  </si>
  <si>
    <t>VT</t>
  </si>
  <si>
    <t>AllEarthRenewables</t>
  </si>
  <si>
    <t>AllSun Trackers</t>
  </si>
  <si>
    <t>forest solar</t>
  </si>
  <si>
    <t>Springfield</t>
  </si>
  <si>
    <t>completed?</t>
  </si>
  <si>
    <t>Indian Orchard Solar</t>
  </si>
  <si>
    <t>WMECo</t>
  </si>
  <si>
    <t>Pima County Wastewater</t>
  </si>
  <si>
    <t>SOLON Blue 270/09</t>
  </si>
  <si>
    <t>Sun Edison</t>
  </si>
  <si>
    <t>0 tilt 0 azimuth</t>
  </si>
  <si>
    <t>AZWater</t>
  </si>
  <si>
    <t>USMC 29 palms</t>
  </si>
  <si>
    <t>BP Energy Max</t>
  </si>
  <si>
    <t>Vaca-Dixon Solar Station</t>
  </si>
  <si>
    <t>Solon</t>
  </si>
  <si>
    <t xml:space="preserve">Solon 270 W </t>
  </si>
  <si>
    <t>washington township solar array</t>
  </si>
  <si>
    <t>Dayton Power and Lights</t>
  </si>
  <si>
    <t>Sharp 125W</t>
  </si>
  <si>
    <t xml:space="preserve">Trina 270W </t>
  </si>
  <si>
    <t>Austin Energy Webberville</t>
  </si>
  <si>
    <t>MEMC</t>
  </si>
  <si>
    <t>yamhill solar</t>
  </si>
  <si>
    <t>printed cigs</t>
  </si>
  <si>
    <t>nanosolar 200W CIGS</t>
  </si>
  <si>
    <t>Bellevue Solar</t>
  </si>
  <si>
    <t>OR</t>
  </si>
  <si>
    <t>FirstLight Power</t>
  </si>
  <si>
    <t>Northfield Mountain</t>
  </si>
  <si>
    <t>miasole</t>
  </si>
  <si>
    <t>kings mountain solar farm</t>
  </si>
  <si>
    <t>Strata Solar</t>
  </si>
  <si>
    <t>astronergy</t>
  </si>
  <si>
    <t>Superior</t>
  </si>
  <si>
    <t xml:space="preserve">Princeton University </t>
  </si>
  <si>
    <t xml:space="preserve">Sorrento Eagle Dunes </t>
  </si>
  <si>
    <t>Blue Chip Energy</t>
  </si>
  <si>
    <t>Sorrento Eagle Dunes phase 2</t>
  </si>
  <si>
    <t>Advanced Solar Photonics BLACKSTAR™ 250</t>
  </si>
  <si>
    <t>Topaz Solar Farm</t>
  </si>
  <si>
    <t>FirstSolar</t>
  </si>
  <si>
    <t>mount st mary's university</t>
  </si>
  <si>
    <t>MD</t>
  </si>
  <si>
    <t>Constellation Energy</t>
  </si>
  <si>
    <t>30 tilt</t>
  </si>
  <si>
    <t>Lincoln Renewable Energy</t>
  </si>
  <si>
    <t>NJ Oak Solar Farm</t>
  </si>
  <si>
    <t>YGE-235</t>
  </si>
  <si>
    <t>due south</t>
  </si>
  <si>
    <t>Qcell for Pseg</t>
  </si>
  <si>
    <t>Qcell/Pseg</t>
  </si>
  <si>
    <t>Huron Solar Farm</t>
  </si>
  <si>
    <t>Suntech</t>
  </si>
  <si>
    <t>TN</t>
  </si>
  <si>
    <t>West Tennessee Solar Farm</t>
  </si>
  <si>
    <t>University of Tennessee</t>
  </si>
  <si>
    <t>come back to this</t>
  </si>
  <si>
    <t>Mueller rd Holyoke</t>
  </si>
  <si>
    <t>Edwards AFB3.4MW</t>
  </si>
  <si>
    <t>Borrego solar</t>
  </si>
  <si>
    <t>suntech</t>
  </si>
  <si>
    <t>Kingman 10MW</t>
  </si>
  <si>
    <t>solon</t>
  </si>
  <si>
    <t>average</t>
  </si>
  <si>
    <t>completed MW</t>
  </si>
  <si>
    <t>Analysis for Small PV</t>
  </si>
  <si>
    <t xml:space="preserve">total MW </t>
  </si>
  <si>
    <t>no image</t>
  </si>
  <si>
    <t>google shows 2 sites completed</t>
  </si>
  <si>
    <t>25 west of south, 20 tilt</t>
  </si>
  <si>
    <t>kW DC</t>
  </si>
  <si>
    <t>cdTe</t>
  </si>
  <si>
    <t>HIT and poly</t>
  </si>
  <si>
    <t>other</t>
  </si>
  <si>
    <t>Percent Total</t>
  </si>
  <si>
    <t>These have been scaled by 2 to make it look right in the chart!!!!</t>
  </si>
  <si>
    <t>Scale</t>
  </si>
  <si>
    <t>Ratio of MW max to Projects Max axis'</t>
  </si>
  <si>
    <t>Rinehart solar farm</t>
  </si>
  <si>
    <t>advanced solar photonics</t>
  </si>
  <si>
    <t>news Release</t>
  </si>
  <si>
    <t>Del Sur Solar Project</t>
  </si>
  <si>
    <t>CSU 3.3 MW phase 2</t>
  </si>
  <si>
    <t>Beautiful Earth</t>
  </si>
  <si>
    <t>Grand Ridge Solar Plant</t>
  </si>
  <si>
    <t>Invenergy</t>
  </si>
  <si>
    <t>GE</t>
  </si>
  <si>
    <t>Lawerenceville School</t>
  </si>
  <si>
    <t>KDC Solar</t>
  </si>
  <si>
    <t>SolarWorld 245W</t>
  </si>
  <si>
    <t>McHenry Solar Farm</t>
  </si>
  <si>
    <t>BNB Napoleon Solar LLC</t>
  </si>
  <si>
    <t>BNB</t>
  </si>
  <si>
    <t>SunPower Oasis</t>
  </si>
  <si>
    <t>SunPower 425 oasis</t>
  </si>
  <si>
    <t>kalaeloa Oahu</t>
  </si>
  <si>
    <t>T2</t>
  </si>
  <si>
    <t>Palm Springs project 1</t>
  </si>
  <si>
    <t>SPI</t>
  </si>
  <si>
    <t>LDK</t>
  </si>
  <si>
    <t>Prescott Airport 2 of 3</t>
  </si>
  <si>
    <t>Prescott Airport 1 of 3</t>
  </si>
  <si>
    <t>Prescott Airport 3 of 3</t>
  </si>
  <si>
    <t>chino 20MW</t>
  </si>
  <si>
    <t xml:space="preserve"> </t>
  </si>
  <si>
    <t>hyder 17MW</t>
  </si>
  <si>
    <t>Cotton Center 17MW</t>
  </si>
  <si>
    <t>Luke AFB 14MW</t>
  </si>
  <si>
    <t>API/SunEdison</t>
  </si>
  <si>
    <t>MEMC?</t>
  </si>
  <si>
    <t>Official Documents</t>
  </si>
  <si>
    <t>Paloma Plant</t>
  </si>
  <si>
    <t>APS/Solon</t>
  </si>
  <si>
    <t>APS/FirstSolar</t>
  </si>
  <si>
    <t>news release</t>
  </si>
  <si>
    <t>Bruceville solar farm</t>
  </si>
  <si>
    <t>applications</t>
  </si>
  <si>
    <t>270deg tracking 0 tilt</t>
  </si>
  <si>
    <t>suntech 285 W</t>
  </si>
  <si>
    <t>grundman/wilkinson solar farm</t>
  </si>
  <si>
    <t>Kammerer solar farm</t>
  </si>
  <si>
    <t>Dillard solar farm</t>
  </si>
  <si>
    <t>20-25 west of south</t>
  </si>
  <si>
    <t>Searchlight Solar Project</t>
  </si>
  <si>
    <t>American  Capitol Energy</t>
  </si>
  <si>
    <t>Atwell Island Solar Project</t>
  </si>
  <si>
    <t>Samsung Solar Construction</t>
  </si>
  <si>
    <t>Agua Caliente</t>
  </si>
  <si>
    <t>NRG Energy</t>
  </si>
  <si>
    <t>First Solar Series 3</t>
  </si>
  <si>
    <t>Alamosa Solar Generating project</t>
  </si>
  <si>
    <t>Amonix</t>
  </si>
  <si>
    <t>Cogentrix</t>
  </si>
  <si>
    <t>cpv</t>
  </si>
  <si>
    <t xml:space="preserve">Pflugerville solar </t>
  </si>
  <si>
    <t>RRE Austin</t>
  </si>
  <si>
    <t>Tucson Solar</t>
  </si>
  <si>
    <t>Avra Valley</t>
  </si>
  <si>
    <t>factsheets</t>
  </si>
  <si>
    <t>Tinton falls</t>
  </si>
  <si>
    <t>zongyi Solar America</t>
  </si>
  <si>
    <t>Antelope solar farm</t>
  </si>
  <si>
    <t>Adobe Solar</t>
  </si>
  <si>
    <t>Mojave Solar</t>
  </si>
  <si>
    <t>Orion Solar</t>
  </si>
  <si>
    <t>Regulus Solar</t>
  </si>
  <si>
    <t>8minuteenergy</t>
  </si>
  <si>
    <t>Calexico Solar Farm 1</t>
  </si>
  <si>
    <t>Calexico Solar Farm 2</t>
  </si>
  <si>
    <t>Mount Signal</t>
  </si>
  <si>
    <t>Chocolate Mountains</t>
  </si>
  <si>
    <t>SunPeakSolar</t>
  </si>
  <si>
    <t>Calipatria Solar Farm 1</t>
  </si>
  <si>
    <t>Calipatria Solar Farm 2</t>
  </si>
  <si>
    <t>Midway Solar Farm 2</t>
  </si>
  <si>
    <t>Midway Solar Farm 1</t>
  </si>
  <si>
    <t>Salton Sea 1</t>
  </si>
  <si>
    <t>Salton Sea 2</t>
  </si>
  <si>
    <t>Suntech’s 285/290W Vd-Series superpoly</t>
  </si>
  <si>
    <t>Imperial Valley Solar Company</t>
  </si>
  <si>
    <t>Superstition Solar 1</t>
  </si>
  <si>
    <t>SunPeak Solar</t>
  </si>
  <si>
    <t>construcion</t>
  </si>
  <si>
    <t>application</t>
  </si>
  <si>
    <t>blm</t>
  </si>
  <si>
    <t>Apex</t>
  </si>
  <si>
    <t>Sonoran  Solar Energy Project</t>
  </si>
  <si>
    <t>Boulevard Associates</t>
  </si>
  <si>
    <t>BLM</t>
  </si>
  <si>
    <t>Canton Landfill</t>
  </si>
  <si>
    <t xml:space="preserve">Southern Sky </t>
  </si>
  <si>
    <t>permits</t>
  </si>
  <si>
    <t>Suntech STP290/VD</t>
  </si>
  <si>
    <t>China Lake</t>
  </si>
  <si>
    <t>Mono</t>
  </si>
  <si>
    <t>SunPower Oasis E20</t>
  </si>
  <si>
    <t>google earth half shown</t>
  </si>
  <si>
    <t>Alpine Solar 1</t>
  </si>
  <si>
    <t>government</t>
  </si>
  <si>
    <t>Homdel Solar Farm</t>
  </si>
  <si>
    <t>OCI Solar Power</t>
  </si>
  <si>
    <t>Turning Point Solar</t>
  </si>
  <si>
    <t>New Harvest Ventures</t>
  </si>
  <si>
    <t>isophoton</t>
  </si>
  <si>
    <t>Estancia Solar Farm</t>
  </si>
  <si>
    <t>Silverado Power</t>
  </si>
  <si>
    <t>Gadsden Solar Farm</t>
  </si>
  <si>
    <t>National Solar Power</t>
  </si>
  <si>
    <t>Liberty County Solar Farm</t>
  </si>
  <si>
    <t>Hardee County solar Farm</t>
  </si>
  <si>
    <t>Quinto</t>
  </si>
  <si>
    <t>AVSP1</t>
  </si>
  <si>
    <t>AVSP2</t>
  </si>
  <si>
    <t>spread throughout county</t>
  </si>
  <si>
    <t>Solar Star California</t>
  </si>
  <si>
    <t>SunPower 425-W mono</t>
  </si>
  <si>
    <t>Murfreesboro</t>
  </si>
  <si>
    <t>GreenCo Solutions</t>
  </si>
  <si>
    <t>Imperial Solar Energy Center South</t>
  </si>
  <si>
    <t>Csolar Development</t>
  </si>
  <si>
    <t>Imperial Solar Energy Center West</t>
  </si>
  <si>
    <t>CPV</t>
  </si>
  <si>
    <t>ENN group</t>
  </si>
  <si>
    <t>Mojave Green Center</t>
  </si>
  <si>
    <t>ENN</t>
  </si>
  <si>
    <t>Claysville Solar Project</t>
  </si>
  <si>
    <t>indianapolis airport solar farm</t>
  </si>
  <si>
    <t>IN</t>
  </si>
  <si>
    <t>ET energy solutions</t>
  </si>
  <si>
    <t>sanyo 280W</t>
  </si>
  <si>
    <t>updated 4/2/2012</t>
  </si>
  <si>
    <t>Percent of plants built after</t>
  </si>
  <si>
    <t>total Large PV projects</t>
  </si>
  <si>
    <t>wt average</t>
  </si>
  <si>
    <t>wt stdev</t>
  </si>
  <si>
    <t>stdev</t>
  </si>
  <si>
    <t>min</t>
  </si>
  <si>
    <t>max</t>
  </si>
  <si>
    <t>Small plots</t>
  </si>
  <si>
    <t>1 axis Total Area</t>
  </si>
  <si>
    <t>Fixed phyical area</t>
  </si>
  <si>
    <t>2 axis physical area</t>
  </si>
  <si>
    <t>1 axis Physical Area</t>
  </si>
  <si>
    <t>Fixed Physical area</t>
  </si>
  <si>
    <t>Percent known</t>
  </si>
  <si>
    <t>size</t>
  </si>
  <si>
    <t>Tracking</t>
  </si>
  <si>
    <t>Percent Known</t>
  </si>
  <si>
    <t>excluded</t>
  </si>
  <si>
    <t>From stuff to left</t>
  </si>
  <si>
    <t>Hectare/MW</t>
  </si>
  <si>
    <t>MW/km^2</t>
  </si>
  <si>
    <t>Kwhac/KWdc</t>
  </si>
  <si>
    <t>&lt;20MW</t>
  </si>
  <si>
    <t>&gt;20MW</t>
  </si>
  <si>
    <t>Number of projects</t>
  </si>
  <si>
    <t>Percent of total</t>
  </si>
  <si>
    <t>&lt;2008</t>
  </si>
  <si>
    <t>Stats about systems</t>
  </si>
  <si>
    <t>projects</t>
  </si>
  <si>
    <t>2008-2009</t>
  </si>
  <si>
    <t>2010-2011</t>
  </si>
  <si>
    <t>&gt;=2012</t>
  </si>
  <si>
    <t>Total Mwac</t>
  </si>
  <si>
    <t>data from left for graphs</t>
  </si>
  <si>
    <t>0 tilt</t>
  </si>
  <si>
    <t>0 Tilt</t>
  </si>
  <si>
    <t>combined</t>
  </si>
  <si>
    <t>35 tilt</t>
  </si>
  <si>
    <t>T0 0 tilt</t>
  </si>
  <si>
    <t>5 tilt</t>
  </si>
  <si>
    <t>at lat long</t>
  </si>
  <si>
    <t>KWhac/Kwac</t>
  </si>
  <si>
    <t>Hectare/GWh</t>
  </si>
  <si>
    <t xml:space="preserve">fixed </t>
  </si>
  <si>
    <t xml:space="preserve">1 axis </t>
  </si>
  <si>
    <t>StDev</t>
  </si>
  <si>
    <t>Average Whac/Wac</t>
  </si>
  <si>
    <t>Thermal Fluid</t>
  </si>
  <si>
    <t>Synthetic oil</t>
  </si>
  <si>
    <t>several</t>
  </si>
  <si>
    <t>Abengoa Mojave</t>
  </si>
  <si>
    <t>Salt</t>
  </si>
  <si>
    <t>Abengoa</t>
  </si>
  <si>
    <t>748 F</t>
  </si>
  <si>
    <t>400 F</t>
  </si>
  <si>
    <t>735 F</t>
  </si>
  <si>
    <t>mineral oil</t>
  </si>
  <si>
    <t>600F</t>
  </si>
  <si>
    <t>NextEra</t>
  </si>
  <si>
    <t>water</t>
  </si>
  <si>
    <t>Sundt</t>
  </si>
  <si>
    <t>KWThermal</t>
  </si>
  <si>
    <t>Areva Solar</t>
  </si>
  <si>
    <t>Kimberlina 2.5MW panel only</t>
  </si>
  <si>
    <t>No info</t>
  </si>
  <si>
    <t>AES Solar Power</t>
  </si>
  <si>
    <t>Working Temp</t>
  </si>
  <si>
    <t>750 F</t>
  </si>
  <si>
    <t>hydrogen</t>
  </si>
  <si>
    <t>saguache Solar</t>
  </si>
  <si>
    <t>baja california</t>
  </si>
  <si>
    <t>look this up</t>
  </si>
  <si>
    <t>1050 F</t>
  </si>
  <si>
    <t>Kingman Project</t>
  </si>
  <si>
    <t>albiaSA</t>
  </si>
  <si>
    <t>Ft Irwin</t>
  </si>
  <si>
    <t>BrightSource</t>
  </si>
  <si>
    <t>Coalinga</t>
  </si>
  <si>
    <t>Rio Mesa 1</t>
  </si>
  <si>
    <t>Rio Mesa 2</t>
  </si>
  <si>
    <t>Rio Mesa 3</t>
  </si>
  <si>
    <t>Hidden Hills 1</t>
  </si>
  <si>
    <t>Hidden Hills 2</t>
  </si>
  <si>
    <t>Ivanpah all</t>
  </si>
  <si>
    <t>Coyote Springs 1</t>
  </si>
  <si>
    <t>Coyote Springs 2</t>
  </si>
  <si>
    <t>Palmdale Hybrid Gas/solar Plant</t>
  </si>
  <si>
    <t>Inland Energy</t>
  </si>
  <si>
    <t>Victorville 2 hybrid</t>
  </si>
  <si>
    <t>approved</t>
  </si>
  <si>
    <t>energy.ca.gov</t>
  </si>
  <si>
    <t>City of Victorville</t>
  </si>
  <si>
    <t>therminol</t>
  </si>
  <si>
    <t>932 F</t>
  </si>
  <si>
    <t>crossroad solar</t>
  </si>
  <si>
    <t>salt</t>
  </si>
  <si>
    <t>Quartzsite</t>
  </si>
  <si>
    <t>Solar Reserve</t>
  </si>
  <si>
    <t>C</t>
  </si>
  <si>
    <t>From stuff to left in presentable format</t>
  </si>
  <si>
    <t>Small</t>
  </si>
  <si>
    <t>Large</t>
  </si>
  <si>
    <t>All Large</t>
  </si>
  <si>
    <t>ALL projects</t>
  </si>
  <si>
    <t>small</t>
  </si>
  <si>
    <t>large</t>
  </si>
  <si>
    <t>through time</t>
  </si>
  <si>
    <t>statisttics</t>
  </si>
  <si>
    <t>smallMWac</t>
  </si>
  <si>
    <t>LargeMWac</t>
  </si>
  <si>
    <t>all pv</t>
  </si>
  <si>
    <t>This page seems redundant</t>
  </si>
  <si>
    <t>calculated in first page.</t>
  </si>
  <si>
    <t>track statistics wrt time</t>
  </si>
  <si>
    <t>placehoder</t>
  </si>
  <si>
    <t>SunPower® T20 Tracker</t>
  </si>
  <si>
    <t>8-12%</t>
  </si>
  <si>
    <t>12-18%</t>
  </si>
  <si>
    <t>3 to 37</t>
  </si>
  <si>
    <t>38 to 88</t>
  </si>
  <si>
    <t>89 to 105</t>
  </si>
  <si>
    <t>106 to 111</t>
  </si>
  <si>
    <t>18-24%</t>
  </si>
  <si>
    <t>&gt;24%</t>
  </si>
  <si>
    <t>3 to 12</t>
  </si>
  <si>
    <t>13 to 42</t>
  </si>
  <si>
    <t>43 to 113</t>
  </si>
  <si>
    <t>114 to 167</t>
  </si>
  <si>
    <t>168 to 194</t>
  </si>
  <si>
    <t>2001 to 2007</t>
  </si>
  <si>
    <t>2008 to 2009</t>
  </si>
  <si>
    <t>2010 to 2011</t>
  </si>
  <si>
    <t>2012 to 2013</t>
  </si>
  <si>
    <t>beyond 2013</t>
  </si>
  <si>
    <t>30 to 31</t>
  </si>
  <si>
    <t>32 to 47</t>
  </si>
  <si>
    <t>3 to 29</t>
  </si>
  <si>
    <t>All Small</t>
  </si>
  <si>
    <t>ratio land</t>
  </si>
  <si>
    <t>All unkown sites removed</t>
  </si>
  <si>
    <t>82 to 93</t>
  </si>
  <si>
    <t>95 to 104</t>
  </si>
  <si>
    <t>105-120</t>
  </si>
  <si>
    <t>How to break this up by axis to show more detailed trends through time</t>
  </si>
  <si>
    <t>Seattle, WA</t>
  </si>
  <si>
    <t>alamosa CO</t>
  </si>
  <si>
    <t>KWHac/kWac</t>
  </si>
  <si>
    <t>At LatLong</t>
  </si>
  <si>
    <t>in CO Springs</t>
  </si>
  <si>
    <t>In Seattle</t>
  </si>
  <si>
    <t>Percent Plants built after</t>
  </si>
  <si>
    <t>distributed</t>
  </si>
  <si>
    <t>Central</t>
  </si>
  <si>
    <t xml:space="preserve">1 Axis </t>
  </si>
  <si>
    <t>Physical</t>
  </si>
  <si>
    <t xml:space="preserve">large </t>
  </si>
  <si>
    <t>20 tilt</t>
  </si>
  <si>
    <t xml:space="preserve">0 tilt 270deg tracking </t>
  </si>
  <si>
    <t>Report</t>
  </si>
  <si>
    <t>Introduction</t>
  </si>
  <si>
    <t>PV Land Use Metric</t>
  </si>
  <si>
    <t>PV Land Use Data</t>
  </si>
  <si>
    <t>Talk about the sources and distinction between distributed and Central</t>
  </si>
  <si>
    <t>Results-this should go in with data as well</t>
  </si>
  <si>
    <t xml:space="preserve">Summary Results- talks about general </t>
  </si>
  <si>
    <t>need to insert section on CSP</t>
  </si>
  <si>
    <t>month completed</t>
  </si>
  <si>
    <t>Image in Google Earth now</t>
  </si>
  <si>
    <t>1-Axis</t>
  </si>
  <si>
    <t>2-Axis</t>
  </si>
  <si>
    <t>&gt;5</t>
  </si>
  <si>
    <t>&lt; 2</t>
  </si>
  <si>
    <t>Direct area</t>
  </si>
  <si>
    <t>1 to fixed</t>
  </si>
  <si>
    <t>2 to fixed</t>
  </si>
  <si>
    <t>direct</t>
  </si>
  <si>
    <t>kWh</t>
  </si>
  <si>
    <t>GWh</t>
  </si>
  <si>
    <t>phys</t>
  </si>
  <si>
    <t>System Type</t>
  </si>
  <si>
    <t>Projects</t>
  </si>
  <si>
    <t>Capacity (MW)</t>
  </si>
  <si>
    <t xml:space="preserve"> Hectares/MW</t>
  </si>
  <si>
    <t>&gt; 20 MW</t>
  </si>
  <si>
    <r>
      <t>6</t>
    </r>
    <r>
      <rPr>
        <sz val="8"/>
        <color theme="1"/>
        <rFont val="Times New Roman"/>
        <family val="1"/>
      </rPr>
      <t> </t>
    </r>
  </si>
  <si>
    <t xml:space="preserve">All  </t>
  </si>
  <si>
    <t>Dish Sterling</t>
  </si>
  <si>
    <t>Tower Height(m)</t>
  </si>
  <si>
    <t>Official Document</t>
  </si>
  <si>
    <t>1:1 for Capacity to energy</t>
  </si>
  <si>
    <t>2:1 for solar multiple</t>
  </si>
  <si>
    <t>Parametric change on the solar multiple and capacity for Troughs</t>
  </si>
  <si>
    <t>http://digitalscholarship.unlv.edu/cgi/viewcontent.cgi?article=1074&amp;context=thesesdissertations</t>
  </si>
  <si>
    <t>article on solar troughs and solar multiples</t>
  </si>
  <si>
    <t>http://www.irena.org/DocumentDownloads/Publications/RE_Technologies_Cost_Analysis-CSP.pdf</t>
  </si>
  <si>
    <t>Capacity Factor</t>
  </si>
  <si>
    <t>3rd quartile</t>
  </si>
  <si>
    <t>Median</t>
  </si>
  <si>
    <t>1st quartile</t>
  </si>
  <si>
    <t>This is the median setter</t>
  </si>
  <si>
    <t xml:space="preserve">Total </t>
  </si>
  <si>
    <t>Power</t>
  </si>
  <si>
    <t>Plots</t>
  </si>
  <si>
    <t>.75 percentile</t>
  </si>
  <si>
    <t>Average</t>
  </si>
  <si>
    <t>Sample Size</t>
  </si>
  <si>
    <t>Cap. Weighted Avg.</t>
  </si>
  <si>
    <t>wt avg</t>
  </si>
  <si>
    <t>LargePV</t>
  </si>
  <si>
    <t>Fixed Axis (&lt; 20 MW)</t>
  </si>
  <si>
    <t>1-Axis (&lt; 20 MW)</t>
  </si>
  <si>
    <t>Fixed Axis (&gt; 20 MW)</t>
  </si>
  <si>
    <t>1-Axis (&gt; 20 MW)</t>
  </si>
  <si>
    <t>DC</t>
  </si>
  <si>
    <t>AC</t>
  </si>
  <si>
    <t>comp/Const</t>
  </si>
  <si>
    <t>comp/const</t>
  </si>
  <si>
    <t>completed/Construction all</t>
  </si>
  <si>
    <t>all ac</t>
  </si>
  <si>
    <t>pv dc</t>
  </si>
  <si>
    <t>count</t>
  </si>
  <si>
    <t>Count</t>
  </si>
  <si>
    <t>complete</t>
  </si>
  <si>
    <t>Acre/MW AC</t>
  </si>
  <si>
    <t>Acre/MW ac</t>
  </si>
  <si>
    <t xml:space="preserve"> Acres/MW</t>
  </si>
  <si>
    <t>Acres/GWh</t>
  </si>
  <si>
    <t>SM-</t>
  </si>
  <si>
    <t>SM+</t>
  </si>
  <si>
    <t>GWh-</t>
  </si>
  <si>
    <t>GWh+</t>
  </si>
  <si>
    <t>stated GWH/yr</t>
  </si>
  <si>
    <t>Acres/GWh/yr-</t>
  </si>
  <si>
    <t>Acres/GWh/yr+</t>
  </si>
  <si>
    <t>Total+</t>
  </si>
  <si>
    <t>Total-</t>
  </si>
  <si>
    <t>Total Land Use</t>
  </si>
  <si>
    <t>Direct Land Use</t>
  </si>
  <si>
    <t>MW - DC</t>
  </si>
  <si>
    <t>Total Acres/MW</t>
  </si>
  <si>
    <t>Direct Acres/MW</t>
  </si>
  <si>
    <t>Capacity (kW)</t>
  </si>
  <si>
    <t>Satellite Imagery Used</t>
  </si>
  <si>
    <t>Prescott Airport (CPV)</t>
  </si>
  <si>
    <t>Yes</t>
  </si>
  <si>
    <t>Prescott Airport (1-Axis Phase 1)</t>
  </si>
  <si>
    <t>Kingman Plant</t>
  </si>
  <si>
    <t> Third Party</t>
  </si>
  <si>
    <t>No</t>
  </si>
  <si>
    <t>Prescott Airport (1-Axis Phase 2)</t>
  </si>
  <si>
    <t>Luke Air Force Base</t>
  </si>
  <si>
    <t>Hyder Plant</t>
  </si>
  <si>
    <t>Cotton Center Plant</t>
  </si>
  <si>
    <t>Chino Plant</t>
  </si>
  <si>
    <t>Western Riverside County Regional Wastewater Authority</t>
  </si>
  <si>
    <t>The North Face PV Plant</t>
  </si>
  <si>
    <t>West County Waste Water PV Plant</t>
  </si>
  <si>
    <t>Nichols Farms PV Plant</t>
  </si>
  <si>
    <t>Budweiser PV Plant</t>
  </si>
  <si>
    <t>Wal-Mart Apple Valley PV Plant</t>
  </si>
  <si>
    <t>Rancho California PV Plant</t>
  </si>
  <si>
    <t>Hayward Wastewater PV Plant</t>
  </si>
  <si>
    <t>Chuckawalla State Prison PV Plant</t>
  </si>
  <si>
    <t>Ironwood State Prison PV Plant</t>
  </si>
  <si>
    <t>Sacramento Soleil</t>
  </si>
  <si>
    <t>USMC 29 Palms</t>
  </si>
  <si>
    <t>Newberry Springs PV Plant</t>
  </si>
  <si>
    <t>Aero Jet Solar Project</t>
  </si>
  <si>
    <t>Third Party, Developers</t>
  </si>
  <si>
    <t>Dillard Solar Farm</t>
  </si>
  <si>
    <t>China Lake PV Plant</t>
  </si>
  <si>
    <t>Bruceville Solar Farm</t>
  </si>
  <si>
    <t>Kammerer Solar Farm</t>
  </si>
  <si>
    <t>Antelope Solar Farm</t>
  </si>
  <si>
    <t>Tuusso Energy Antelope Plant</t>
  </si>
  <si>
    <t>Grundman/Wilkinson Solar Farm</t>
  </si>
  <si>
    <t>Lucerne Valley Solar</t>
  </si>
  <si>
    <t>Chocolate Mountains PV Plant</t>
  </si>
  <si>
    <t>Third Party </t>
  </si>
  <si>
    <t>Copper Mountain PV Plant</t>
  </si>
  <si>
    <t>Quinto Plant</t>
  </si>
  <si>
    <t>Mount Signal PV Plant</t>
  </si>
  <si>
    <t>Edwards Air Force Base</t>
  </si>
  <si>
    <t>Alamosa Water Treatment Facility PV Plant</t>
  </si>
  <si>
    <t>SunEdison Alamosa PV Plant (Fixed-Tilt)</t>
  </si>
  <si>
    <t>SunEdison Alamosa PV Plant (2 Axis)</t>
  </si>
  <si>
    <t>NREL National Wind Technology Center</t>
  </si>
  <si>
    <t>Buckley Air Force Base</t>
  </si>
  <si>
    <t>Denver Federal Center Solar Park Phase 1</t>
  </si>
  <si>
    <t>Colorado State University Pueblo Plant</t>
  </si>
  <si>
    <t>Denver International Airport Phase 2 (Fuel Farm)</t>
  </si>
  <si>
    <t>Rifle Waste Water Reclamation Facility</t>
  </si>
  <si>
    <t>Colorado State University Ft. Collins Phase 1</t>
  </si>
  <si>
    <t>Denver International Airport 1 Pena Blvd</t>
  </si>
  <si>
    <t>Ft. Carson PV Plant</t>
  </si>
  <si>
    <t>Colorado State University Ft. Collins Phase 2</t>
  </si>
  <si>
    <t>Denver International Airport Phase 3</t>
  </si>
  <si>
    <t>Air Force Academy CO Springs</t>
  </si>
  <si>
    <t>SunEdison Alamosa PV Plant (1 Axis)</t>
  </si>
  <si>
    <t>Cogentrix Alamosa Solar Generating Project</t>
  </si>
  <si>
    <t>Kent County Waste Water</t>
  </si>
  <si>
    <t>Rinehart Solar Farm</t>
  </si>
  <si>
    <t>DeSoto Plant</t>
  </si>
  <si>
    <t>Sorrento Eagle Dunes phase 1</t>
  </si>
  <si>
    <t>Hardee County Solar Farm</t>
  </si>
  <si>
    <t>Blairsville Plant</t>
  </si>
  <si>
    <t>Kalaeloa Oahu</t>
  </si>
  <si>
    <t>Indianapolis Airport Solar Farm</t>
  </si>
  <si>
    <t>William Stanley Business Park</t>
  </si>
  <si>
    <t>Springfield Plant</t>
  </si>
  <si>
    <t>Mueller Road Holyoke Plant</t>
  </si>
  <si>
    <t>Mount St. Mary's University</t>
  </si>
  <si>
    <t>Mayberry/Mt. Airy Solar Farm</t>
  </si>
  <si>
    <t>Neuse River Waste Water</t>
  </si>
  <si>
    <t>SAS Solar Farm 1 and 2</t>
  </si>
  <si>
    <t>Kings Mountain Solar Farm</t>
  </si>
  <si>
    <t>Princeton University</t>
  </si>
  <si>
    <t>Tinton Falls</t>
  </si>
  <si>
    <t>Santa Fe Waste Water Plant</t>
  </si>
  <si>
    <t>City of Madera Waste Water</t>
  </si>
  <si>
    <t>Deming Solar Energy Center</t>
  </si>
  <si>
    <t>SunEdison Jal</t>
  </si>
  <si>
    <t>SunEdison Carlsbad</t>
  </si>
  <si>
    <t>Nellis Air Force Base</t>
  </si>
  <si>
    <t>Washington Township Solar Array</t>
  </si>
  <si>
    <t>Yamhill Solar</t>
  </si>
  <si>
    <t>Pflugerville solar</t>
  </si>
  <si>
    <t>Complete</t>
  </si>
  <si>
    <t>Proposed</t>
  </si>
  <si>
    <t>MW - AC</t>
  </si>
  <si>
    <t>Crossroad Solar</t>
  </si>
  <si>
    <t>Saguache Solar</t>
  </si>
  <si>
    <t>Ivanpah All</t>
  </si>
  <si>
    <t>Solar Multiple Low</t>
  </si>
  <si>
    <t>Solar Multiple High</t>
  </si>
  <si>
    <t>Generation High (GWh/yr)</t>
  </si>
  <si>
    <t>Generation Low (GWh/yr)</t>
  </si>
  <si>
    <t>T-0</t>
  </si>
  <si>
    <t>T-20</t>
  </si>
  <si>
    <t>Sunpower direct land use (Acres/MW capacity weighted)</t>
  </si>
  <si>
    <t>&lt;0.75</t>
  </si>
  <si>
    <t>0.75-0.8</t>
  </si>
  <si>
    <t>0.8-0.85</t>
  </si>
  <si>
    <t>0.85-0.9</t>
  </si>
  <si>
    <t>0.9-0.95</t>
  </si>
  <si>
    <t>0.95-1</t>
  </si>
  <si>
    <t>Palmdale Hybrid  Plant</t>
  </si>
  <si>
    <t>Ivanpah (all)</t>
  </si>
  <si>
    <t>Total Area (Acres)</t>
  </si>
  <si>
    <t>Direct Area (Acres)</t>
  </si>
  <si>
    <t>Estimated Energy Production (kWh/kW)</t>
  </si>
  <si>
    <t>Tracking Increase in Energy Yield</t>
  </si>
  <si>
    <t>Land Use per Unit of Annual Energy Production (Acres/GWh/yr)</t>
  </si>
  <si>
    <t>Tracking Change  in Land Use Intensity</t>
  </si>
  <si>
    <t>CA (San Francisco)</t>
  </si>
  <si>
    <t>CA (San Diego)</t>
  </si>
  <si>
    <t>CO (Alamosa)</t>
  </si>
  <si>
    <t>AZ (Phoenix)</t>
  </si>
  <si>
    <t>FL (Jacksonville)</t>
  </si>
  <si>
    <t>NJ (Newark)</t>
  </si>
  <si>
    <t>WA (Seattle)</t>
  </si>
  <si>
    <t>Table created for Craig turchi, based on his review question 3/29/2013</t>
  </si>
  <si>
    <t>Removed sites</t>
  </si>
  <si>
    <t>Bin</t>
  </si>
  <si>
    <t>More</t>
  </si>
  <si>
    <t>Frequency</t>
  </si>
  <si>
    <t>Bin - 1Ax</t>
  </si>
  <si>
    <t>0-4</t>
  </si>
  <si>
    <t>13 -14</t>
  </si>
  <si>
    <t>&gt; 14</t>
  </si>
  <si>
    <t>0 - 2</t>
  </si>
  <si>
    <t>13 - 14</t>
  </si>
  <si>
    <t>2 - 3</t>
  </si>
  <si>
    <t>1- axis</t>
  </si>
  <si>
    <t>Number of projects analyzed</t>
  </si>
  <si>
    <t>Capacity for analyzed projects (MWac)</t>
  </si>
  <si>
    <t>Capacity-weighted average land use (acres/MWac)</t>
  </si>
  <si>
    <t>Generation-weighted average land use (acres/GWh/yr)</t>
  </si>
  <si>
    <t>(&gt;1 MW, &lt;20 MW)</t>
  </si>
  <si>
    <t>1-axis</t>
  </si>
  <si>
    <t>2-axis flat panel</t>
  </si>
  <si>
    <t>2-axis CPV</t>
  </si>
  <si>
    <t>(&gt;20 MW)</t>
  </si>
  <si>
    <t>Acre/GWh</t>
  </si>
  <si>
    <t>Small PV (&gt;1 MW, &lt;20 MW)</t>
  </si>
  <si>
    <t>Large PV (&gt;20 MW)</t>
  </si>
  <si>
    <t>Small PV (&lt;20 MW)</t>
  </si>
  <si>
    <t>Capacity (MWac)</t>
  </si>
  <si>
    <t>Under construction</t>
  </si>
  <si>
    <t>Tracking type</t>
  </si>
  <si>
    <t>Capacity-weighted average area requirements</t>
  </si>
  <si>
    <t>(acres/MWac)</t>
  </si>
  <si>
    <t>Generation-weighted average area requirements</t>
  </si>
  <si>
    <t>(acres/GWh/yr)</t>
  </si>
  <si>
    <t>Small PV (less than 20 MW)</t>
  </si>
  <si>
    <t>Large PV (greater than 20 MW)</t>
  </si>
  <si>
    <t>Estimated energy production (kWh/kW)</t>
  </si>
  <si>
    <t>Tracking increase in energy yield</t>
  </si>
  <si>
    <t>Land-use intensity (acres/GWh/yr)</t>
  </si>
  <si>
    <t>Tracking change in land-use intensity</t>
  </si>
  <si>
    <t>California (San Francisco)</t>
  </si>
  <si>
    <t>California (San Diego)</t>
  </si>
  <si>
    <t>Colorado (Alamosa)</t>
  </si>
  <si>
    <t>Arizona (Phoenix)</t>
  </si>
  <si>
    <t>Florida (Jacksonville)</t>
  </si>
  <si>
    <t>New Jersey (Newark)</t>
  </si>
  <si>
    <t>Washington (Seattle)</t>
  </si>
  <si>
    <t>Land use intensity (acres/GWh/yr)</t>
  </si>
  <si>
    <t>2-axis</t>
  </si>
  <si>
    <t>All</t>
  </si>
  <si>
    <t>latlong</t>
  </si>
  <si>
    <t>total generation</t>
  </si>
  <si>
    <t>Capacity-weighted average land use (MWac/km2)</t>
  </si>
  <si>
    <t>Generation-weighted average land use (GWh/yr/km2)</t>
  </si>
  <si>
    <t>Official Documents (%)</t>
  </si>
  <si>
    <t>Developer Documents (%)</t>
  </si>
  <si>
    <t>Third Party Sources (%)</t>
  </si>
  <si>
    <t>Percent of projects that required satellite imagery</t>
  </si>
  <si>
    <t>Tracking Type</t>
  </si>
  <si>
    <t>Data Source </t>
  </si>
  <si>
    <t>1-axis tracking increase in energy yield relative to Fixed</t>
  </si>
  <si>
    <t>2-axis tracking increase in energy yield relative to Fixed</t>
  </si>
  <si>
    <t>1-axis tracking change in land-use intensity relative to fixed</t>
  </si>
  <si>
    <t>2-axis tracking change in land-use intensity relative to fixed</t>
  </si>
  <si>
    <t>San Francisco, CA</t>
  </si>
  <si>
    <t>San Diego, CA</t>
  </si>
  <si>
    <t>Alamosa, CO</t>
  </si>
  <si>
    <t>Phoenix, AZ</t>
  </si>
  <si>
    <t>Jacksonville, FL</t>
  </si>
  <si>
    <t>Newark, NJ</t>
  </si>
  <si>
    <t>Direct Normal Radiation (kWh/m2/yr)</t>
  </si>
  <si>
    <t>TOT cap wt avg all solar</t>
  </si>
  <si>
    <t>3-4</t>
  </si>
  <si>
    <t>tot gen</t>
  </si>
  <si>
    <t>all</t>
  </si>
  <si>
    <t>dir gen</t>
  </si>
  <si>
    <t>2.5-3.5</t>
  </si>
  <si>
    <t>tot cap</t>
  </si>
  <si>
    <t>dir cap</t>
  </si>
  <si>
    <t>8.5-9.5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</si>
</sst>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
    <numFmt numFmtId="165" formatCode="0.0"/>
    <numFmt numFmtId="166" formatCode="0.000"/>
    <numFmt numFmtId="167" formatCode="0.0000"/>
    <numFmt numFmtId="168" formatCode="0.00000"/>
    <numFmt numFmtId="169" formatCode="0.000000"/>
    <numFmt numFmtId="170" formatCode="0.0000000"/>
  </numFmts>
  <fonts count="41" x14ac:knownFonts="1">
    <font>
      <sz val="11"/>
      <color theme="1"/>
      <name val="Calibri"/>
      <family val="2"/>
      <scheme val="minor"/>
    </font>
    <font>
      <sz val="8"/>
      <color indexed="81"/>
      <name val="Tahoma"/>
      <family val="2"/>
    </font>
    <font>
      <b/>
      <sz val="8"/>
      <color indexed="81"/>
      <name val="Tahoma"/>
      <family val="2"/>
    </font>
    <font>
      <sz val="11"/>
      <color theme="1"/>
      <name val="Calibri"/>
      <family val="2"/>
      <scheme val="minor"/>
    </font>
    <font>
      <b/>
      <sz val="11"/>
      <color theme="1"/>
      <name val="Calibri"/>
      <family val="2"/>
      <scheme val="minor"/>
    </font>
    <font>
      <u/>
      <sz val="11"/>
      <color theme="10"/>
      <name val="Calibri"/>
      <family val="2"/>
    </font>
    <font>
      <b/>
      <sz val="10"/>
      <color theme="1"/>
      <name val="Arial"/>
      <family val="2"/>
    </font>
    <font>
      <sz val="10"/>
      <color theme="1"/>
      <name val="Arial"/>
      <family val="2"/>
    </font>
    <font>
      <b/>
      <vertAlign val="superscript"/>
      <sz val="10"/>
      <color theme="1"/>
      <name val="Arial"/>
      <family val="2"/>
    </font>
    <font>
      <sz val="8"/>
      <color rgb="FF000000"/>
      <name val="Arial"/>
      <family val="2"/>
    </font>
    <font>
      <sz val="10"/>
      <name val="Arial"/>
      <family val="2"/>
    </font>
    <font>
      <sz val="10"/>
      <name val="Arial"/>
      <family val="2"/>
    </font>
    <font>
      <u/>
      <sz val="10"/>
      <color indexed="12"/>
      <name val="Arial"/>
      <family val="2"/>
    </font>
    <font>
      <u/>
      <sz val="10"/>
      <color indexed="12"/>
      <name val="Arial"/>
      <family val="2"/>
    </font>
    <font>
      <sz val="10"/>
      <color rgb="FFFF0000"/>
      <name val="Arial"/>
      <family val="2"/>
    </font>
    <font>
      <b/>
      <sz val="11"/>
      <color rgb="FF000000"/>
      <name val="Calibri"/>
      <family val="2"/>
    </font>
    <font>
      <sz val="9"/>
      <color indexed="81"/>
      <name val="Tahoma"/>
      <family val="2"/>
    </font>
    <font>
      <b/>
      <sz val="9"/>
      <color indexed="81"/>
      <name val="Tahoma"/>
      <family val="2"/>
    </font>
    <font>
      <sz val="11"/>
      <name val="Calibri"/>
      <family val="2"/>
      <scheme val="minor"/>
    </font>
    <font>
      <sz val="11"/>
      <color rgb="FF333333"/>
      <name val="Arial"/>
      <family val="2"/>
    </font>
    <font>
      <sz val="11"/>
      <color rgb="FF000000"/>
      <name val="Arial"/>
      <family val="2"/>
    </font>
    <font>
      <sz val="11"/>
      <color rgb="FF222222"/>
      <name val="Calibri"/>
      <family val="2"/>
      <scheme val="minor"/>
    </font>
    <font>
      <vertAlign val="superscript"/>
      <sz val="11"/>
      <color theme="1"/>
      <name val="Calibri"/>
      <family val="2"/>
      <scheme val="minor"/>
    </font>
    <font>
      <sz val="9"/>
      <color theme="1"/>
      <name val="Arial"/>
      <family val="2"/>
    </font>
    <font>
      <sz val="11"/>
      <color theme="1"/>
      <name val="Arial"/>
      <family val="2"/>
    </font>
    <font>
      <sz val="11.95"/>
      <color rgb="FF333333"/>
      <name val="Arial"/>
      <family val="2"/>
    </font>
    <font>
      <sz val="10"/>
      <color rgb="FF222222"/>
      <name val="Arial"/>
      <family val="2"/>
    </font>
    <font>
      <i/>
      <sz val="11"/>
      <color theme="1"/>
      <name val="Calibri"/>
      <family val="2"/>
      <scheme val="minor"/>
    </font>
    <font>
      <sz val="11"/>
      <color rgb="FF006100"/>
      <name val="Calibri"/>
      <family val="2"/>
      <scheme val="minor"/>
    </font>
    <font>
      <sz val="11"/>
      <color rgb="FF9C6500"/>
      <name val="Calibri"/>
      <family val="2"/>
      <scheme val="minor"/>
    </font>
    <font>
      <sz val="9.6"/>
      <color rgb="FF222222"/>
      <name val="Arial"/>
      <family val="2"/>
    </font>
    <font>
      <sz val="11"/>
      <color rgb="FF9C0006"/>
      <name val="Calibri"/>
      <family val="2"/>
      <scheme val="minor"/>
    </font>
    <font>
      <b/>
      <sz val="11"/>
      <color rgb="FFFA7D00"/>
      <name val="Calibri"/>
      <family val="2"/>
      <scheme val="minor"/>
    </font>
    <font>
      <b/>
      <sz val="11"/>
      <color rgb="FF000000"/>
      <name val="Calibri"/>
      <family val="2"/>
      <scheme val="minor"/>
    </font>
    <font>
      <sz val="11"/>
      <color rgb="FF000000"/>
      <name val="Calibri"/>
      <family val="2"/>
      <scheme val="minor"/>
    </font>
    <font>
      <sz val="8"/>
      <color theme="1"/>
      <name val="Times New Roman"/>
      <family val="1"/>
    </font>
    <font>
      <sz val="11"/>
      <color rgb="FFFF0000"/>
      <name val="Calibri"/>
      <family val="2"/>
      <scheme val="minor"/>
    </font>
    <font>
      <sz val="9"/>
      <color indexed="81"/>
      <name val="Tahoma"/>
      <charset val="1"/>
    </font>
    <font>
      <b/>
      <sz val="9"/>
      <color indexed="81"/>
      <name val="Tahoma"/>
      <charset val="1"/>
    </font>
    <font>
      <sz val="10"/>
      <color rgb="FF000000"/>
      <name val="Arial"/>
      <family val="2"/>
    </font>
    <font>
      <b/>
      <sz val="10"/>
      <color rgb="FF000000"/>
      <name val="Arial"/>
      <family val="2"/>
    </font>
  </fonts>
  <fills count="22">
    <fill>
      <patternFill patternType="none"/>
    </fill>
    <fill>
      <patternFill patternType="gray125"/>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C6EFCE"/>
      </patternFill>
    </fill>
    <fill>
      <patternFill patternType="solid">
        <fgColor rgb="FFFFEB9C"/>
      </patternFill>
    </fill>
    <fill>
      <patternFill patternType="solid">
        <fgColor theme="8" tint="0.59999389629810485"/>
        <bgColor indexed="64"/>
      </patternFill>
    </fill>
    <fill>
      <patternFill patternType="solid">
        <fgColor rgb="FFFFC7CE"/>
      </patternFill>
    </fill>
    <fill>
      <patternFill patternType="solid">
        <fgColor rgb="FFF2F2F2"/>
      </patternFill>
    </fill>
    <fill>
      <patternFill patternType="solid">
        <fgColor rgb="FF999999"/>
        <bgColor indexed="64"/>
      </patternFill>
    </fill>
    <fill>
      <patternFill patternType="solid">
        <fgColor rgb="FFFFFFFF"/>
        <bgColor indexed="64"/>
      </patternFill>
    </fill>
    <fill>
      <patternFill patternType="solid">
        <fgColor rgb="FFE6E6E6"/>
        <bgColor indexed="64"/>
      </patternFill>
    </fill>
    <fill>
      <patternFill patternType="solid">
        <fgColor theme="0" tint="-0.14999847407452621"/>
        <bgColor indexed="64"/>
      </patternFill>
    </fill>
    <fill>
      <patternFill patternType="solid">
        <fgColor rgb="FFA6A6A6"/>
        <bgColor indexed="64"/>
      </patternFill>
    </fill>
    <fill>
      <patternFill patternType="solid">
        <fgColor rgb="FFBFBFBF"/>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right style="medium">
        <color rgb="FFC0C0C0"/>
      </right>
      <top style="medium">
        <color rgb="FFC0C0C0"/>
      </top>
      <bottom style="medium">
        <color rgb="FFC0C0C0"/>
      </bottom>
      <diagonal/>
    </border>
    <border>
      <left/>
      <right/>
      <top style="medium">
        <color rgb="FFC0C0C0"/>
      </top>
      <bottom style="medium">
        <color rgb="FFC0C0C0"/>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medium">
        <color rgb="FFC0C0C0"/>
      </right>
      <top/>
      <bottom/>
      <diagonal/>
    </border>
    <border>
      <left style="medium">
        <color rgb="FFC0C0C0"/>
      </left>
      <right style="medium">
        <color rgb="FFC0C0C0"/>
      </right>
      <top/>
      <bottom style="thick">
        <color rgb="FFBFBFBF"/>
      </bottom>
      <diagonal/>
    </border>
    <border>
      <left/>
      <right style="medium">
        <color rgb="FFC0C0C0"/>
      </right>
      <top/>
      <bottom style="thick">
        <color rgb="FFBFBFBF"/>
      </bottom>
      <diagonal/>
    </border>
    <border>
      <left style="medium">
        <color rgb="FFC0C0C0"/>
      </left>
      <right/>
      <top style="medium">
        <color rgb="FFC0C0C0"/>
      </top>
      <bottom style="medium">
        <color rgb="FFC0C0C0"/>
      </bottom>
      <diagonal/>
    </border>
    <border>
      <left style="medium">
        <color rgb="FFC0C0C0"/>
      </left>
      <right style="medium">
        <color rgb="FFC0C0C0"/>
      </right>
      <top style="medium">
        <color rgb="FFC0C0C0"/>
      </top>
      <bottom/>
      <diagonal/>
    </border>
    <border>
      <left style="medium">
        <color rgb="FFC0C0C0"/>
      </left>
      <right style="medium">
        <color rgb="FFC0C0C0"/>
      </right>
      <top style="thick">
        <color rgb="FFBFBFBF"/>
      </top>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7030A0"/>
      </left>
      <right style="medium">
        <color rgb="FF7030A0"/>
      </right>
      <top style="medium">
        <color rgb="FF7030A0"/>
      </top>
      <bottom/>
      <diagonal/>
    </border>
    <border>
      <left style="medium">
        <color rgb="FF7030A0"/>
      </left>
      <right style="medium">
        <color rgb="FF7030A0"/>
      </right>
      <top/>
      <bottom/>
      <diagonal/>
    </border>
    <border>
      <left style="medium">
        <color rgb="FF7030A0"/>
      </left>
      <right style="medium">
        <color rgb="FF7030A0"/>
      </right>
      <top/>
      <bottom style="medium">
        <color rgb="FF7030A0"/>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00B0F0"/>
      </left>
      <right style="medium">
        <color rgb="FF00B0F0"/>
      </right>
      <top style="medium">
        <color rgb="FF00B0F0"/>
      </top>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C0C0C0"/>
      </left>
      <right/>
      <top/>
      <bottom/>
      <diagonal/>
    </border>
  </borders>
  <cellStyleXfs count="11">
    <xf numFmtId="0" fontId="0" fillId="0" borderId="0"/>
    <xf numFmtId="9" fontId="3" fillId="0" borderId="0" applyFont="0" applyFill="0" applyBorder="0" applyAlignment="0" applyProtection="0"/>
    <xf numFmtId="0" fontId="5" fillId="0" borderId="0" applyNumberFormat="0" applyFill="0" applyBorder="0" applyAlignment="0" applyProtection="0">
      <alignment vertical="top"/>
      <protection locked="0"/>
    </xf>
    <xf numFmtId="0" fontId="10" fillId="0" borderId="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8" fillId="11" borderId="0" applyNumberFormat="0" applyBorder="0" applyAlignment="0" applyProtection="0"/>
    <xf numFmtId="0" fontId="29" fillId="12" borderId="0" applyNumberFormat="0" applyBorder="0" applyAlignment="0" applyProtection="0"/>
    <xf numFmtId="0" fontId="31" fillId="14" borderId="0" applyNumberFormat="0" applyBorder="0" applyAlignment="0" applyProtection="0"/>
    <xf numFmtId="0" fontId="32" fillId="15" borderId="30" applyNumberFormat="0" applyAlignment="0" applyProtection="0"/>
    <xf numFmtId="43" fontId="3" fillId="0" borderId="0" applyFont="0" applyFill="0" applyBorder="0" applyAlignment="0" applyProtection="0"/>
  </cellStyleXfs>
  <cellXfs count="489">
    <xf numFmtId="0" fontId="0" fillId="0" borderId="0" xfId="0"/>
    <xf numFmtId="2" fontId="0" fillId="0" borderId="0" xfId="0" applyNumberFormat="1"/>
    <xf numFmtId="0" fontId="0" fillId="4" borderId="1" xfId="0" applyFill="1" applyBorder="1"/>
    <xf numFmtId="0" fontId="0" fillId="5" borderId="1" xfId="0" applyFill="1" applyBorder="1"/>
    <xf numFmtId="0" fontId="0" fillId="2" borderId="1" xfId="0" applyFill="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0" fontId="0" fillId="6" borderId="1" xfId="0" applyFill="1" applyBorder="1"/>
    <xf numFmtId="0" fontId="0" fillId="0" borderId="1" xfId="0" applyBorder="1"/>
    <xf numFmtId="2" fontId="0" fillId="0" borderId="0" xfId="0" applyNumberFormat="1" applyFill="1" applyBorder="1"/>
    <xf numFmtId="0" fontId="0" fillId="7" borderId="0" xfId="0" applyFill="1"/>
    <xf numFmtId="0" fontId="0" fillId="0" borderId="0" xfId="0" applyFill="1"/>
    <xf numFmtId="0" fontId="0" fillId="0" borderId="0" xfId="0" applyAlignment="1">
      <alignment horizontal="left"/>
    </xf>
    <xf numFmtId="0" fontId="0" fillId="2" borderId="1" xfId="0" applyFill="1" applyBorder="1" applyAlignment="1">
      <alignment horizontal="center"/>
    </xf>
    <xf numFmtId="0" fontId="0" fillId="3" borderId="1" xfId="0" applyFill="1" applyBorder="1" applyAlignment="1">
      <alignment horizontal="center"/>
    </xf>
    <xf numFmtId="164" fontId="0" fillId="0" borderId="0" xfId="1" applyNumberFormat="1" applyFont="1"/>
    <xf numFmtId="0" fontId="0" fillId="0" borderId="0" xfId="0" applyFill="1" applyBorder="1" applyAlignment="1">
      <alignment horizontal="center"/>
    </xf>
    <xf numFmtId="0" fontId="0" fillId="0" borderId="2" xfId="0" applyFill="1" applyBorder="1"/>
    <xf numFmtId="1" fontId="0" fillId="0" borderId="0" xfId="0" applyNumberFormat="1"/>
    <xf numFmtId="0" fontId="4" fillId="0" borderId="0" xfId="0" applyFont="1"/>
    <xf numFmtId="165" fontId="0" fillId="0" borderId="1" xfId="0" applyNumberFormat="1" applyBorder="1"/>
    <xf numFmtId="1" fontId="0" fillId="0" borderId="1" xfId="0" applyNumberFormat="1" applyBorder="1"/>
    <xf numFmtId="0" fontId="5" fillId="0" borderId="0" xfId="2" applyAlignment="1" applyProtection="1"/>
    <xf numFmtId="9" fontId="0" fillId="0" borderId="0" xfId="1" applyFont="1"/>
    <xf numFmtId="0" fontId="0" fillId="8" borderId="0" xfId="0" applyFill="1"/>
    <xf numFmtId="2" fontId="0" fillId="0" borderId="0" xfId="0" applyNumberFormat="1" applyFill="1"/>
    <xf numFmtId="165" fontId="0" fillId="0" borderId="0" xfId="0" applyNumberFormat="1" applyFill="1"/>
    <xf numFmtId="165" fontId="0" fillId="0" borderId="1" xfId="0" quotePrefix="1" applyNumberFormat="1" applyBorder="1"/>
    <xf numFmtId="0" fontId="0" fillId="9" borderId="0" xfId="0" applyFill="1"/>
    <xf numFmtId="9" fontId="0" fillId="0" borderId="0" xfId="1" applyFont="1" applyFill="1"/>
    <xf numFmtId="0" fontId="0" fillId="0" borderId="0" xfId="0" applyBorder="1"/>
    <xf numFmtId="1" fontId="0" fillId="0" borderId="0" xfId="0" applyNumberFormat="1" applyBorder="1"/>
    <xf numFmtId="0" fontId="0" fillId="7" borderId="0" xfId="0" applyFill="1" applyAlignment="1">
      <alignment horizontal="left"/>
    </xf>
    <xf numFmtId="165" fontId="0" fillId="0" borderId="0" xfId="0" applyNumberFormat="1" applyBorder="1"/>
    <xf numFmtId="165" fontId="0" fillId="0" borderId="0" xfId="0" quotePrefix="1" applyNumberFormat="1" applyBorder="1"/>
    <xf numFmtId="1" fontId="0" fillId="0" borderId="1" xfId="0" applyNumberFormat="1" applyBorder="1" applyAlignment="1">
      <alignment horizontal="right"/>
    </xf>
    <xf numFmtId="0" fontId="0" fillId="0" borderId="3" xfId="0" applyBorder="1"/>
    <xf numFmtId="1" fontId="0" fillId="0" borderId="3" xfId="0" applyNumberFormat="1" applyBorder="1"/>
    <xf numFmtId="0" fontId="6" fillId="0" borderId="7" xfId="0" applyFont="1" applyBorder="1" applyAlignment="1">
      <alignment horizontal="center" vertical="top" wrapText="1"/>
    </xf>
    <xf numFmtId="0" fontId="6" fillId="0" borderId="5" xfId="0" applyFont="1" applyBorder="1" applyAlignment="1">
      <alignment vertical="top" wrapText="1"/>
    </xf>
    <xf numFmtId="0" fontId="6" fillId="0" borderId="5" xfId="0" applyFont="1" applyBorder="1" applyAlignment="1">
      <alignment horizontal="center" vertical="top" wrapText="1"/>
    </xf>
    <xf numFmtId="1" fontId="7" fillId="0" borderId="7" xfId="0" applyNumberFormat="1" applyFont="1" applyBorder="1" applyAlignment="1">
      <alignment horizontal="center" vertical="top" wrapText="1"/>
    </xf>
    <xf numFmtId="1" fontId="0" fillId="9" borderId="0" xfId="0" applyNumberFormat="1" applyFill="1"/>
    <xf numFmtId="0" fontId="6" fillId="0" borderId="9" xfId="0" applyFont="1" applyBorder="1" applyAlignment="1">
      <alignment vertical="top" wrapText="1"/>
    </xf>
    <xf numFmtId="165" fontId="7" fillId="0" borderId="10" xfId="0" applyNumberFormat="1" applyFont="1" applyBorder="1" applyAlignment="1">
      <alignment horizontal="center"/>
    </xf>
    <xf numFmtId="0" fontId="0" fillId="0" borderId="11" xfId="0" applyBorder="1"/>
    <xf numFmtId="165" fontId="0" fillId="0" borderId="12" xfId="0" applyNumberFormat="1" applyBorder="1" applyAlignment="1">
      <alignment horizontal="center"/>
    </xf>
    <xf numFmtId="165" fontId="0" fillId="0" borderId="13" xfId="0" applyNumberFormat="1" applyBorder="1" applyAlignment="1">
      <alignment horizontal="center"/>
    </xf>
    <xf numFmtId="0" fontId="4" fillId="0" borderId="1" xfId="0" applyFont="1" applyBorder="1"/>
    <xf numFmtId="1" fontId="4" fillId="0" borderId="1" xfId="0" applyNumberFormat="1" applyFont="1" applyBorder="1"/>
    <xf numFmtId="165" fontId="4" fillId="0" borderId="1" xfId="0" applyNumberFormat="1" applyFont="1" applyBorder="1"/>
    <xf numFmtId="0" fontId="0" fillId="0" borderId="1" xfId="0" applyFont="1" applyBorder="1"/>
    <xf numFmtId="0" fontId="0" fillId="6" borderId="14" xfId="0" applyFill="1" applyBorder="1"/>
    <xf numFmtId="0" fontId="9" fillId="0" borderId="0" xfId="0" applyFont="1"/>
    <xf numFmtId="0" fontId="9" fillId="0" borderId="0" xfId="0" applyFont="1" applyAlignment="1">
      <alignment wrapText="1"/>
    </xf>
    <xf numFmtId="0" fontId="10" fillId="0" borderId="0" xfId="3"/>
    <xf numFmtId="0" fontId="11" fillId="0" borderId="0" xfId="3" applyFont="1" applyAlignment="1">
      <alignment horizontal="right"/>
    </xf>
    <xf numFmtId="0" fontId="10" fillId="0" borderId="0" xfId="3" applyFill="1"/>
    <xf numFmtId="0" fontId="14" fillId="0" borderId="0" xfId="3" applyFont="1"/>
    <xf numFmtId="165" fontId="0" fillId="0" borderId="0" xfId="0" applyNumberFormat="1"/>
    <xf numFmtId="16" fontId="10" fillId="0" borderId="0" xfId="3" quotePrefix="1" applyNumberFormat="1"/>
    <xf numFmtId="0" fontId="10" fillId="0" borderId="0" xfId="3" quotePrefix="1"/>
    <xf numFmtId="0" fontId="0" fillId="0" borderId="0" xfId="0" quotePrefix="1"/>
    <xf numFmtId="4" fontId="0" fillId="0" borderId="0" xfId="0" applyNumberFormat="1"/>
    <xf numFmtId="9" fontId="0" fillId="0" borderId="1" xfId="1" applyFont="1" applyBorder="1"/>
    <xf numFmtId="2" fontId="0" fillId="0" borderId="1" xfId="0" applyNumberFormat="1" applyBorder="1"/>
    <xf numFmtId="0" fontId="4" fillId="0" borderId="15" xfId="0" applyFont="1" applyFill="1" applyBorder="1"/>
    <xf numFmtId="164" fontId="0" fillId="0" borderId="1" xfId="1" applyNumberFormat="1" applyFont="1" applyBorder="1"/>
    <xf numFmtId="0" fontId="15" fillId="0" borderId="1" xfId="0" applyFont="1" applyBorder="1"/>
    <xf numFmtId="0" fontId="0" fillId="6" borderId="0" xfId="0" applyFill="1"/>
    <xf numFmtId="0" fontId="19" fillId="0" borderId="0" xfId="0" applyFont="1"/>
    <xf numFmtId="0" fontId="18" fillId="0" borderId="0" xfId="0" applyFont="1"/>
    <xf numFmtId="0" fontId="20" fillId="0" borderId="0" xfId="0" applyFont="1"/>
    <xf numFmtId="0" fontId="0" fillId="10" borderId="0" xfId="0" applyFill="1"/>
    <xf numFmtId="0" fontId="21" fillId="0" borderId="0" xfId="0" applyFont="1"/>
    <xf numFmtId="1" fontId="0" fillId="0" borderId="0" xfId="0" applyNumberFormat="1" applyFill="1"/>
    <xf numFmtId="0" fontId="0" fillId="0" borderId="1" xfId="0" applyFill="1" applyBorder="1"/>
    <xf numFmtId="0" fontId="18" fillId="0" borderId="0" xfId="0" applyFont="1" applyFill="1"/>
    <xf numFmtId="0" fontId="23" fillId="0" borderId="0" xfId="0" applyFont="1"/>
    <xf numFmtId="0" fontId="24" fillId="0" borderId="0" xfId="0" applyFont="1"/>
    <xf numFmtId="0" fontId="25" fillId="0" borderId="0" xfId="0" applyFont="1"/>
    <xf numFmtId="0" fontId="20" fillId="8" borderId="0" xfId="0" applyFont="1" applyFill="1"/>
    <xf numFmtId="0" fontId="26" fillId="0" borderId="0" xfId="0" applyFont="1"/>
    <xf numFmtId="0" fontId="0" fillId="0" borderId="0" xfId="0" applyAlignment="1">
      <alignment wrapText="1"/>
    </xf>
    <xf numFmtId="0" fontId="0" fillId="6" borderId="16" xfId="0" applyFill="1" applyBorder="1"/>
    <xf numFmtId="0" fontId="21" fillId="8" borderId="0" xfId="0" applyFont="1" applyFill="1"/>
    <xf numFmtId="0" fontId="27" fillId="0" borderId="0" xfId="0" applyFont="1" applyFill="1"/>
    <xf numFmtId="2" fontId="0" fillId="8" borderId="0" xfId="0" applyNumberFormat="1" applyFill="1" applyBorder="1"/>
    <xf numFmtId="2" fontId="0" fillId="8" borderId="0" xfId="0" applyNumberFormat="1" applyFill="1"/>
    <xf numFmtId="0" fontId="0" fillId="0" borderId="0" xfId="0" applyFill="1" applyAlignment="1">
      <alignment horizontal="left"/>
    </xf>
    <xf numFmtId="166" fontId="0" fillId="0" borderId="0" xfId="0" applyNumberFormat="1"/>
    <xf numFmtId="168" fontId="0" fillId="0" borderId="0" xfId="0" applyNumberFormat="1"/>
    <xf numFmtId="169" fontId="0" fillId="0" borderId="0" xfId="0" applyNumberFormat="1"/>
    <xf numFmtId="0" fontId="28" fillId="11" borderId="1" xfId="6" applyBorder="1"/>
    <xf numFmtId="1" fontId="28" fillId="11" borderId="0" xfId="6" applyNumberFormat="1"/>
    <xf numFmtId="166" fontId="28" fillId="11" borderId="0" xfId="6" applyNumberFormat="1"/>
    <xf numFmtId="169" fontId="28" fillId="11" borderId="0" xfId="6" applyNumberFormat="1"/>
    <xf numFmtId="168" fontId="28" fillId="11" borderId="0" xfId="6" applyNumberFormat="1"/>
    <xf numFmtId="0" fontId="28" fillId="11" borderId="0" xfId="6"/>
    <xf numFmtId="165" fontId="28" fillId="11" borderId="0" xfId="6" applyNumberFormat="1"/>
    <xf numFmtId="0" fontId="29" fillId="12" borderId="0" xfId="7"/>
    <xf numFmtId="10" fontId="0" fillId="0" borderId="1" xfId="1" applyNumberFormat="1" applyFont="1" applyBorder="1"/>
    <xf numFmtId="167" fontId="0" fillId="0" borderId="0" xfId="0" applyNumberFormat="1" applyBorder="1"/>
    <xf numFmtId="0" fontId="0" fillId="13" borderId="1" xfId="0" applyFill="1" applyBorder="1"/>
    <xf numFmtId="0" fontId="0" fillId="3" borderId="1" xfId="0" applyFill="1" applyBorder="1"/>
    <xf numFmtId="2" fontId="29" fillId="12" borderId="0" xfId="7" applyNumberFormat="1"/>
    <xf numFmtId="0" fontId="28" fillId="11" borderId="0" xfId="6" applyBorder="1"/>
    <xf numFmtId="0" fontId="30" fillId="0" borderId="0" xfId="0" applyFont="1"/>
    <xf numFmtId="0" fontId="28" fillId="9" borderId="0" xfId="6" applyFill="1"/>
    <xf numFmtId="1" fontId="28" fillId="9" borderId="0" xfId="6" applyNumberFormat="1" applyFill="1"/>
    <xf numFmtId="170" fontId="0" fillId="0" borderId="0" xfId="0" applyNumberFormat="1"/>
    <xf numFmtId="164" fontId="0" fillId="0" borderId="0" xfId="0" applyNumberFormat="1"/>
    <xf numFmtId="164" fontId="0" fillId="0" borderId="0" xfId="1" applyNumberFormat="1" applyFont="1" applyFill="1" applyBorder="1"/>
    <xf numFmtId="165" fontId="0" fillId="0" borderId="0" xfId="0" applyNumberFormat="1" applyFill="1" applyBorder="1"/>
    <xf numFmtId="0" fontId="0" fillId="0" borderId="19" xfId="0" applyBorder="1"/>
    <xf numFmtId="0" fontId="0" fillId="0" borderId="7" xfId="0" applyBorder="1"/>
    <xf numFmtId="0" fontId="0" fillId="0" borderId="16" xfId="0" applyBorder="1"/>
    <xf numFmtId="0" fontId="0" fillId="0" borderId="22" xfId="0" applyBorder="1"/>
    <xf numFmtId="0" fontId="0" fillId="0" borderId="20" xfId="0" applyFill="1" applyBorder="1"/>
    <xf numFmtId="0" fontId="0" fillId="0" borderId="21" xfId="0" applyFill="1" applyBorder="1"/>
    <xf numFmtId="0" fontId="0" fillId="0" borderId="17" xfId="0" applyFill="1" applyBorder="1"/>
    <xf numFmtId="0" fontId="0" fillId="0" borderId="0" xfId="0" applyFill="1" applyBorder="1"/>
    <xf numFmtId="0" fontId="0" fillId="0" borderId="10" xfId="0" applyBorder="1"/>
    <xf numFmtId="2" fontId="0" fillId="0" borderId="0" xfId="0" applyNumberFormat="1" applyBorder="1"/>
    <xf numFmtId="0" fontId="0" fillId="0" borderId="25" xfId="0" applyBorder="1"/>
    <xf numFmtId="0" fontId="0" fillId="0" borderId="14" xfId="0" applyBorder="1"/>
    <xf numFmtId="0" fontId="0" fillId="0" borderId="26" xfId="0" applyBorder="1"/>
    <xf numFmtId="10" fontId="0" fillId="0" borderId="0" xfId="1" applyNumberFormat="1" applyFont="1" applyBorder="1"/>
    <xf numFmtId="0" fontId="0" fillId="0" borderId="27" xfId="0" applyBorder="1"/>
    <xf numFmtId="164" fontId="0" fillId="0" borderId="27" xfId="1" applyNumberFormat="1" applyFont="1" applyBorder="1"/>
    <xf numFmtId="164" fontId="0" fillId="0" borderId="2" xfId="1" applyNumberFormat="1" applyFont="1" applyBorder="1"/>
    <xf numFmtId="10" fontId="0" fillId="0" borderId="15" xfId="1" applyNumberFormat="1" applyFont="1" applyBorder="1"/>
    <xf numFmtId="167" fontId="0" fillId="0" borderId="23" xfId="0" applyNumberFormat="1" applyBorder="1"/>
    <xf numFmtId="164" fontId="0" fillId="0" borderId="23" xfId="1" applyNumberFormat="1" applyFont="1" applyBorder="1"/>
    <xf numFmtId="164" fontId="0" fillId="0" borderId="28" xfId="1" applyNumberFormat="1" applyFont="1" applyBorder="1"/>
    <xf numFmtId="0" fontId="0" fillId="0" borderId="0" xfId="0" applyAlignment="1">
      <alignment horizontal="center"/>
    </xf>
    <xf numFmtId="164" fontId="0" fillId="0" borderId="0" xfId="1" applyNumberFormat="1" applyFont="1" applyAlignment="1">
      <alignment horizontal="center"/>
    </xf>
    <xf numFmtId="167" fontId="0" fillId="0" borderId="0" xfId="0" applyNumberFormat="1" applyBorder="1" applyAlignment="1">
      <alignment horizontal="center"/>
    </xf>
    <xf numFmtId="164" fontId="0" fillId="0" borderId="0" xfId="1" applyNumberFormat="1" applyFont="1" applyBorder="1"/>
    <xf numFmtId="0" fontId="25" fillId="0" borderId="0" xfId="0" applyFont="1" applyBorder="1"/>
    <xf numFmtId="165" fontId="0" fillId="0" borderId="0" xfId="0" applyNumberFormat="1" applyBorder="1" applyAlignment="1">
      <alignment horizontal="center"/>
    </xf>
    <xf numFmtId="9" fontId="0" fillId="0" borderId="0" xfId="1" applyFont="1" applyBorder="1" applyAlignment="1">
      <alignment horizontal="center"/>
    </xf>
    <xf numFmtId="0" fontId="0" fillId="0" borderId="0" xfId="0" applyBorder="1" applyAlignment="1">
      <alignment horizontal="center"/>
    </xf>
    <xf numFmtId="164" fontId="0" fillId="0" borderId="0" xfId="0" applyNumberFormat="1" applyBorder="1"/>
    <xf numFmtId="164" fontId="0" fillId="0" borderId="10" xfId="0" applyNumberFormat="1" applyBorder="1"/>
    <xf numFmtId="164" fontId="0" fillId="0" borderId="19" xfId="0" applyNumberFormat="1" applyBorder="1"/>
    <xf numFmtId="164" fontId="0" fillId="0" borderId="7" xfId="0" applyNumberFormat="1" applyBorder="1"/>
    <xf numFmtId="165" fontId="0" fillId="0" borderId="17" xfId="0" applyNumberFormat="1" applyBorder="1"/>
    <xf numFmtId="165" fontId="0" fillId="0" borderId="10" xfId="0" applyNumberFormat="1" applyBorder="1"/>
    <xf numFmtId="165" fontId="0" fillId="0" borderId="18" xfId="0" applyNumberFormat="1" applyBorder="1"/>
    <xf numFmtId="165" fontId="0" fillId="0" borderId="19" xfId="0" applyNumberFormat="1" applyBorder="1"/>
    <xf numFmtId="165" fontId="0" fillId="0" borderId="7" xfId="0" applyNumberFormat="1" applyBorder="1"/>
    <xf numFmtId="0" fontId="0" fillId="0" borderId="8" xfId="0" applyBorder="1" applyAlignment="1">
      <alignment horizontal="center"/>
    </xf>
    <xf numFmtId="0" fontId="0" fillId="0" borderId="29" xfId="0" applyBorder="1" applyAlignment="1">
      <alignment horizontal="center"/>
    </xf>
    <xf numFmtId="0" fontId="0" fillId="0" borderId="6" xfId="0" applyBorder="1" applyAlignment="1">
      <alignment horizontal="center"/>
    </xf>
    <xf numFmtId="0" fontId="31" fillId="14" borderId="0" xfId="8"/>
    <xf numFmtId="2" fontId="31" fillId="14" borderId="0" xfId="8" applyNumberFormat="1"/>
    <xf numFmtId="0" fontId="31" fillId="14" borderId="0" xfId="8" applyAlignment="1">
      <alignment wrapText="1"/>
    </xf>
    <xf numFmtId="2" fontId="28" fillId="11" borderId="0" xfId="6" applyNumberFormat="1"/>
    <xf numFmtId="0" fontId="32" fillId="15" borderId="30" xfId="9"/>
    <xf numFmtId="0" fontId="0" fillId="0" borderId="18" xfId="0" applyFill="1" applyBorder="1"/>
    <xf numFmtId="2" fontId="0" fillId="0" borderId="10" xfId="0" applyNumberFormat="1" applyFill="1" applyBorder="1"/>
    <xf numFmtId="2" fontId="0" fillId="0" borderId="19" xfId="0" applyNumberFormat="1" applyFill="1" applyBorder="1"/>
    <xf numFmtId="2" fontId="0" fillId="0" borderId="7" xfId="0" applyNumberFormat="1" applyFill="1" applyBorder="1"/>
    <xf numFmtId="2" fontId="0" fillId="0" borderId="16" xfId="0" applyNumberFormat="1" applyFill="1" applyBorder="1"/>
    <xf numFmtId="0" fontId="0" fillId="0" borderId="29" xfId="0" applyBorder="1"/>
    <xf numFmtId="2" fontId="0" fillId="0" borderId="24" xfId="0" applyNumberFormat="1" applyFill="1" applyBorder="1"/>
    <xf numFmtId="2" fontId="0" fillId="0" borderId="19" xfId="0" applyNumberFormat="1" applyBorder="1"/>
    <xf numFmtId="2" fontId="4" fillId="0" borderId="3" xfId="0" applyNumberFormat="1" applyFont="1" applyFill="1" applyBorder="1"/>
    <xf numFmtId="2" fontId="4" fillId="0" borderId="27" xfId="0" applyNumberFormat="1" applyFont="1" applyBorder="1"/>
    <xf numFmtId="2" fontId="4" fillId="0" borderId="27" xfId="0" applyNumberFormat="1" applyFont="1" applyFill="1" applyBorder="1"/>
    <xf numFmtId="0" fontId="0" fillId="0" borderId="32" xfId="0" applyFill="1" applyBorder="1"/>
    <xf numFmtId="2" fontId="4" fillId="0" borderId="34" xfId="0" applyNumberFormat="1" applyFont="1" applyFill="1" applyBorder="1"/>
    <xf numFmtId="0" fontId="0" fillId="0" borderId="8" xfId="0" applyFill="1" applyBorder="1"/>
    <xf numFmtId="2" fontId="0" fillId="0" borderId="35" xfId="0" applyNumberFormat="1" applyFill="1" applyBorder="1"/>
    <xf numFmtId="2" fontId="0" fillId="0" borderId="29" xfId="0" applyNumberFormat="1" applyBorder="1"/>
    <xf numFmtId="2" fontId="0" fillId="0" borderId="29" xfId="0" applyNumberFormat="1" applyFill="1" applyBorder="1"/>
    <xf numFmtId="2" fontId="0" fillId="0" borderId="6" xfId="0" applyNumberFormat="1" applyFill="1" applyBorder="1"/>
    <xf numFmtId="0" fontId="4" fillId="0" borderId="33" xfId="0" applyFont="1" applyFill="1" applyBorder="1"/>
    <xf numFmtId="0" fontId="0" fillId="0" borderId="36" xfId="0" applyFill="1" applyBorder="1"/>
    <xf numFmtId="0" fontId="0" fillId="0" borderId="37" xfId="0" applyFill="1" applyBorder="1"/>
    <xf numFmtId="0" fontId="0" fillId="0" borderId="38" xfId="0" applyBorder="1"/>
    <xf numFmtId="0" fontId="0" fillId="0" borderId="38" xfId="0" applyFill="1" applyBorder="1"/>
    <xf numFmtId="0" fontId="0" fillId="0" borderId="39" xfId="0" applyFill="1" applyBorder="1"/>
    <xf numFmtId="0" fontId="4" fillId="0" borderId="27" xfId="0" applyFont="1" applyBorder="1"/>
    <xf numFmtId="0" fontId="0" fillId="0" borderId="20" xfId="0" applyBorder="1"/>
    <xf numFmtId="0" fontId="0" fillId="0" borderId="40" xfId="0" applyFill="1" applyBorder="1"/>
    <xf numFmtId="0" fontId="0" fillId="0" borderId="41" xfId="0" applyFill="1" applyBorder="1"/>
    <xf numFmtId="0" fontId="0" fillId="0" borderId="42" xfId="0" applyFill="1" applyBorder="1"/>
    <xf numFmtId="0" fontId="4" fillId="0" borderId="43" xfId="0" applyFont="1" applyFill="1" applyBorder="1"/>
    <xf numFmtId="0" fontId="0" fillId="0" borderId="11" xfId="0" applyFill="1" applyBorder="1"/>
    <xf numFmtId="0" fontId="0" fillId="0" borderId="31" xfId="0" applyFill="1" applyBorder="1"/>
    <xf numFmtId="164" fontId="0" fillId="0" borderId="15" xfId="1" applyNumberFormat="1" applyFont="1" applyBorder="1"/>
    <xf numFmtId="167" fontId="0" fillId="0" borderId="27" xfId="0" applyNumberFormat="1" applyBorder="1"/>
    <xf numFmtId="165" fontId="0" fillId="0" borderId="23" xfId="0" applyNumberFormat="1" applyBorder="1"/>
    <xf numFmtId="0" fontId="0" fillId="0" borderId="1" xfId="0" applyBorder="1" applyAlignment="1">
      <alignment horizontal="center"/>
    </xf>
    <xf numFmtId="0" fontId="0" fillId="0" borderId="14" xfId="0" applyFill="1" applyBorder="1"/>
    <xf numFmtId="0" fontId="0" fillId="0" borderId="26" xfId="0" applyFill="1" applyBorder="1"/>
    <xf numFmtId="165" fontId="0" fillId="0" borderId="27" xfId="1" applyNumberFormat="1" applyFont="1" applyBorder="1"/>
    <xf numFmtId="9" fontId="0" fillId="0" borderId="0" xfId="1" applyFont="1" applyBorder="1"/>
    <xf numFmtId="9" fontId="0" fillId="0" borderId="19" xfId="1" applyFont="1" applyBorder="1"/>
    <xf numFmtId="164" fontId="0" fillId="0" borderId="0" xfId="1" applyNumberFormat="1" applyFont="1" applyBorder="1" applyAlignment="1">
      <alignment horizontal="center"/>
    </xf>
    <xf numFmtId="10" fontId="0" fillId="0" borderId="0" xfId="1" applyNumberFormat="1" applyFont="1" applyBorder="1" applyAlignment="1">
      <alignment horizontal="center"/>
    </xf>
    <xf numFmtId="0" fontId="0" fillId="0" borderId="45" xfId="0" applyBorder="1" applyAlignment="1">
      <alignment horizontal="center"/>
    </xf>
    <xf numFmtId="164" fontId="0" fillId="0" borderId="10" xfId="1" applyNumberFormat="1" applyFont="1" applyBorder="1" applyAlignment="1">
      <alignment horizontal="center"/>
    </xf>
    <xf numFmtId="10" fontId="0" fillId="0" borderId="10" xfId="1" applyNumberFormat="1" applyFont="1" applyBorder="1" applyAlignment="1">
      <alignment horizontal="center"/>
    </xf>
    <xf numFmtId="0" fontId="0" fillId="0" borderId="10" xfId="0" applyBorder="1" applyAlignment="1">
      <alignment horizontal="center"/>
    </xf>
    <xf numFmtId="165" fontId="0" fillId="0" borderId="19" xfId="0" applyNumberFormat="1" applyBorder="1" applyAlignment="1">
      <alignment horizontal="center"/>
    </xf>
    <xf numFmtId="9" fontId="0" fillId="0" borderId="19" xfId="1" applyFont="1" applyBorder="1" applyAlignment="1">
      <alignment horizontal="center"/>
    </xf>
    <xf numFmtId="164" fontId="0" fillId="0" borderId="19" xfId="1" applyNumberFormat="1" applyFont="1" applyBorder="1" applyAlignment="1">
      <alignment horizontal="center"/>
    </xf>
    <xf numFmtId="164" fontId="0" fillId="0" borderId="7" xfId="1" applyNumberFormat="1" applyFont="1" applyBorder="1" applyAlignment="1">
      <alignment horizontal="center"/>
    </xf>
    <xf numFmtId="0" fontId="0" fillId="0" borderId="46" xfId="0" applyBorder="1" applyAlignment="1">
      <alignment horizontal="center"/>
    </xf>
    <xf numFmtId="0" fontId="0" fillId="0" borderId="44" xfId="0" applyBorder="1" applyAlignment="1">
      <alignment horizontal="center"/>
    </xf>
    <xf numFmtId="0" fontId="4" fillId="0" borderId="0" xfId="0" applyFont="1" applyFill="1" applyBorder="1"/>
    <xf numFmtId="2" fontId="4" fillId="0" borderId="0" xfId="0" applyNumberFormat="1" applyFont="1" applyFill="1" applyBorder="1"/>
    <xf numFmtId="2" fontId="0" fillId="0" borderId="0" xfId="0" applyNumberFormat="1" applyFont="1" applyFill="1" applyBorder="1"/>
    <xf numFmtId="0" fontId="0" fillId="0" borderId="0" xfId="0" applyFont="1" applyBorder="1"/>
    <xf numFmtId="2" fontId="0" fillId="0" borderId="10" xfId="0" applyNumberFormat="1" applyFont="1" applyFill="1" applyBorder="1"/>
    <xf numFmtId="0" fontId="0" fillId="0" borderId="47" xfId="0" applyFont="1" applyFill="1" applyBorder="1"/>
    <xf numFmtId="166" fontId="0" fillId="0" borderId="0" xfId="0" applyNumberFormat="1" applyBorder="1"/>
    <xf numFmtId="0" fontId="0" fillId="0" borderId="42" xfId="0" applyBorder="1" applyAlignment="1">
      <alignment horizontal="left"/>
    </xf>
    <xf numFmtId="0" fontId="0" fillId="0" borderId="42" xfId="0" applyFill="1" applyBorder="1" applyAlignment="1">
      <alignment horizontal="left"/>
    </xf>
    <xf numFmtId="0" fontId="0" fillId="0" borderId="31" xfId="0" applyFill="1" applyBorder="1" applyAlignment="1">
      <alignment horizontal="left"/>
    </xf>
    <xf numFmtId="9" fontId="0" fillId="0" borderId="0" xfId="1" applyNumberFormat="1" applyFont="1" applyBorder="1" applyAlignment="1">
      <alignment horizontal="center"/>
    </xf>
    <xf numFmtId="166" fontId="0" fillId="0" borderId="17" xfId="0" applyNumberFormat="1" applyBorder="1"/>
    <xf numFmtId="166" fontId="0" fillId="0" borderId="10" xfId="0" applyNumberFormat="1" applyBorder="1"/>
    <xf numFmtId="2" fontId="4" fillId="0" borderId="0" xfId="0" applyNumberFormat="1" applyFont="1" applyBorder="1"/>
    <xf numFmtId="9" fontId="0" fillId="0" borderId="0" xfId="0" applyNumberFormat="1"/>
    <xf numFmtId="0" fontId="0" fillId="0" borderId="6" xfId="0" applyBorder="1"/>
    <xf numFmtId="0" fontId="0" fillId="0" borderId="21" xfId="0" applyBorder="1"/>
    <xf numFmtId="0" fontId="4" fillId="0" borderId="34" xfId="0" applyFont="1" applyBorder="1"/>
    <xf numFmtId="0" fontId="0" fillId="0" borderId="40" xfId="0" applyBorder="1"/>
    <xf numFmtId="0" fontId="0" fillId="0" borderId="42" xfId="0" applyBorder="1"/>
    <xf numFmtId="0" fontId="4" fillId="0" borderId="43" xfId="0" applyFont="1" applyBorder="1"/>
    <xf numFmtId="0" fontId="0" fillId="0" borderId="31" xfId="0" applyBorder="1"/>
    <xf numFmtId="0" fontId="4" fillId="0" borderId="42" xfId="0" applyFont="1" applyFill="1" applyBorder="1"/>
    <xf numFmtId="0" fontId="4" fillId="0" borderId="0" xfId="0" applyFont="1" applyBorder="1"/>
    <xf numFmtId="2" fontId="4" fillId="0" borderId="10" xfId="0" applyNumberFormat="1" applyFont="1" applyFill="1" applyBorder="1"/>
    <xf numFmtId="0" fontId="4" fillId="0" borderId="31" xfId="0" applyFont="1" applyFill="1" applyBorder="1"/>
    <xf numFmtId="2" fontId="4" fillId="0" borderId="19" xfId="0" applyNumberFormat="1" applyFont="1" applyFill="1" applyBorder="1"/>
    <xf numFmtId="0" fontId="4" fillId="0" borderId="19" xfId="0" applyFont="1" applyBorder="1"/>
    <xf numFmtId="2" fontId="4" fillId="0" borderId="7" xfId="0" applyNumberFormat="1" applyFont="1" applyFill="1" applyBorder="1"/>
    <xf numFmtId="0" fontId="0" fillId="2" borderId="1" xfId="0" applyFill="1" applyBorder="1" applyAlignment="1">
      <alignment horizontal="center"/>
    </xf>
    <xf numFmtId="0" fontId="0" fillId="3" borderId="1" xfId="0" applyFill="1" applyBorder="1" applyAlignment="1">
      <alignment horizontal="center"/>
    </xf>
    <xf numFmtId="167" fontId="0" fillId="0" borderId="0" xfId="0" applyNumberFormat="1"/>
    <xf numFmtId="10" fontId="0" fillId="0" borderId="0" xfId="0" applyNumberFormat="1"/>
    <xf numFmtId="165" fontId="0" fillId="7" borderId="0" xfId="0" applyNumberFormat="1" applyFill="1"/>
    <xf numFmtId="2" fontId="0" fillId="7" borderId="0" xfId="0" applyNumberFormat="1" applyFill="1"/>
    <xf numFmtId="0" fontId="33" fillId="0" borderId="7" xfId="0" applyFont="1" applyBorder="1"/>
    <xf numFmtId="0" fontId="33" fillId="0" borderId="7" xfId="0" applyFont="1" applyBorder="1" applyAlignment="1">
      <alignment vertical="top" wrapText="1"/>
    </xf>
    <xf numFmtId="0" fontId="35" fillId="0" borderId="0" xfId="0" applyFont="1"/>
    <xf numFmtId="0" fontId="34" fillId="0" borderId="5" xfId="0" applyFont="1" applyBorder="1"/>
    <xf numFmtId="0" fontId="33" fillId="0" borderId="4" xfId="0" applyFont="1" applyBorder="1" applyAlignment="1">
      <alignment horizontal="center"/>
    </xf>
    <xf numFmtId="0" fontId="33" fillId="0" borderId="5" xfId="0" applyFont="1" applyBorder="1" applyAlignment="1">
      <alignment horizontal="center"/>
    </xf>
    <xf numFmtId="0" fontId="33" fillId="0" borderId="7" xfId="0" applyFont="1" applyBorder="1" applyAlignment="1">
      <alignment horizontal="center"/>
    </xf>
    <xf numFmtId="0" fontId="33" fillId="0" borderId="7" xfId="0" applyFont="1" applyBorder="1" applyAlignment="1">
      <alignment horizontal="center" wrapText="1"/>
    </xf>
    <xf numFmtId="0" fontId="34" fillId="0" borderId="5" xfId="0" applyFont="1" applyBorder="1" applyAlignment="1">
      <alignment horizontal="center"/>
    </xf>
    <xf numFmtId="0" fontId="34" fillId="0" borderId="7" xfId="0" applyFont="1" applyBorder="1" applyAlignment="1">
      <alignment horizontal="center"/>
    </xf>
    <xf numFmtId="0" fontId="34" fillId="0" borderId="7" xfId="0" applyFont="1" applyBorder="1" applyAlignment="1">
      <alignment horizontal="center" wrapText="1"/>
    </xf>
    <xf numFmtId="0" fontId="0" fillId="0" borderId="0" xfId="0"/>
    <xf numFmtId="0" fontId="0" fillId="0" borderId="0" xfId="0"/>
    <xf numFmtId="0" fontId="0" fillId="0" borderId="1" xfId="0" applyBorder="1"/>
    <xf numFmtId="0" fontId="4" fillId="0" borderId="1" xfId="0" applyFont="1" applyBorder="1" applyAlignment="1">
      <alignment horizontal="center" wrapText="1"/>
    </xf>
    <xf numFmtId="0" fontId="0" fillId="0" borderId="0" xfId="0" applyBorder="1" applyAlignment="1">
      <alignment horizontal="center" vertical="center"/>
    </xf>
    <xf numFmtId="2" fontId="0" fillId="0" borderId="0" xfId="0" applyNumberFormat="1" applyBorder="1" applyAlignment="1">
      <alignment horizontal="center" vertical="center"/>
    </xf>
    <xf numFmtId="164" fontId="0" fillId="0" borderId="0" xfId="1" applyNumberFormat="1" applyFont="1" applyBorder="1" applyAlignment="1">
      <alignment horizontal="center" vertical="center"/>
    </xf>
    <xf numFmtId="1" fontId="0" fillId="0" borderId="1" xfId="0" applyNumberFormat="1" applyBorder="1" applyAlignment="1">
      <alignment horizontal="center"/>
    </xf>
    <xf numFmtId="164" fontId="0" fillId="0" borderId="1" xfId="1" applyNumberFormat="1" applyFont="1" applyBorder="1" applyAlignment="1">
      <alignment horizontal="center"/>
    </xf>
    <xf numFmtId="165" fontId="0" fillId="0" borderId="1" xfId="0" applyNumberFormat="1" applyBorder="1" applyAlignment="1">
      <alignment horizontal="center"/>
    </xf>
    <xf numFmtId="0" fontId="0" fillId="0" borderId="1" xfId="0" applyFill="1" applyBorder="1" applyAlignment="1">
      <alignment horizontal="center"/>
    </xf>
    <xf numFmtId="0" fontId="0" fillId="0" borderId="0" xfId="0" applyNumberFormat="1" applyFont="1" applyFill="1" applyBorder="1" applyAlignment="1" applyProtection="1"/>
    <xf numFmtId="0" fontId="28" fillId="11" borderId="0" xfId="6" applyNumberFormat="1" applyFont="1" applyFill="1" applyBorder="1" applyAlignment="1" applyProtection="1"/>
    <xf numFmtId="0" fontId="28" fillId="11" borderId="0" xfId="0" applyNumberFormat="1" applyFont="1" applyFill="1" applyBorder="1" applyAlignment="1" applyProtection="1"/>
    <xf numFmtId="0" fontId="28" fillId="11" borderId="0" xfId="6" applyNumberFormat="1" applyBorder="1" applyAlignment="1" applyProtection="1"/>
    <xf numFmtId="166" fontId="0" fillId="0" borderId="0" xfId="0" applyNumberFormat="1" applyFill="1"/>
    <xf numFmtId="0" fontId="36" fillId="0" borderId="0" xfId="0" applyFont="1"/>
    <xf numFmtId="0" fontId="0" fillId="0" borderId="10" xfId="0" applyFill="1" applyBorder="1"/>
    <xf numFmtId="167" fontId="0" fillId="0" borderId="0" xfId="0" applyNumberFormat="1" applyFill="1"/>
    <xf numFmtId="0" fontId="0" fillId="0" borderId="44" xfId="0" applyBorder="1"/>
    <xf numFmtId="0" fontId="0" fillId="0" borderId="4" xfId="0" applyFill="1" applyBorder="1"/>
    <xf numFmtId="0" fontId="0" fillId="0" borderId="5" xfId="0" applyFill="1" applyBorder="1"/>
    <xf numFmtId="0" fontId="0" fillId="2" borderId="1" xfId="0" applyFill="1" applyBorder="1" applyAlignment="1">
      <alignment horizontal="center"/>
    </xf>
    <xf numFmtId="0" fontId="0" fillId="3" borderId="1" xfId="0" applyFill="1" applyBorder="1" applyAlignment="1">
      <alignment horizontal="center"/>
    </xf>
    <xf numFmtId="0" fontId="33" fillId="0" borderId="7" xfId="0" applyFont="1" applyBorder="1" applyAlignment="1">
      <alignment vertical="center"/>
    </xf>
    <xf numFmtId="0" fontId="33" fillId="0" borderId="7" xfId="0" applyFont="1" applyBorder="1" applyAlignment="1">
      <alignment vertical="center" wrapText="1"/>
    </xf>
    <xf numFmtId="0" fontId="34" fillId="0" borderId="5" xfId="0" applyFont="1" applyBorder="1" applyAlignment="1">
      <alignment vertical="center"/>
    </xf>
    <xf numFmtId="0" fontId="34" fillId="0" borderId="7" xfId="0" applyFont="1" applyBorder="1" applyAlignment="1">
      <alignment horizontal="center" vertical="center"/>
    </xf>
    <xf numFmtId="0" fontId="34" fillId="0" borderId="7" xfId="0" applyFont="1" applyBorder="1" applyAlignment="1">
      <alignment horizontal="center" vertical="center" wrapText="1"/>
    </xf>
    <xf numFmtId="0" fontId="35" fillId="0" borderId="0" xfId="0" applyFont="1" applyAlignment="1">
      <alignment vertical="center"/>
    </xf>
    <xf numFmtId="165" fontId="4" fillId="0" borderId="27" xfId="0" applyNumberFormat="1" applyFont="1" applyFill="1" applyBorder="1"/>
    <xf numFmtId="165" fontId="34" fillId="0" borderId="7" xfId="0" applyNumberFormat="1" applyFont="1" applyBorder="1" applyAlignment="1">
      <alignment horizontal="center" vertical="center"/>
    </xf>
    <xf numFmtId="1" fontId="34" fillId="0" borderId="7" xfId="0" applyNumberFormat="1" applyFont="1" applyBorder="1" applyAlignment="1">
      <alignment horizontal="center" vertical="center"/>
    </xf>
    <xf numFmtId="0" fontId="34" fillId="0" borderId="7" xfId="10" applyNumberFormat="1" applyFont="1" applyBorder="1" applyAlignment="1">
      <alignment horizontal="center" vertical="center"/>
    </xf>
    <xf numFmtId="165" fontId="4" fillId="0" borderId="0" xfId="0" applyNumberFormat="1" applyFont="1" applyFill="1" applyBorder="1"/>
    <xf numFmtId="165" fontId="0" fillId="0" borderId="29" xfId="0" applyNumberFormat="1" applyFill="1" applyBorder="1"/>
    <xf numFmtId="165" fontId="4" fillId="0" borderId="19" xfId="0" applyNumberFormat="1" applyFont="1" applyFill="1" applyBorder="1"/>
    <xf numFmtId="165" fontId="34" fillId="0" borderId="7" xfId="0" applyNumberFormat="1" applyFont="1" applyBorder="1" applyAlignment="1">
      <alignment horizontal="center" vertical="center" wrapText="1"/>
    </xf>
    <xf numFmtId="0" fontId="0" fillId="0" borderId="0" xfId="0" applyAlignment="1">
      <alignment horizontal="center"/>
    </xf>
    <xf numFmtId="0" fontId="29" fillId="12" borderId="16" xfId="7" applyBorder="1"/>
    <xf numFmtId="0" fontId="28" fillId="11" borderId="16" xfId="6" applyBorder="1"/>
    <xf numFmtId="0" fontId="0" fillId="2" borderId="1" xfId="0" applyFill="1" applyBorder="1" applyAlignment="1">
      <alignment horizontal="center"/>
    </xf>
    <xf numFmtId="0" fontId="0" fillId="3" borderId="1" xfId="0" applyFill="1" applyBorder="1" applyAlignment="1">
      <alignment horizontal="center"/>
    </xf>
    <xf numFmtId="0" fontId="4" fillId="0" borderId="1" xfId="0" applyFont="1" applyBorder="1" applyAlignment="1">
      <alignment horizontal="left" wrapText="1"/>
    </xf>
    <xf numFmtId="165" fontId="0" fillId="0" borderId="0" xfId="0" applyNumberFormat="1" applyAlignment="1">
      <alignment horizontal="center"/>
    </xf>
    <xf numFmtId="0" fontId="32" fillId="15" borderId="0" xfId="9" applyBorder="1"/>
    <xf numFmtId="0" fontId="28" fillId="11" borderId="30" xfId="6" applyBorder="1"/>
    <xf numFmtId="0" fontId="0" fillId="0" borderId="25" xfId="0" applyBorder="1" applyAlignment="1">
      <alignment horizontal="center" vertical="center"/>
    </xf>
    <xf numFmtId="0" fontId="0" fillId="0" borderId="0" xfId="0" applyAlignment="1">
      <alignment horizontal="center"/>
    </xf>
    <xf numFmtId="167" fontId="28" fillId="11" borderId="0" xfId="6" applyNumberFormat="1"/>
    <xf numFmtId="165" fontId="0" fillId="0" borderId="0" xfId="0" applyNumberFormat="1" applyAlignment="1">
      <alignment horizontal="left"/>
    </xf>
    <xf numFmtId="1" fontId="0" fillId="0" borderId="0" xfId="0" applyNumberFormat="1" applyAlignment="1">
      <alignment horizontal="left"/>
    </xf>
    <xf numFmtId="0" fontId="0" fillId="2" borderId="1" xfId="0" applyFill="1" applyBorder="1" applyAlignment="1">
      <alignment horizontal="center"/>
    </xf>
    <xf numFmtId="0" fontId="0" fillId="3" borderId="1" xfId="0" applyFill="1" applyBorder="1" applyAlignment="1">
      <alignment horizontal="center"/>
    </xf>
    <xf numFmtId="0" fontId="4" fillId="0" borderId="44" xfId="0" applyFont="1" applyBorder="1" applyAlignment="1">
      <alignment vertical="center"/>
    </xf>
    <xf numFmtId="0" fontId="0" fillId="0" borderId="5" xfId="0" applyBorder="1" applyAlignment="1">
      <alignment vertical="center"/>
    </xf>
    <xf numFmtId="0" fontId="4" fillId="0" borderId="5" xfId="0" applyFont="1" applyBorder="1" applyAlignment="1">
      <alignment vertical="center"/>
    </xf>
    <xf numFmtId="0" fontId="0" fillId="0" borderId="7" xfId="0" applyBorder="1" applyAlignment="1">
      <alignment horizontal="center" vertical="center"/>
    </xf>
    <xf numFmtId="0" fontId="4" fillId="0" borderId="7" xfId="0" applyFont="1" applyBorder="1" applyAlignment="1">
      <alignment horizontal="center" vertical="center"/>
    </xf>
    <xf numFmtId="10" fontId="0" fillId="0" borderId="7" xfId="0" applyNumberFormat="1" applyBorder="1" applyAlignment="1">
      <alignment horizontal="center" vertical="center"/>
    </xf>
    <xf numFmtId="164" fontId="0" fillId="0" borderId="7" xfId="0" applyNumberFormat="1" applyBorder="1" applyAlignment="1">
      <alignment horizontal="center" vertical="center"/>
    </xf>
    <xf numFmtId="0" fontId="28" fillId="8" borderId="0" xfId="6" applyFill="1"/>
    <xf numFmtId="0" fontId="0" fillId="0" borderId="0" xfId="0" applyNumberFormat="1" applyFill="1" applyBorder="1" applyAlignment="1"/>
    <xf numFmtId="0" fontId="0" fillId="0" borderId="0" xfId="0" applyFill="1" applyBorder="1" applyAlignment="1"/>
    <xf numFmtId="0" fontId="0" fillId="0" borderId="19" xfId="0" applyFill="1" applyBorder="1" applyAlignment="1"/>
    <xf numFmtId="0" fontId="27" fillId="0" borderId="45" xfId="0" applyFont="1" applyFill="1" applyBorder="1" applyAlignment="1">
      <alignment horizontal="center"/>
    </xf>
    <xf numFmtId="16" fontId="0" fillId="0" borderId="0" xfId="0" quotePrefix="1" applyNumberFormat="1" applyFill="1" applyBorder="1" applyAlignment="1"/>
    <xf numFmtId="0" fontId="6" fillId="16" borderId="48" xfId="0" applyFont="1" applyFill="1" applyBorder="1" applyAlignment="1">
      <alignment horizontal="center" vertical="center"/>
    </xf>
    <xf numFmtId="0" fontId="7" fillId="17" borderId="51" xfId="0" applyFont="1" applyFill="1" applyBorder="1" applyAlignment="1">
      <alignment vertical="center"/>
    </xf>
    <xf numFmtId="0" fontId="7" fillId="17" borderId="52" xfId="0" applyFont="1" applyFill="1" applyBorder="1" applyAlignment="1">
      <alignment horizontal="center" vertical="center"/>
    </xf>
    <xf numFmtId="0" fontId="7" fillId="17" borderId="52" xfId="0" applyFont="1" applyFill="1" applyBorder="1" applyAlignment="1">
      <alignment horizontal="center" vertical="center" wrapText="1"/>
    </xf>
    <xf numFmtId="0" fontId="6" fillId="18" borderId="53" xfId="0" applyFont="1" applyFill="1" applyBorder="1" applyAlignment="1">
      <alignment horizontal="center" vertical="center"/>
    </xf>
    <xf numFmtId="0" fontId="6" fillId="18" borderId="51" xfId="0" applyFont="1" applyFill="1" applyBorder="1" applyAlignment="1">
      <alignment horizontal="center" vertical="center"/>
    </xf>
    <xf numFmtId="0" fontId="7" fillId="17" borderId="51" xfId="0" applyFont="1" applyFill="1" applyBorder="1" applyAlignment="1">
      <alignment horizontal="center" vertical="center"/>
    </xf>
    <xf numFmtId="0" fontId="7" fillId="18" borderId="51" xfId="0" applyFont="1" applyFill="1" applyBorder="1" applyAlignment="1">
      <alignment horizontal="center" vertical="center"/>
    </xf>
    <xf numFmtId="0" fontId="7" fillId="18" borderId="54" xfId="0" applyFont="1" applyFill="1" applyBorder="1" applyAlignment="1">
      <alignment horizontal="center" vertical="center"/>
    </xf>
    <xf numFmtId="0" fontId="6" fillId="17" borderId="53" xfId="0" applyFont="1" applyFill="1" applyBorder="1" applyAlignment="1">
      <alignment horizontal="center" vertical="center"/>
    </xf>
    <xf numFmtId="0" fontId="6" fillId="17" borderId="51" xfId="0" applyFont="1" applyFill="1" applyBorder="1" applyAlignment="1">
      <alignment horizontal="center" vertical="center"/>
    </xf>
    <xf numFmtId="3" fontId="7" fillId="17" borderId="52" xfId="0" applyNumberFormat="1" applyFont="1" applyFill="1" applyBorder="1" applyAlignment="1">
      <alignment horizontal="center" vertical="center" wrapText="1"/>
    </xf>
    <xf numFmtId="3" fontId="7" fillId="17" borderId="52" xfId="0" applyNumberFormat="1" applyFont="1" applyFill="1" applyBorder="1" applyAlignment="1">
      <alignment horizontal="center" vertical="center"/>
    </xf>
    <xf numFmtId="0" fontId="7" fillId="17" borderId="54" xfId="0" applyFont="1" applyFill="1" applyBorder="1" applyAlignment="1">
      <alignment horizontal="center" vertical="center"/>
    </xf>
    <xf numFmtId="0" fontId="7" fillId="17" borderId="55" xfId="0" applyFont="1" applyFill="1" applyBorder="1" applyAlignment="1">
      <alignment horizontal="center" vertical="center"/>
    </xf>
    <xf numFmtId="0" fontId="7" fillId="17" borderId="55" xfId="0" applyFont="1" applyFill="1" applyBorder="1" applyAlignment="1">
      <alignment horizontal="center" vertical="center" wrapText="1"/>
    </xf>
    <xf numFmtId="0" fontId="0" fillId="0" borderId="60" xfId="0" applyFill="1" applyBorder="1"/>
    <xf numFmtId="0" fontId="0" fillId="0" borderId="60" xfId="0" applyBorder="1"/>
    <xf numFmtId="0" fontId="0" fillId="0" borderId="61" xfId="0" applyFill="1" applyBorder="1"/>
    <xf numFmtId="0" fontId="0" fillId="0" borderId="63" xfId="0" applyFill="1" applyBorder="1"/>
    <xf numFmtId="0" fontId="0" fillId="0" borderId="64" xfId="0" applyFill="1" applyBorder="1"/>
    <xf numFmtId="0" fontId="0" fillId="0" borderId="65" xfId="0" applyFill="1" applyBorder="1"/>
    <xf numFmtId="0" fontId="0" fillId="0" borderId="66" xfId="0" applyFill="1" applyBorder="1"/>
    <xf numFmtId="0" fontId="0" fillId="0" borderId="25" xfId="0" applyFill="1" applyBorder="1"/>
    <xf numFmtId="0" fontId="0" fillId="0" borderId="67" xfId="0" applyFill="1" applyBorder="1"/>
    <xf numFmtId="0" fontId="0" fillId="0" borderId="68" xfId="0" applyFill="1" applyBorder="1"/>
    <xf numFmtId="0" fontId="18" fillId="0" borderId="68" xfId="0" applyFont="1" applyFill="1" applyBorder="1"/>
    <xf numFmtId="0" fontId="0" fillId="0" borderId="68" xfId="0" applyBorder="1"/>
    <xf numFmtId="0" fontId="0" fillId="6" borderId="68" xfId="0" applyFill="1" applyBorder="1"/>
    <xf numFmtId="0" fontId="0" fillId="0" borderId="69" xfId="0" applyBorder="1"/>
    <xf numFmtId="1" fontId="7" fillId="17" borderId="52" xfId="0" applyNumberFormat="1" applyFont="1" applyFill="1" applyBorder="1" applyAlignment="1">
      <alignment horizontal="center" vertical="center"/>
    </xf>
    <xf numFmtId="0" fontId="0" fillId="0" borderId="62" xfId="0" applyBorder="1"/>
    <xf numFmtId="0" fontId="0" fillId="0" borderId="63" xfId="0" applyBorder="1"/>
    <xf numFmtId="0" fontId="0" fillId="6" borderId="59" xfId="0" applyFill="1" applyBorder="1"/>
    <xf numFmtId="0" fontId="0" fillId="6" borderId="60" xfId="0" applyFill="1" applyBorder="1"/>
    <xf numFmtId="165" fontId="7" fillId="17" borderId="52" xfId="0" applyNumberFormat="1" applyFont="1" applyFill="1" applyBorder="1" applyAlignment="1">
      <alignment horizontal="center" vertical="center" wrapText="1"/>
    </xf>
    <xf numFmtId="165" fontId="7" fillId="18" borderId="52" xfId="0" applyNumberFormat="1" applyFont="1" applyFill="1" applyBorder="1" applyAlignment="1">
      <alignment horizontal="center" vertical="center" wrapText="1"/>
    </xf>
    <xf numFmtId="165" fontId="7" fillId="17" borderId="55" xfId="0" applyNumberFormat="1" applyFont="1" applyFill="1" applyBorder="1" applyAlignment="1">
      <alignment horizontal="center" vertical="center" wrapText="1"/>
    </xf>
    <xf numFmtId="1" fontId="7" fillId="17" borderId="52" xfId="0" applyNumberFormat="1" applyFont="1" applyFill="1" applyBorder="1" applyAlignment="1">
      <alignment horizontal="center" vertical="center" wrapText="1"/>
    </xf>
    <xf numFmtId="0" fontId="0" fillId="0" borderId="70" xfId="0" applyBorder="1"/>
    <xf numFmtId="0" fontId="0" fillId="0" borderId="71" xfId="0" applyBorder="1"/>
    <xf numFmtId="0" fontId="0" fillId="7" borderId="71" xfId="0" applyFill="1" applyBorder="1"/>
    <xf numFmtId="0" fontId="0" fillId="0" borderId="72" xfId="0" applyBorder="1"/>
    <xf numFmtId="0" fontId="7" fillId="19" borderId="52" xfId="0" applyFont="1" applyFill="1" applyBorder="1" applyAlignment="1">
      <alignment horizontal="center" vertical="center"/>
    </xf>
    <xf numFmtId="1" fontId="7" fillId="19" borderId="52" xfId="0" applyNumberFormat="1" applyFont="1" applyFill="1" applyBorder="1" applyAlignment="1">
      <alignment horizontal="center" vertical="center"/>
    </xf>
    <xf numFmtId="165" fontId="7" fillId="19" borderId="52" xfId="0" applyNumberFormat="1" applyFont="1" applyFill="1" applyBorder="1" applyAlignment="1">
      <alignment horizontal="center" vertical="center" wrapText="1"/>
    </xf>
    <xf numFmtId="165" fontId="7" fillId="19" borderId="55" xfId="0" applyNumberFormat="1" applyFont="1" applyFill="1" applyBorder="1" applyAlignment="1">
      <alignment horizontal="center" vertical="center" wrapText="1"/>
    </xf>
    <xf numFmtId="3" fontId="7" fillId="19" borderId="52" xfId="0" applyNumberFormat="1" applyFont="1" applyFill="1" applyBorder="1" applyAlignment="1">
      <alignment horizontal="center" vertical="center" wrapText="1"/>
    </xf>
    <xf numFmtId="0" fontId="7" fillId="19" borderId="52" xfId="0" applyFont="1" applyFill="1" applyBorder="1" applyAlignment="1">
      <alignment horizontal="center" vertical="center" wrapText="1"/>
    </xf>
    <xf numFmtId="1" fontId="7" fillId="19" borderId="52" xfId="0" applyNumberFormat="1" applyFont="1" applyFill="1" applyBorder="1" applyAlignment="1">
      <alignment horizontal="center" vertical="center" wrapText="1"/>
    </xf>
    <xf numFmtId="0" fontId="6" fillId="20" borderId="48" xfId="0" applyFont="1" applyFill="1" applyBorder="1" applyAlignment="1">
      <alignment horizontal="center" vertical="center"/>
    </xf>
    <xf numFmtId="0" fontId="39" fillId="21" borderId="7" xfId="0" applyFont="1" applyFill="1" applyBorder="1" applyAlignment="1">
      <alignment horizontal="center" vertical="center"/>
    </xf>
    <xf numFmtId="0" fontId="39" fillId="0" borderId="5" xfId="0" applyFont="1" applyBorder="1" applyAlignment="1">
      <alignment vertical="center"/>
    </xf>
    <xf numFmtId="0" fontId="39" fillId="0" borderId="7" xfId="0" applyFont="1" applyBorder="1" applyAlignment="1">
      <alignment horizontal="center" vertical="center"/>
    </xf>
    <xf numFmtId="3" fontId="39" fillId="0" borderId="7" xfId="0" applyNumberFormat="1" applyFont="1" applyBorder="1" applyAlignment="1">
      <alignment horizontal="center" vertical="center"/>
    </xf>
    <xf numFmtId="0" fontId="40" fillId="0" borderId="5" xfId="0" applyFont="1" applyBorder="1" applyAlignment="1">
      <alignment vertical="center"/>
    </xf>
    <xf numFmtId="0" fontId="6" fillId="21" borderId="73" xfId="0" applyFont="1" applyFill="1" applyBorder="1" applyAlignment="1">
      <alignment horizontal="center" vertical="center"/>
    </xf>
    <xf numFmtId="0" fontId="6" fillId="21" borderId="74" xfId="0" applyFont="1" applyFill="1" applyBorder="1" applyAlignment="1">
      <alignment horizontal="center" vertical="center"/>
    </xf>
    <xf numFmtId="0" fontId="0" fillId="21" borderId="75" xfId="0" applyFill="1" applyBorder="1" applyAlignment="1">
      <alignment vertical="center"/>
    </xf>
    <xf numFmtId="0" fontId="6" fillId="21" borderId="79" xfId="0" applyFont="1" applyFill="1" applyBorder="1" applyAlignment="1">
      <alignment horizontal="center" vertical="center"/>
    </xf>
    <xf numFmtId="0" fontId="6" fillId="21" borderId="78" xfId="0" applyFont="1" applyFill="1" applyBorder="1" applyAlignment="1">
      <alignment horizontal="center" vertical="center"/>
    </xf>
    <xf numFmtId="0" fontId="6" fillId="21" borderId="79" xfId="0" applyFont="1" applyFill="1" applyBorder="1" applyAlignment="1">
      <alignment horizontal="center" vertical="center" wrapText="1"/>
    </xf>
    <xf numFmtId="0" fontId="6" fillId="21" borderId="78" xfId="0" applyFont="1" applyFill="1" applyBorder="1" applyAlignment="1">
      <alignment horizontal="center" vertical="center" wrapText="1"/>
    </xf>
    <xf numFmtId="0" fontId="7" fillId="0" borderId="75" xfId="0" applyFont="1" applyBorder="1" applyAlignment="1">
      <alignment horizontal="center" vertical="center"/>
    </xf>
    <xf numFmtId="0" fontId="7" fillId="0" borderId="78" xfId="0" applyFont="1" applyBorder="1" applyAlignment="1">
      <alignment horizontal="center" vertical="center"/>
    </xf>
    <xf numFmtId="0" fontId="6" fillId="21" borderId="44" xfId="0" applyFont="1" applyFill="1" applyBorder="1" applyAlignment="1">
      <alignment vertical="center"/>
    </xf>
    <xf numFmtId="0" fontId="6" fillId="21" borderId="5" xfId="0" applyFont="1" applyFill="1" applyBorder="1" applyAlignment="1">
      <alignment vertical="center"/>
    </xf>
    <xf numFmtId="0" fontId="6" fillId="21" borderId="7" xfId="0" applyFont="1" applyFill="1" applyBorder="1" applyAlignment="1">
      <alignment horizontal="center" vertical="center"/>
    </xf>
    <xf numFmtId="0" fontId="7" fillId="0" borderId="5" xfId="0" applyFont="1" applyBorder="1" applyAlignment="1">
      <alignment vertical="center"/>
    </xf>
    <xf numFmtId="3" fontId="7" fillId="0" borderId="7" xfId="0" applyNumberFormat="1" applyFont="1" applyBorder="1" applyAlignment="1">
      <alignment horizontal="center" vertical="center"/>
    </xf>
    <xf numFmtId="10" fontId="7" fillId="0" borderId="7" xfId="0" applyNumberFormat="1" applyFont="1" applyBorder="1" applyAlignment="1">
      <alignment horizontal="center" vertical="center"/>
    </xf>
    <xf numFmtId="0" fontId="6" fillId="21" borderId="10"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7" fillId="0" borderId="5" xfId="0" applyFont="1" applyBorder="1" applyAlignment="1">
      <alignment horizontal="left" vertical="center"/>
    </xf>
    <xf numFmtId="0" fontId="7" fillId="0" borderId="7" xfId="0" applyFont="1" applyBorder="1" applyAlignment="1">
      <alignment horizontal="center" vertical="center"/>
    </xf>
    <xf numFmtId="1" fontId="39" fillId="0" borderId="7" xfId="0" applyNumberFormat="1" applyFont="1" applyBorder="1" applyAlignment="1">
      <alignment horizontal="center" vertical="center"/>
    </xf>
    <xf numFmtId="1" fontId="40" fillId="0" borderId="7" xfId="0" applyNumberFormat="1" applyFont="1" applyBorder="1" applyAlignment="1">
      <alignment horizontal="center" vertical="center"/>
    </xf>
    <xf numFmtId="0" fontId="7" fillId="18" borderId="51" xfId="0" applyFont="1" applyFill="1" applyBorder="1" applyAlignment="1">
      <alignment horizontal="center" vertical="center"/>
    </xf>
    <xf numFmtId="165" fontId="7" fillId="0" borderId="78" xfId="0" applyNumberFormat="1" applyFont="1" applyBorder="1" applyAlignment="1">
      <alignment horizontal="center" vertical="center"/>
    </xf>
    <xf numFmtId="1" fontId="7" fillId="0" borderId="78" xfId="0" applyNumberFormat="1" applyFont="1" applyBorder="1" applyAlignment="1">
      <alignment horizontal="center" vertical="center"/>
    </xf>
    <xf numFmtId="165" fontId="7" fillId="0" borderId="7" xfId="0" applyNumberFormat="1" applyFont="1" applyBorder="1" applyAlignment="1">
      <alignment horizontal="center" vertical="center"/>
    </xf>
    <xf numFmtId="1" fontId="7" fillId="0" borderId="7" xfId="0" applyNumberFormat="1" applyFont="1" applyBorder="1" applyAlignment="1">
      <alignment horizontal="center" vertical="center"/>
    </xf>
    <xf numFmtId="1" fontId="7" fillId="19" borderId="55" xfId="0" applyNumberFormat="1" applyFont="1" applyFill="1" applyBorder="1" applyAlignment="1">
      <alignment horizontal="center" vertical="center" wrapText="1"/>
    </xf>
    <xf numFmtId="1" fontId="7" fillId="17" borderId="55" xfId="0" applyNumberFormat="1" applyFont="1" applyFill="1" applyBorder="1" applyAlignment="1">
      <alignment horizontal="center" vertical="center" wrapText="1"/>
    </xf>
    <xf numFmtId="0" fontId="6" fillId="16" borderId="48" xfId="0" applyFont="1" applyFill="1" applyBorder="1" applyAlignment="1">
      <alignment horizontal="center" vertical="center" wrapText="1"/>
    </xf>
    <xf numFmtId="0" fontId="6" fillId="16" borderId="49" xfId="0" applyFont="1" applyFill="1" applyBorder="1" applyAlignment="1">
      <alignment horizontal="center" vertical="center" wrapText="1"/>
    </xf>
    <xf numFmtId="0" fontId="7" fillId="17" borderId="51" xfId="0" applyFont="1" applyFill="1" applyBorder="1" applyAlignment="1">
      <alignment horizontal="center" vertical="center" wrapText="1"/>
    </xf>
    <xf numFmtId="9" fontId="7" fillId="17" borderId="52" xfId="0" applyNumberFormat="1" applyFont="1" applyFill="1" applyBorder="1" applyAlignment="1">
      <alignment horizontal="center" vertical="center" wrapText="1"/>
    </xf>
    <xf numFmtId="0" fontId="7" fillId="18" borderId="51" xfId="0" applyFont="1" applyFill="1" applyBorder="1" applyAlignment="1">
      <alignment horizontal="center" vertical="center" wrapText="1"/>
    </xf>
    <xf numFmtId="9" fontId="7" fillId="18" borderId="52" xfId="0" applyNumberFormat="1" applyFont="1" applyFill="1" applyBorder="1" applyAlignment="1">
      <alignment horizontal="center" vertical="center" wrapText="1"/>
    </xf>
    <xf numFmtId="0" fontId="7" fillId="16" borderId="48" xfId="0" applyFont="1" applyFill="1" applyBorder="1" applyAlignment="1">
      <alignment horizontal="center" vertical="center" wrapText="1"/>
    </xf>
    <xf numFmtId="0" fontId="7" fillId="16" borderId="49" xfId="0" applyFont="1" applyFill="1" applyBorder="1" applyAlignment="1">
      <alignment horizontal="center" vertical="center" wrapText="1"/>
    </xf>
    <xf numFmtId="0" fontId="7" fillId="18" borderId="52" xfId="0" applyFont="1" applyFill="1" applyBorder="1" applyAlignment="1">
      <alignment horizontal="center" vertical="center"/>
    </xf>
    <xf numFmtId="164" fontId="7" fillId="0" borderId="7" xfId="0" applyNumberFormat="1" applyFont="1" applyBorder="1" applyAlignment="1">
      <alignment horizontal="center" vertical="center"/>
    </xf>
    <xf numFmtId="0" fontId="0" fillId="2" borderId="1" xfId="0" applyFill="1" applyBorder="1" applyAlignment="1">
      <alignment horizontal="center"/>
    </xf>
    <xf numFmtId="0" fontId="0" fillId="3" borderId="1" xfId="0" applyFill="1" applyBorder="1" applyAlignment="1">
      <alignment horizontal="center"/>
    </xf>
    <xf numFmtId="0" fontId="0" fillId="0" borderId="67" xfId="0" applyBorder="1"/>
    <xf numFmtId="0" fontId="0" fillId="6" borderId="0" xfId="0" applyFill="1" applyBorder="1"/>
    <xf numFmtId="0" fontId="0" fillId="6" borderId="61" xfId="0" applyFill="1" applyBorder="1"/>
    <xf numFmtId="0" fontId="0" fillId="0" borderId="59" xfId="0" applyBorder="1"/>
    <xf numFmtId="16" fontId="0" fillId="0" borderId="0" xfId="0" quotePrefix="1" applyNumberFormat="1"/>
    <xf numFmtId="0" fontId="0" fillId="2" borderId="1" xfId="0" applyFill="1" applyBorder="1" applyAlignment="1">
      <alignment horizontal="center"/>
    </xf>
    <xf numFmtId="0" fontId="0" fillId="3" borderId="1" xfId="0" applyFill="1" applyBorder="1" applyAlignment="1">
      <alignment horizontal="center"/>
    </xf>
    <xf numFmtId="0" fontId="33" fillId="0" borderId="4" xfId="0" applyFont="1" applyBorder="1" applyAlignment="1">
      <alignment vertical="center"/>
    </xf>
    <xf numFmtId="0" fontId="33" fillId="0" borderId="5" xfId="0" applyFont="1" applyBorder="1" applyAlignment="1">
      <alignment vertical="center"/>
    </xf>
    <xf numFmtId="0" fontId="33" fillId="0" borderId="8" xfId="0" applyFont="1" applyBorder="1" applyAlignment="1">
      <alignment horizontal="center" vertical="center"/>
    </xf>
    <xf numFmtId="0" fontId="33" fillId="0" borderId="29" xfId="0" applyFont="1" applyBorder="1" applyAlignment="1">
      <alignment horizontal="center" vertical="center"/>
    </xf>
    <xf numFmtId="0" fontId="33" fillId="0" borderId="6"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8" xfId="0" applyFont="1" applyBorder="1" applyAlignment="1">
      <alignment horizontal="center" vertical="top" wrapText="1"/>
    </xf>
    <xf numFmtId="0" fontId="6" fillId="0" borderId="6" xfId="0" applyFont="1" applyBorder="1" applyAlignment="1">
      <alignment horizontal="center" vertical="top" wrapText="1"/>
    </xf>
    <xf numFmtId="0" fontId="33" fillId="0" borderId="4" xfId="0" applyFont="1" applyBorder="1"/>
    <xf numFmtId="0" fontId="33" fillId="0" borderId="5" xfId="0" applyFont="1" applyBorder="1"/>
    <xf numFmtId="0" fontId="33" fillId="0" borderId="8" xfId="0" applyFont="1" applyBorder="1" applyAlignment="1">
      <alignment horizontal="center"/>
    </xf>
    <xf numFmtId="0" fontId="33" fillId="0" borderId="29" xfId="0" applyFont="1" applyBorder="1" applyAlignment="1">
      <alignment horizontal="center"/>
    </xf>
    <xf numFmtId="0" fontId="33" fillId="0" borderId="6" xfId="0" applyFont="1" applyBorder="1" applyAlignment="1">
      <alignment horizontal="center"/>
    </xf>
    <xf numFmtId="0" fontId="0" fillId="0" borderId="0" xfId="0" applyAlignment="1">
      <alignment horizontal="center"/>
    </xf>
    <xf numFmtId="0" fontId="6" fillId="21" borderId="4" xfId="0" applyFont="1" applyFill="1" applyBorder="1" applyAlignment="1">
      <alignment horizontal="center" vertical="center"/>
    </xf>
    <xf numFmtId="0" fontId="6" fillId="21" borderId="5" xfId="0" applyFont="1" applyFill="1" applyBorder="1" applyAlignment="1">
      <alignment horizontal="center" vertical="center"/>
    </xf>
    <xf numFmtId="0" fontId="6" fillId="21" borderId="8" xfId="0" applyFont="1" applyFill="1" applyBorder="1" applyAlignment="1">
      <alignment horizontal="center" vertical="center"/>
    </xf>
    <xf numFmtId="0" fontId="6" fillId="21" borderId="29" xfId="0" applyFont="1" applyFill="1" applyBorder="1" applyAlignment="1">
      <alignment horizontal="center" vertical="center"/>
    </xf>
    <xf numFmtId="0" fontId="6" fillId="21" borderId="6" xfId="0" applyFont="1" applyFill="1" applyBorder="1" applyAlignment="1">
      <alignment horizontal="center" vertical="center"/>
    </xf>
    <xf numFmtId="1" fontId="7" fillId="6" borderId="58" xfId="0" applyNumberFormat="1" applyFont="1" applyFill="1" applyBorder="1" applyAlignment="1">
      <alignment horizontal="center" vertical="center" wrapText="1"/>
    </xf>
    <xf numFmtId="1" fontId="7" fillId="6" borderId="51" xfId="0" applyNumberFormat="1" applyFont="1" applyFill="1" applyBorder="1" applyAlignment="1">
      <alignment horizontal="center" vertical="center" wrapText="1"/>
    </xf>
    <xf numFmtId="1" fontId="7" fillId="18" borderId="57" xfId="0" applyNumberFormat="1" applyFont="1" applyFill="1" applyBorder="1" applyAlignment="1">
      <alignment horizontal="center" vertical="center" wrapText="1"/>
    </xf>
    <xf numFmtId="1" fontId="7" fillId="18" borderId="51" xfId="0" applyNumberFormat="1" applyFont="1" applyFill="1" applyBorder="1" applyAlignment="1">
      <alignment horizontal="center" vertical="center" wrapText="1"/>
    </xf>
    <xf numFmtId="0" fontId="6" fillId="16" borderId="81" xfId="0" applyFont="1" applyFill="1" applyBorder="1" applyAlignment="1">
      <alignment horizontal="center" vertical="center"/>
    </xf>
    <xf numFmtId="0" fontId="6" fillId="16" borderId="0" xfId="0" applyFont="1" applyFill="1" applyBorder="1" applyAlignment="1">
      <alignment horizontal="center" vertical="center"/>
    </xf>
    <xf numFmtId="0" fontId="7" fillId="6" borderId="57" xfId="0" applyFont="1" applyFill="1" applyBorder="1" applyAlignment="1">
      <alignment horizontal="center" vertical="center"/>
    </xf>
    <xf numFmtId="0" fontId="7" fillId="6" borderId="51" xfId="0" applyFont="1" applyFill="1" applyBorder="1" applyAlignment="1">
      <alignment horizontal="center" vertical="center"/>
    </xf>
    <xf numFmtId="1" fontId="7" fillId="6" borderId="57" xfId="0" applyNumberFormat="1" applyFont="1" applyFill="1" applyBorder="1" applyAlignment="1">
      <alignment horizontal="center" vertical="center"/>
    </xf>
    <xf numFmtId="165" fontId="7" fillId="6" borderId="58" xfId="0" applyNumberFormat="1" applyFont="1" applyFill="1" applyBorder="1" applyAlignment="1">
      <alignment horizontal="center" vertical="center" wrapText="1"/>
    </xf>
    <xf numFmtId="165" fontId="7" fillId="6" borderId="51" xfId="0" applyNumberFormat="1" applyFont="1" applyFill="1" applyBorder="1" applyAlignment="1">
      <alignment horizontal="center" vertical="center" wrapText="1"/>
    </xf>
    <xf numFmtId="0" fontId="7" fillId="18" borderId="57" xfId="0" applyFont="1" applyFill="1" applyBorder="1" applyAlignment="1">
      <alignment horizontal="center" vertical="center"/>
    </xf>
    <xf numFmtId="0" fontId="7" fillId="18" borderId="51" xfId="0" applyFont="1" applyFill="1" applyBorder="1" applyAlignment="1">
      <alignment horizontal="center" vertical="center"/>
    </xf>
    <xf numFmtId="1" fontId="7" fillId="18" borderId="57" xfId="0" applyNumberFormat="1" applyFont="1" applyFill="1" applyBorder="1" applyAlignment="1">
      <alignment horizontal="center" vertical="center"/>
    </xf>
    <xf numFmtId="1" fontId="7" fillId="18" borderId="51" xfId="0" applyNumberFormat="1" applyFont="1" applyFill="1" applyBorder="1" applyAlignment="1">
      <alignment horizontal="center" vertical="center"/>
    </xf>
    <xf numFmtId="165" fontId="7" fillId="18" borderId="57" xfId="0" applyNumberFormat="1" applyFont="1" applyFill="1" applyBorder="1" applyAlignment="1">
      <alignment horizontal="center" vertical="center" wrapText="1"/>
    </xf>
    <xf numFmtId="165" fontId="7" fillId="18" borderId="51" xfId="0" applyNumberFormat="1" applyFont="1" applyFill="1" applyBorder="1" applyAlignment="1">
      <alignment horizontal="center" vertical="center" wrapText="1"/>
    </xf>
    <xf numFmtId="1" fontId="7" fillId="6" borderId="51" xfId="0" applyNumberFormat="1" applyFont="1" applyFill="1" applyBorder="1" applyAlignment="1">
      <alignment horizontal="center" vertical="center"/>
    </xf>
    <xf numFmtId="0" fontId="6" fillId="21" borderId="9" xfId="0" applyFont="1" applyFill="1" applyBorder="1" applyAlignment="1">
      <alignment horizontal="center" vertical="center"/>
    </xf>
    <xf numFmtId="0" fontId="39" fillId="21" borderId="8" xfId="0" applyFont="1" applyFill="1" applyBorder="1" applyAlignment="1">
      <alignment horizontal="center" vertical="center"/>
    </xf>
    <xf numFmtId="0" fontId="39" fillId="21" borderId="6" xfId="0" applyFont="1" applyFill="1" applyBorder="1" applyAlignment="1">
      <alignment horizontal="center" vertical="center"/>
    </xf>
    <xf numFmtId="0" fontId="6" fillId="21" borderId="80" xfId="0" applyFont="1" applyFill="1" applyBorder="1" applyAlignment="1">
      <alignment horizontal="center" vertical="center"/>
    </xf>
    <xf numFmtId="0" fontId="6" fillId="21" borderId="77" xfId="0" applyFont="1" applyFill="1" applyBorder="1" applyAlignment="1">
      <alignment horizontal="center" vertical="center"/>
    </xf>
    <xf numFmtId="0" fontId="6" fillId="21" borderId="76" xfId="0" applyFont="1" applyFill="1" applyBorder="1" applyAlignment="1">
      <alignment horizontal="center" vertical="center"/>
    </xf>
    <xf numFmtId="0" fontId="7" fillId="0" borderId="80" xfId="0" applyFont="1" applyBorder="1" applyAlignment="1">
      <alignment horizontal="center" vertical="center"/>
    </xf>
    <xf numFmtId="0" fontId="7" fillId="0" borderId="77" xfId="0" applyFont="1" applyBorder="1" applyAlignment="1">
      <alignment horizontal="center" vertical="center"/>
    </xf>
    <xf numFmtId="0" fontId="7" fillId="0" borderId="76" xfId="0" applyFont="1" applyBorder="1" applyAlignment="1">
      <alignment horizontal="center" vertical="center"/>
    </xf>
    <xf numFmtId="0" fontId="6" fillId="21" borderId="73" xfId="0" applyFont="1" applyFill="1" applyBorder="1" applyAlignment="1">
      <alignment horizontal="center" vertical="center"/>
    </xf>
    <xf numFmtId="0" fontId="6" fillId="21" borderId="75" xfId="0" applyFont="1" applyFill="1" applyBorder="1" applyAlignment="1">
      <alignment horizontal="center" vertical="center"/>
    </xf>
    <xf numFmtId="0" fontId="6" fillId="20" borderId="56" xfId="0" applyFont="1" applyFill="1" applyBorder="1" applyAlignment="1">
      <alignment horizontal="center" vertical="center" wrapText="1"/>
    </xf>
    <xf numFmtId="0" fontId="6" fillId="20" borderId="49" xfId="0" applyFont="1" applyFill="1" applyBorder="1" applyAlignment="1">
      <alignment horizontal="center" vertical="center" wrapText="1"/>
    </xf>
    <xf numFmtId="0" fontId="39" fillId="21" borderId="4" xfId="0" applyFont="1" applyFill="1" applyBorder="1" applyAlignment="1">
      <alignment horizontal="center" vertical="center"/>
    </xf>
    <xf numFmtId="0" fontId="39" fillId="21" borderId="5" xfId="0" applyFont="1" applyFill="1" applyBorder="1" applyAlignment="1">
      <alignment horizontal="center" vertical="center"/>
    </xf>
    <xf numFmtId="0" fontId="6" fillId="16" borderId="56" xfId="0" applyFont="1" applyFill="1" applyBorder="1" applyAlignment="1">
      <alignment horizontal="center" vertical="center"/>
    </xf>
    <xf numFmtId="0" fontId="6" fillId="16" borderId="50" xfId="0" applyFont="1" applyFill="1" applyBorder="1" applyAlignment="1">
      <alignment horizontal="center" vertical="center"/>
    </xf>
    <xf numFmtId="0" fontId="6" fillId="16" borderId="49" xfId="0" applyFont="1" applyFill="1" applyBorder="1" applyAlignment="1">
      <alignment horizontal="center" vertical="center"/>
    </xf>
  </cellXfs>
  <cellStyles count="11">
    <cellStyle name="Bad" xfId="8" builtinId="27"/>
    <cellStyle name="Calculation" xfId="9" builtinId="22"/>
    <cellStyle name="Comma" xfId="10" builtinId="3"/>
    <cellStyle name="Good" xfId="6" builtinId="26"/>
    <cellStyle name="Hyperlink" xfId="2" builtinId="8"/>
    <cellStyle name="Hyperlink 2" xfId="4"/>
    <cellStyle name="Hyperlink 3" xfId="5"/>
    <cellStyle name="Neutral" xfId="7" builtinId="28"/>
    <cellStyle name="Normal" xfId="0" builtinId="0"/>
    <cellStyle name="Normal 2" xfId="3"/>
    <cellStyle name="Percent" xfId="1" builtinId="5"/>
  </cellStyles>
  <dxfs count="0"/>
  <tableStyles count="0" defaultTableStyle="TableStyleMedium9" defaultPivotStyle="PivotStyleLight16"/>
  <colors>
    <mruColors>
      <color rgb="FF87A9D3"/>
      <color rgb="FF4174B1"/>
      <color rgb="FF608DC4"/>
      <color rgb="FF94B3D8"/>
      <color rgb="FFB3C9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24"/>
          <c:y val="3.1974420463629256E-2"/>
        </c:manualLayout>
      </c:layout>
      <c:overlay val="1"/>
    </c:title>
    <c:autoTitleDeleted val="0"/>
    <c:plotArea>
      <c:layout>
        <c:manualLayout>
          <c:layoutTarget val="inner"/>
          <c:xMode val="edge"/>
          <c:yMode val="edge"/>
          <c:x val="0.10954714899768182"/>
          <c:y val="7.66379022766039E-2"/>
          <c:w val="0.82021206588305029"/>
          <c:h val="0.75802642316769264"/>
        </c:manualLayout>
      </c:layout>
      <c:scatterChart>
        <c:scatterStyle val="lineMarker"/>
        <c:varyColors val="0"/>
        <c:ser>
          <c:idx val="0"/>
          <c:order val="0"/>
          <c:tx>
            <c:v>1 axis</c:v>
          </c:tx>
          <c:spPr>
            <a:ln w="28575">
              <a:noFill/>
            </a:ln>
          </c:spP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Data!$S$3:$S$57</c:f>
              <c:numCache>
                <c:formatCode>0.00</c:formatCode>
                <c:ptCount val="55"/>
                <c:pt idx="0">
                  <c:v>26.166477538215069</c:v>
                </c:pt>
                <c:pt idx="1">
                  <c:v>35.12692924011133</c:v>
                </c:pt>
                <c:pt idx="2">
                  <c:v>34.63207038743235</c:v>
                </c:pt>
                <c:pt idx="3">
                  <c:v>53.47284538254457</c:v>
                </c:pt>
                <c:pt idx="4">
                  <c:v>41.422652468927971</c:v>
                </c:pt>
                <c:pt idx="5">
                  <c:v>42.075992547806905</c:v>
                </c:pt>
                <c:pt idx="6">
                  <c:v>23.375551415448282</c:v>
                </c:pt>
                <c:pt idx="7">
                  <c:v>27.837466727971648</c:v>
                </c:pt>
                <c:pt idx="8">
                  <c:v>37.304801802504777</c:v>
                </c:pt>
                <c:pt idx="9">
                  <c:v>36.159056095771561</c:v>
                </c:pt>
                <c:pt idx="10">
                  <c:v>34.948023109848926</c:v>
                </c:pt>
                <c:pt idx="11">
                  <c:v>31.003362929962986</c:v>
                </c:pt>
                <c:pt idx="12">
                  <c:v>38.077183260622114</c:v>
                </c:pt>
                <c:pt idx="13">
                  <c:v>32.366860442432987</c:v>
                </c:pt>
                <c:pt idx="14">
                  <c:v>37.438881026723877</c:v>
                </c:pt>
                <c:pt idx="15">
                  <c:v>35.759278549403405</c:v>
                </c:pt>
                <c:pt idx="16">
                  <c:v>33.211910588222786</c:v>
                </c:pt>
                <c:pt idx="17">
                  <c:v>32.258043704487932</c:v>
                </c:pt>
                <c:pt idx="18">
                  <c:v>43.178266407815912</c:v>
                </c:pt>
                <c:pt idx="19">
                  <c:v>32.871869177974148</c:v>
                </c:pt>
                <c:pt idx="20">
                  <c:v>42.244972437557138</c:v>
                </c:pt>
                <c:pt idx="21">
                  <c:v>46.751102830896563</c:v>
                </c:pt>
                <c:pt idx="22">
                  <c:v>38.569659835489666</c:v>
                </c:pt>
                <c:pt idx="23">
                  <c:v>31.335541818498307</c:v>
                </c:pt>
                <c:pt idx="25">
                  <c:v>46.249750521718056</c:v>
                </c:pt>
                <c:pt idx="26">
                  <c:v>65.6504848263654</c:v>
                </c:pt>
                <c:pt idx="27">
                  <c:v>63.113988821710372</c:v>
                </c:pt>
                <c:pt idx="30">
                  <c:v>50.240244859693476</c:v>
                </c:pt>
                <c:pt idx="31">
                  <c:v>51.693852463677317</c:v>
                </c:pt>
                <c:pt idx="32">
                  <c:v>45.901082779425714</c:v>
                </c:pt>
                <c:pt idx="33">
                  <c:v>47.188029025577833</c:v>
                </c:pt>
                <c:pt idx="35">
                  <c:v>42.403407198392514</c:v>
                </c:pt>
                <c:pt idx="38">
                  <c:v>65.743738355948295</c:v>
                </c:pt>
                <c:pt idx="40">
                  <c:v>30.585130452549866</c:v>
                </c:pt>
                <c:pt idx="41">
                  <c:v>29.546210631749968</c:v>
                </c:pt>
                <c:pt idx="42">
                  <c:v>42.133767099569155</c:v>
                </c:pt>
                <c:pt idx="44">
                  <c:v>49.095294014777977</c:v>
                </c:pt>
                <c:pt idx="47">
                  <c:v>30.052290986316187</c:v>
                </c:pt>
                <c:pt idx="50">
                  <c:v>43.737010545238164</c:v>
                </c:pt>
                <c:pt idx="51">
                  <c:v>36.92418033119808</c:v>
                </c:pt>
                <c:pt idx="52">
                  <c:v>32.875515270676843</c:v>
                </c:pt>
              </c:numCache>
            </c:numRef>
          </c:yVal>
          <c:smooth val="0"/>
        </c:ser>
        <c:ser>
          <c:idx val="1"/>
          <c:order val="1"/>
          <c:tx>
            <c:v>2 axis (CPV)</c:v>
          </c:tx>
          <c:spPr>
            <a:ln w="28575">
              <a:noFill/>
            </a:ln>
          </c:spPr>
          <c:xVal>
            <c:numRef>
              <c:f>Data!$F$58:$F$65</c:f>
              <c:numCache>
                <c:formatCode>0</c:formatCode>
                <c:ptCount val="8"/>
                <c:pt idx="0">
                  <c:v>1014</c:v>
                </c:pt>
                <c:pt idx="1">
                  <c:v>1037</c:v>
                </c:pt>
                <c:pt idx="2">
                  <c:v>1159</c:v>
                </c:pt>
                <c:pt idx="3">
                  <c:v>2200</c:v>
                </c:pt>
                <c:pt idx="4">
                  <c:v>175</c:v>
                </c:pt>
                <c:pt idx="5">
                  <c:v>1047</c:v>
                </c:pt>
                <c:pt idx="6">
                  <c:v>1174.5254232357104</c:v>
                </c:pt>
                <c:pt idx="7">
                  <c:v>6468</c:v>
                </c:pt>
              </c:numCache>
            </c:numRef>
          </c:xVal>
          <c:yVal>
            <c:numRef>
              <c:f>Data!$S$58:$S$65</c:f>
              <c:numCache>
                <c:formatCode>0.00</c:formatCode>
                <c:ptCount val="8"/>
                <c:pt idx="0">
                  <c:v>36.156827494471358</c:v>
                </c:pt>
                <c:pt idx="1">
                  <c:v>35.250286211080756</c:v>
                </c:pt>
                <c:pt idx="2">
                  <c:v>27.09226409050456</c:v>
                </c:pt>
                <c:pt idx="3">
                  <c:v>21.037996273903456</c:v>
                </c:pt>
                <c:pt idx="4">
                  <c:v>42.809876138757026</c:v>
                </c:pt>
                <c:pt idx="5">
                  <c:v>32.392326615848411</c:v>
                </c:pt>
                <c:pt idx="6">
                  <c:v>23.093141567885755</c:v>
                </c:pt>
                <c:pt idx="7">
                  <c:v>41.12836652816852</c:v>
                </c:pt>
              </c:numCache>
            </c:numRef>
          </c:yVal>
          <c:smooth val="0"/>
        </c:ser>
        <c:ser>
          <c:idx val="2"/>
          <c:order val="2"/>
          <c:tx>
            <c:v>fixed tilt</c:v>
          </c:tx>
          <c:spPr>
            <a:ln w="28575">
              <a:noFill/>
            </a:ln>
          </c:spP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Data!$S$66:$S$116</c:f>
              <c:numCache>
                <c:formatCode>0.00</c:formatCode>
                <c:ptCount val="51"/>
                <c:pt idx="0">
                  <c:v>40.863702701010276</c:v>
                </c:pt>
                <c:pt idx="2">
                  <c:v>48.951486697965571</c:v>
                </c:pt>
                <c:pt idx="3">
                  <c:v>88.954781319495908</c:v>
                </c:pt>
                <c:pt idx="4">
                  <c:v>32.230913511551257</c:v>
                </c:pt>
                <c:pt idx="5">
                  <c:v>73.632986958662087</c:v>
                </c:pt>
                <c:pt idx="6">
                  <c:v>91.9438355674299</c:v>
                </c:pt>
                <c:pt idx="8">
                  <c:v>59.522008831784241</c:v>
                </c:pt>
                <c:pt idx="9">
                  <c:v>72.130272939097566</c:v>
                </c:pt>
                <c:pt idx="10">
                  <c:v>44.612984252286964</c:v>
                </c:pt>
                <c:pt idx="12">
                  <c:v>38.112312090404806</c:v>
                </c:pt>
                <c:pt idx="13">
                  <c:v>45.266755316015598</c:v>
                </c:pt>
                <c:pt idx="14">
                  <c:v>58.340661936034785</c:v>
                </c:pt>
                <c:pt idx="15">
                  <c:v>60.776433680165532</c:v>
                </c:pt>
                <c:pt idx="17">
                  <c:v>61.972983683411996</c:v>
                </c:pt>
                <c:pt idx="18">
                  <c:v>47.409569067951452</c:v>
                </c:pt>
                <c:pt idx="20">
                  <c:v>62.774666301163528</c:v>
                </c:pt>
                <c:pt idx="21">
                  <c:v>39.323357521314875</c:v>
                </c:pt>
                <c:pt idx="22">
                  <c:v>52.594990684758635</c:v>
                </c:pt>
                <c:pt idx="23">
                  <c:v>38.708364809389984</c:v>
                </c:pt>
                <c:pt idx="24">
                  <c:v>77.508407324907452</c:v>
                </c:pt>
                <c:pt idx="25">
                  <c:v>55.904211487868231</c:v>
                </c:pt>
                <c:pt idx="26">
                  <c:v>44.831275985432036</c:v>
                </c:pt>
                <c:pt idx="27">
                  <c:v>41.522361066914712</c:v>
                </c:pt>
                <c:pt idx="28">
                  <c:v>57.376353474282148</c:v>
                </c:pt>
                <c:pt idx="30">
                  <c:v>57.503856482002782</c:v>
                </c:pt>
                <c:pt idx="31">
                  <c:v>40.42235091929048</c:v>
                </c:pt>
                <c:pt idx="33">
                  <c:v>45.934489681011911</c:v>
                </c:pt>
                <c:pt idx="34">
                  <c:v>80.915370284244048</c:v>
                </c:pt>
                <c:pt idx="35">
                  <c:v>30.865604861947556</c:v>
                </c:pt>
                <c:pt idx="36" formatCode="General">
                  <c:v>32.946215303517</c:v>
                </c:pt>
                <c:pt idx="37">
                  <c:v>110.70636862740929</c:v>
                </c:pt>
                <c:pt idx="38">
                  <c:v>35.373551413536809</c:v>
                </c:pt>
                <c:pt idx="39">
                  <c:v>53.327774824636172</c:v>
                </c:pt>
                <c:pt idx="41">
                  <c:v>82.365538258792512</c:v>
                </c:pt>
                <c:pt idx="42">
                  <c:v>35.299516396625364</c:v>
                </c:pt>
                <c:pt idx="43">
                  <c:v>39.912229813661369</c:v>
                </c:pt>
                <c:pt idx="44">
                  <c:v>31.679053176458662</c:v>
                </c:pt>
                <c:pt idx="45">
                  <c:v>44.224678212817572</c:v>
                </c:pt>
                <c:pt idx="46">
                  <c:v>41.57875729410199</c:v>
                </c:pt>
                <c:pt idx="47">
                  <c:v>40.673459462880018</c:v>
                </c:pt>
                <c:pt idx="48">
                  <c:v>49.676496514529994</c:v>
                </c:pt>
                <c:pt idx="50">
                  <c:v>44.446278264962487</c:v>
                </c:pt>
              </c:numCache>
            </c:numRef>
          </c:yVal>
          <c:smooth val="0"/>
        </c:ser>
        <c:ser>
          <c:idx val="3"/>
          <c:order val="3"/>
          <c:tx>
            <c:v>unknown</c:v>
          </c:tx>
          <c:spPr>
            <a:ln w="28575">
              <a:noFill/>
            </a:ln>
          </c:spPr>
          <c:xVal>
            <c:numRef>
              <c:f>Data!$F$118:$F$128</c:f>
              <c:numCache>
                <c:formatCode>0</c:formatCode>
                <c:ptCount val="11"/>
                <c:pt idx="0">
                  <c:v>2300</c:v>
                </c:pt>
                <c:pt idx="1">
                  <c:v>3200</c:v>
                </c:pt>
                <c:pt idx="2">
                  <c:v>4200</c:v>
                </c:pt>
                <c:pt idx="3">
                  <c:v>5000</c:v>
                </c:pt>
                <c:pt idx="4">
                  <c:v>5000</c:v>
                </c:pt>
                <c:pt idx="5">
                  <c:v>5000</c:v>
                </c:pt>
                <c:pt idx="6" formatCode="General">
                  <c:v>8000</c:v>
                </c:pt>
                <c:pt idx="7" formatCode="General">
                  <c:v>19880</c:v>
                </c:pt>
                <c:pt idx="8" formatCode="General">
                  <c:v>20000</c:v>
                </c:pt>
                <c:pt idx="9" formatCode="General">
                  <c:v>20000</c:v>
                </c:pt>
                <c:pt idx="10" formatCode="General">
                  <c:v>23000</c:v>
                </c:pt>
              </c:numCache>
            </c:numRef>
          </c:xVal>
          <c:yVal>
            <c:numRef>
              <c:f>Data!$S$83:$S$128</c:f>
              <c:numCache>
                <c:formatCode>0.00</c:formatCode>
                <c:ptCount val="46"/>
                <c:pt idx="0">
                  <c:v>61.972983683411996</c:v>
                </c:pt>
                <c:pt idx="1">
                  <c:v>47.409569067951452</c:v>
                </c:pt>
                <c:pt idx="3">
                  <c:v>62.774666301163528</c:v>
                </c:pt>
                <c:pt idx="4">
                  <c:v>39.323357521314875</c:v>
                </c:pt>
                <c:pt idx="5">
                  <c:v>52.594990684758635</c:v>
                </c:pt>
                <c:pt idx="6">
                  <c:v>38.708364809389984</c:v>
                </c:pt>
                <c:pt idx="7">
                  <c:v>77.508407324907452</c:v>
                </c:pt>
                <c:pt idx="8">
                  <c:v>55.904211487868231</c:v>
                </c:pt>
                <c:pt idx="9">
                  <c:v>44.831275985432036</c:v>
                </c:pt>
                <c:pt idx="10">
                  <c:v>41.522361066914712</c:v>
                </c:pt>
                <c:pt idx="11">
                  <c:v>57.376353474282148</c:v>
                </c:pt>
                <c:pt idx="13">
                  <c:v>57.503856482002782</c:v>
                </c:pt>
                <c:pt idx="14">
                  <c:v>40.42235091929048</c:v>
                </c:pt>
                <c:pt idx="16">
                  <c:v>45.934489681011911</c:v>
                </c:pt>
                <c:pt idx="17">
                  <c:v>80.915370284244048</c:v>
                </c:pt>
                <c:pt idx="18">
                  <c:v>30.865604861947556</c:v>
                </c:pt>
                <c:pt idx="19" formatCode="General">
                  <c:v>32.946215303517</c:v>
                </c:pt>
                <c:pt idx="20">
                  <c:v>110.70636862740929</c:v>
                </c:pt>
                <c:pt idx="21">
                  <c:v>35.373551413536809</c:v>
                </c:pt>
                <c:pt idx="22">
                  <c:v>53.327774824636172</c:v>
                </c:pt>
                <c:pt idx="24">
                  <c:v>82.365538258792512</c:v>
                </c:pt>
                <c:pt idx="25">
                  <c:v>35.299516396625364</c:v>
                </c:pt>
                <c:pt idx="26">
                  <c:v>39.912229813661369</c:v>
                </c:pt>
                <c:pt idx="27">
                  <c:v>31.679053176458662</c:v>
                </c:pt>
                <c:pt idx="28">
                  <c:v>44.224678212817572</c:v>
                </c:pt>
                <c:pt idx="29">
                  <c:v>41.57875729410199</c:v>
                </c:pt>
                <c:pt idx="30">
                  <c:v>40.673459462880018</c:v>
                </c:pt>
                <c:pt idx="31">
                  <c:v>49.676496514529994</c:v>
                </c:pt>
                <c:pt idx="33">
                  <c:v>44.446278264962487</c:v>
                </c:pt>
                <c:pt idx="34">
                  <c:v>53.260750060515079</c:v>
                </c:pt>
                <c:pt idx="37">
                  <c:v>22.089896087598625</c:v>
                </c:pt>
              </c:numCache>
            </c:numRef>
          </c:yVal>
          <c:smooth val="0"/>
        </c:ser>
        <c:dLbls>
          <c:showLegendKey val="0"/>
          <c:showVal val="0"/>
          <c:showCatName val="0"/>
          <c:showSerName val="0"/>
          <c:showPercent val="0"/>
          <c:showBubbleSize val="0"/>
        </c:dLbls>
        <c:axId val="91288320"/>
        <c:axId val="91290624"/>
      </c:scatterChart>
      <c:valAx>
        <c:axId val="91288320"/>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91290624"/>
        <c:crosses val="autoZero"/>
        <c:crossBetween val="midCat"/>
        <c:dispUnits>
          <c:builtInUnit val="thousands"/>
        </c:dispUnits>
      </c:valAx>
      <c:valAx>
        <c:axId val="91290624"/>
        <c:scaling>
          <c:orientation val="minMax"/>
        </c:scaling>
        <c:delete val="0"/>
        <c:axPos val="l"/>
        <c:title>
          <c:tx>
            <c:rich>
              <a:bodyPr rot="-5400000" vert="horz"/>
              <a:lstStyle/>
              <a:p>
                <a:pPr>
                  <a:defRPr/>
                </a:pPr>
                <a:r>
                  <a:rPr lang="en-US"/>
                  <a:t>MW/km2</a:t>
                </a:r>
              </a:p>
            </c:rich>
          </c:tx>
          <c:overlay val="0"/>
        </c:title>
        <c:numFmt formatCode="0" sourceLinked="0"/>
        <c:majorTickMark val="out"/>
        <c:minorTickMark val="none"/>
        <c:tickLblPos val="nextTo"/>
        <c:crossAx val="91288320"/>
        <c:crosses val="autoZero"/>
        <c:crossBetween val="midCat"/>
      </c:valAx>
    </c:plotArea>
    <c:legend>
      <c:legendPos val="r"/>
      <c:layout>
        <c:manualLayout>
          <c:xMode val="edge"/>
          <c:yMode val="edge"/>
          <c:x val="0.70134447867931404"/>
          <c:y val="4.6224186005526288E-2"/>
          <c:w val="0.20665386654054305"/>
          <c:h val="0.31110388620777563"/>
        </c:manualLayout>
      </c:layout>
      <c:overlay val="0"/>
    </c:legend>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451081744399472"/>
          <c:y val="0.15554059190877001"/>
          <c:w val="0.7846510319028146"/>
          <c:h val="0.7021126068918806"/>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Data!$S$3:$S$57</c:f>
              <c:numCache>
                <c:formatCode>0.00</c:formatCode>
                <c:ptCount val="55"/>
                <c:pt idx="0">
                  <c:v>26.166477538215069</c:v>
                </c:pt>
                <c:pt idx="1">
                  <c:v>35.12692924011133</c:v>
                </c:pt>
                <c:pt idx="2">
                  <c:v>34.63207038743235</c:v>
                </c:pt>
                <c:pt idx="3">
                  <c:v>53.47284538254457</c:v>
                </c:pt>
                <c:pt idx="4">
                  <c:v>41.422652468927971</c:v>
                </c:pt>
                <c:pt idx="5">
                  <c:v>42.075992547806905</c:v>
                </c:pt>
                <c:pt idx="6">
                  <c:v>23.375551415448282</c:v>
                </c:pt>
                <c:pt idx="7">
                  <c:v>27.837466727971648</c:v>
                </c:pt>
                <c:pt idx="8">
                  <c:v>37.304801802504777</c:v>
                </c:pt>
                <c:pt idx="9">
                  <c:v>36.159056095771561</c:v>
                </c:pt>
                <c:pt idx="10">
                  <c:v>34.948023109848926</c:v>
                </c:pt>
                <c:pt idx="11">
                  <c:v>31.003362929962986</c:v>
                </c:pt>
                <c:pt idx="12">
                  <c:v>38.077183260622114</c:v>
                </c:pt>
                <c:pt idx="13">
                  <c:v>32.366860442432987</c:v>
                </c:pt>
                <c:pt idx="14">
                  <c:v>37.438881026723877</c:v>
                </c:pt>
                <c:pt idx="15">
                  <c:v>35.759278549403405</c:v>
                </c:pt>
                <c:pt idx="16">
                  <c:v>33.211910588222786</c:v>
                </c:pt>
                <c:pt idx="17">
                  <c:v>32.258043704487932</c:v>
                </c:pt>
                <c:pt idx="18">
                  <c:v>43.178266407815912</c:v>
                </c:pt>
                <c:pt idx="19">
                  <c:v>32.871869177974148</c:v>
                </c:pt>
                <c:pt idx="20">
                  <c:v>42.244972437557138</c:v>
                </c:pt>
                <c:pt idx="21">
                  <c:v>46.751102830896563</c:v>
                </c:pt>
                <c:pt idx="22">
                  <c:v>38.569659835489666</c:v>
                </c:pt>
                <c:pt idx="23">
                  <c:v>31.335541818498307</c:v>
                </c:pt>
                <c:pt idx="25">
                  <c:v>46.249750521718056</c:v>
                </c:pt>
                <c:pt idx="26">
                  <c:v>65.6504848263654</c:v>
                </c:pt>
                <c:pt idx="27">
                  <c:v>63.113988821710372</c:v>
                </c:pt>
                <c:pt idx="30">
                  <c:v>50.240244859693476</c:v>
                </c:pt>
                <c:pt idx="31">
                  <c:v>51.693852463677317</c:v>
                </c:pt>
                <c:pt idx="32">
                  <c:v>45.901082779425714</c:v>
                </c:pt>
                <c:pt idx="33">
                  <c:v>47.188029025577833</c:v>
                </c:pt>
                <c:pt idx="35">
                  <c:v>42.403407198392514</c:v>
                </c:pt>
                <c:pt idx="38">
                  <c:v>65.743738355948295</c:v>
                </c:pt>
                <c:pt idx="40">
                  <c:v>30.585130452549866</c:v>
                </c:pt>
                <c:pt idx="41">
                  <c:v>29.546210631749968</c:v>
                </c:pt>
                <c:pt idx="42">
                  <c:v>42.133767099569155</c:v>
                </c:pt>
                <c:pt idx="44">
                  <c:v>49.095294014777977</c:v>
                </c:pt>
                <c:pt idx="47">
                  <c:v>30.052290986316187</c:v>
                </c:pt>
                <c:pt idx="50">
                  <c:v>43.737010545238164</c:v>
                </c:pt>
                <c:pt idx="51">
                  <c:v>36.92418033119808</c:v>
                </c:pt>
                <c:pt idx="52">
                  <c:v>32.875515270676843</c:v>
                </c:pt>
              </c:numCache>
            </c:numRef>
          </c:yVal>
          <c:smooth val="0"/>
        </c:ser>
        <c:ser>
          <c:idx val="1"/>
          <c:order val="1"/>
          <c:tx>
            <c:v>2 Axis (CPV)</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Data!$S$58:$S$65</c:f>
              <c:numCache>
                <c:formatCode>0.00</c:formatCode>
                <c:ptCount val="8"/>
                <c:pt idx="0">
                  <c:v>36.156827494471358</c:v>
                </c:pt>
                <c:pt idx="1">
                  <c:v>35.250286211080756</c:v>
                </c:pt>
                <c:pt idx="2">
                  <c:v>27.09226409050456</c:v>
                </c:pt>
                <c:pt idx="3">
                  <c:v>21.037996273903456</c:v>
                </c:pt>
                <c:pt idx="4">
                  <c:v>42.809876138757026</c:v>
                </c:pt>
                <c:pt idx="5">
                  <c:v>32.392326615848411</c:v>
                </c:pt>
                <c:pt idx="6">
                  <c:v>23.093141567885755</c:v>
                </c:pt>
                <c:pt idx="7">
                  <c:v>41.12836652816852</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Data!$S$66:$S$116</c:f>
              <c:numCache>
                <c:formatCode>0.00</c:formatCode>
                <c:ptCount val="51"/>
                <c:pt idx="0">
                  <c:v>40.863702701010276</c:v>
                </c:pt>
                <c:pt idx="2">
                  <c:v>48.951486697965571</c:v>
                </c:pt>
                <c:pt idx="3">
                  <c:v>88.954781319495908</c:v>
                </c:pt>
                <c:pt idx="4">
                  <c:v>32.230913511551257</c:v>
                </c:pt>
                <c:pt idx="5">
                  <c:v>73.632986958662087</c:v>
                </c:pt>
                <c:pt idx="6">
                  <c:v>91.9438355674299</c:v>
                </c:pt>
                <c:pt idx="8">
                  <c:v>59.522008831784241</c:v>
                </c:pt>
                <c:pt idx="9">
                  <c:v>72.130272939097566</c:v>
                </c:pt>
                <c:pt idx="10">
                  <c:v>44.612984252286964</c:v>
                </c:pt>
                <c:pt idx="12">
                  <c:v>38.112312090404806</c:v>
                </c:pt>
                <c:pt idx="13">
                  <c:v>45.266755316015598</c:v>
                </c:pt>
                <c:pt idx="14">
                  <c:v>58.340661936034785</c:v>
                </c:pt>
                <c:pt idx="15">
                  <c:v>60.776433680165532</c:v>
                </c:pt>
                <c:pt idx="17">
                  <c:v>61.972983683411996</c:v>
                </c:pt>
                <c:pt idx="18">
                  <c:v>47.409569067951452</c:v>
                </c:pt>
                <c:pt idx="20">
                  <c:v>62.774666301163528</c:v>
                </c:pt>
                <c:pt idx="21">
                  <c:v>39.323357521314875</c:v>
                </c:pt>
                <c:pt idx="22">
                  <c:v>52.594990684758635</c:v>
                </c:pt>
                <c:pt idx="23">
                  <c:v>38.708364809389984</c:v>
                </c:pt>
                <c:pt idx="24">
                  <c:v>77.508407324907452</c:v>
                </c:pt>
                <c:pt idx="25">
                  <c:v>55.904211487868231</c:v>
                </c:pt>
                <c:pt idx="26">
                  <c:v>44.831275985432036</c:v>
                </c:pt>
                <c:pt idx="27">
                  <c:v>41.522361066914712</c:v>
                </c:pt>
                <c:pt idx="28">
                  <c:v>57.376353474282148</c:v>
                </c:pt>
                <c:pt idx="30">
                  <c:v>57.503856482002782</c:v>
                </c:pt>
                <c:pt idx="31">
                  <c:v>40.42235091929048</c:v>
                </c:pt>
                <c:pt idx="33">
                  <c:v>45.934489681011911</c:v>
                </c:pt>
                <c:pt idx="34">
                  <c:v>80.915370284244048</c:v>
                </c:pt>
                <c:pt idx="35">
                  <c:v>30.865604861947556</c:v>
                </c:pt>
                <c:pt idx="36" formatCode="General">
                  <c:v>32.946215303517</c:v>
                </c:pt>
                <c:pt idx="37">
                  <c:v>110.70636862740929</c:v>
                </c:pt>
                <c:pt idx="38">
                  <c:v>35.373551413536809</c:v>
                </c:pt>
                <c:pt idx="39">
                  <c:v>53.327774824636172</c:v>
                </c:pt>
                <c:pt idx="41">
                  <c:v>82.365538258792512</c:v>
                </c:pt>
                <c:pt idx="42">
                  <c:v>35.299516396625364</c:v>
                </c:pt>
                <c:pt idx="43">
                  <c:v>39.912229813661369</c:v>
                </c:pt>
                <c:pt idx="44">
                  <c:v>31.679053176458662</c:v>
                </c:pt>
                <c:pt idx="45">
                  <c:v>44.224678212817572</c:v>
                </c:pt>
                <c:pt idx="46">
                  <c:v>41.57875729410199</c:v>
                </c:pt>
                <c:pt idx="47">
                  <c:v>40.673459462880018</c:v>
                </c:pt>
                <c:pt idx="48">
                  <c:v>49.676496514529994</c:v>
                </c:pt>
                <c:pt idx="50">
                  <c:v>44.446278264962487</c:v>
                </c:pt>
              </c:numCache>
            </c:numRef>
          </c:yVal>
          <c:smooth val="0"/>
        </c:ser>
        <c:dLbls>
          <c:showLegendKey val="0"/>
          <c:showVal val="0"/>
          <c:showCatName val="0"/>
          <c:showSerName val="0"/>
          <c:showPercent val="0"/>
          <c:showBubbleSize val="0"/>
        </c:dLbls>
        <c:axId val="93600768"/>
        <c:axId val="93611136"/>
      </c:scatterChart>
      <c:valAx>
        <c:axId val="93600768"/>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3611136"/>
        <c:crosses val="autoZero"/>
        <c:crossBetween val="midCat"/>
      </c:valAx>
      <c:valAx>
        <c:axId val="93611136"/>
        <c:scaling>
          <c:orientation val="minMax"/>
        </c:scaling>
        <c:delete val="0"/>
        <c:axPos val="l"/>
        <c:title>
          <c:tx>
            <c:rich>
              <a:bodyPr rot="-5400000" vert="horz"/>
              <a:lstStyle/>
              <a:p>
                <a:pPr>
                  <a:defRPr/>
                </a:pPr>
                <a:r>
                  <a:rPr lang="en-US"/>
                  <a:t>MW</a:t>
                </a:r>
                <a:r>
                  <a:rPr lang="en-US" baseline="0"/>
                  <a:t> / km2</a:t>
                </a:r>
                <a:endParaRPr lang="en-US"/>
              </a:p>
            </c:rich>
          </c:tx>
          <c:overlay val="0"/>
        </c:title>
        <c:numFmt formatCode="0" sourceLinked="0"/>
        <c:majorTickMark val="out"/>
        <c:minorTickMark val="none"/>
        <c:tickLblPos val="nextTo"/>
        <c:crossAx val="93600768"/>
        <c:crosses val="autoZero"/>
        <c:crossBetween val="midCat"/>
      </c:valAx>
    </c:plotArea>
    <c:legend>
      <c:legendPos val="r"/>
      <c:layout>
        <c:manualLayout>
          <c:xMode val="edge"/>
          <c:yMode val="edge"/>
          <c:x val="0.78694751677441765"/>
          <c:y val="4.6224186005526288E-2"/>
          <c:w val="0.16734765158246998"/>
          <c:h val="0.29720083265453889"/>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PV (20 MW or</a:t>
            </a:r>
            <a:r>
              <a:rPr lang="en-US" baseline="0"/>
              <a:t> greater</a:t>
            </a:r>
            <a:r>
              <a:rPr lang="en-US"/>
              <a:t>)</a:t>
            </a:r>
          </a:p>
        </c:rich>
      </c:tx>
      <c:overlay val="1"/>
    </c:title>
    <c:autoTitleDeleted val="0"/>
    <c:plotArea>
      <c:layout>
        <c:manualLayout>
          <c:layoutTarget val="inner"/>
          <c:xMode val="edge"/>
          <c:yMode val="edge"/>
          <c:x val="0.10473158151742662"/>
          <c:y val="8.4985835694051048E-2"/>
          <c:w val="0.79584248916559863"/>
          <c:h val="0.79603399433427768"/>
        </c:manualLayout>
      </c:layout>
      <c:barChart>
        <c:barDir val="col"/>
        <c:grouping val="stacked"/>
        <c:varyColors val="0"/>
        <c:ser>
          <c:idx val="4"/>
          <c:order val="6"/>
          <c:tx>
            <c:strRef>
              <c:f>'Stacked Bar Chart BigPV'!$B$50</c:f>
              <c:strCache>
                <c:ptCount val="1"/>
                <c:pt idx="0">
                  <c:v>Imports Crystalline Si</c:v>
                </c:pt>
              </c:strCache>
            </c:strRef>
          </c:tx>
          <c:spPr>
            <a:noFill/>
            <a:ln w="25400">
              <a:noFill/>
            </a:ln>
          </c:spPr>
          <c:invertIfNegative val="0"/>
          <c:cat>
            <c:strRef>
              <c:f>'Stacked Bar Chart BigPV'!$C$48:$H$48</c:f>
              <c:strCache>
                <c:ptCount val="6"/>
                <c:pt idx="0">
                  <c:v>&lt;4</c:v>
                </c:pt>
                <c:pt idx="1">
                  <c:v>4 - 5</c:v>
                </c:pt>
                <c:pt idx="2">
                  <c:v>5 - 6</c:v>
                </c:pt>
                <c:pt idx="3">
                  <c:v>6 - 7</c:v>
                </c:pt>
                <c:pt idx="4">
                  <c:v>7 - 8</c:v>
                </c:pt>
                <c:pt idx="5">
                  <c:v>&gt;8</c:v>
                </c:pt>
              </c:strCache>
            </c:strRef>
          </c:cat>
          <c:val>
            <c:numRef>
              <c:f>'Stacked Bar Chart BigPV'!$C$50:$H$50</c:f>
              <c:numCache>
                <c:formatCode>General</c:formatCode>
                <c:ptCount val="6"/>
                <c:pt idx="0">
                  <c:v>10</c:v>
                </c:pt>
                <c:pt idx="1">
                  <c:v>10</c:v>
                </c:pt>
                <c:pt idx="2">
                  <c:v>10</c:v>
                </c:pt>
                <c:pt idx="3">
                  <c:v>10</c:v>
                </c:pt>
                <c:pt idx="4">
                  <c:v>10</c:v>
                </c:pt>
                <c:pt idx="5">
                  <c:v>10</c:v>
                </c:pt>
              </c:numCache>
            </c:numRef>
          </c:val>
        </c:ser>
        <c:dLbls>
          <c:showLegendKey val="0"/>
          <c:showVal val="0"/>
          <c:showCatName val="0"/>
          <c:showSerName val="0"/>
          <c:showPercent val="0"/>
          <c:showBubbleSize val="0"/>
        </c:dLbls>
        <c:gapWidth val="20"/>
        <c:overlap val="100"/>
        <c:axId val="117077888"/>
        <c:axId val="117092352"/>
      </c:barChart>
      <c:barChart>
        <c:barDir val="col"/>
        <c:grouping val="stacked"/>
        <c:varyColors val="0"/>
        <c:ser>
          <c:idx val="0"/>
          <c:order val="0"/>
          <c:tx>
            <c:strRef>
              <c:f>'Stacked Bar Chart BigPV'!$A$3</c:f>
              <c:strCache>
                <c:ptCount val="1"/>
                <c:pt idx="0">
                  <c:v>Fixed (MW)</c:v>
                </c:pt>
              </c:strCache>
            </c:strRef>
          </c:tx>
          <c:spPr>
            <a:solidFill>
              <a:schemeClr val="accent2">
                <a:lumMod val="75000"/>
              </a:schemeClr>
            </a:solidFill>
            <a:ln w="12700">
              <a:solidFill>
                <a:schemeClr val="tx1"/>
              </a:solidFill>
            </a:ln>
          </c:spPr>
          <c:invertIfNegative val="0"/>
          <c:cat>
            <c:numRef>
              <c:f>'Stacked Bar Chart BigPV'!$B$2:$T$2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BigPV'!$B$3:$T$3</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1"/>
          <c:order val="1"/>
          <c:tx>
            <c:strRef>
              <c:f>'Stacked Bar Chart BigPV'!$A$4</c:f>
              <c:strCache>
                <c:ptCount val="1"/>
                <c:pt idx="0">
                  <c:v>1 Axis (MW)</c:v>
                </c:pt>
              </c:strCache>
            </c:strRef>
          </c:tx>
          <c:spPr>
            <a:solidFill>
              <a:schemeClr val="accent2">
                <a:lumMod val="60000"/>
                <a:lumOff val="40000"/>
              </a:schemeClr>
            </a:solidFill>
            <a:ln w="12700">
              <a:solidFill>
                <a:schemeClr val="tx1"/>
              </a:solidFill>
            </a:ln>
          </c:spPr>
          <c:invertIfNegative val="0"/>
          <c:cat>
            <c:numRef>
              <c:f>'Stacked Bar Chart BigPV'!$B$2:$T$2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BigPV'!$B$4:$T$4</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5"/>
          <c:order val="2"/>
          <c:tx>
            <c:strRef>
              <c:f>'Stacked Bar Chart BigPV'!$A$5</c:f>
              <c:strCache>
                <c:ptCount val="1"/>
                <c:pt idx="0">
                  <c:v>2 Axis (MW)</c:v>
                </c:pt>
              </c:strCache>
            </c:strRef>
          </c:tx>
          <c:spPr>
            <a:solidFill>
              <a:schemeClr val="accent2">
                <a:lumMod val="20000"/>
                <a:lumOff val="80000"/>
              </a:schemeClr>
            </a:solidFill>
            <a:ln>
              <a:solidFill>
                <a:srgbClr val="000000"/>
              </a:solidFill>
            </a:ln>
          </c:spPr>
          <c:invertIfNegative val="0"/>
          <c:cat>
            <c:numRef>
              <c:f>'Stacked Bar Chart BigPV'!$B$2:$T$2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BigPV'!$B$5:$T$5</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2"/>
          <c:order val="3"/>
          <c:tx>
            <c:strRef>
              <c:f>'Stacked Bar Chart BigPV'!$A$6</c:f>
              <c:strCache>
                <c:ptCount val="1"/>
                <c:pt idx="0">
                  <c:v>Fixed (Projects)</c:v>
                </c:pt>
              </c:strCache>
            </c:strRef>
          </c:tx>
          <c:spPr>
            <a:solidFill>
              <a:schemeClr val="accent1"/>
            </a:solidFill>
            <a:ln w="12700">
              <a:solidFill>
                <a:schemeClr val="tx1"/>
              </a:solidFill>
            </a:ln>
          </c:spPr>
          <c:invertIfNegative val="0"/>
          <c:cat>
            <c:numRef>
              <c:f>'Stacked Bar Chart BigPV'!$B$2:$T$2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BigPV'!$B$6:$T$6</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3"/>
          <c:order val="4"/>
          <c:tx>
            <c:strRef>
              <c:f>'Stacked Bar Chart BigPV'!$A$7</c:f>
              <c:strCache>
                <c:ptCount val="1"/>
                <c:pt idx="0">
                  <c:v>1 Axis (Projects)</c:v>
                </c:pt>
              </c:strCache>
            </c:strRef>
          </c:tx>
          <c:spPr>
            <a:solidFill>
              <a:schemeClr val="accent1">
                <a:lumMod val="60000"/>
                <a:lumOff val="40000"/>
              </a:schemeClr>
            </a:solidFill>
            <a:ln w="12700">
              <a:solidFill>
                <a:schemeClr val="tx1"/>
              </a:solidFill>
            </a:ln>
          </c:spPr>
          <c:invertIfNegative val="0"/>
          <c:cat>
            <c:numRef>
              <c:f>'Stacked Bar Chart BigPV'!$B$2:$T$2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BigPV'!$B$7:$T$7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6"/>
          <c:order val="5"/>
          <c:tx>
            <c:strRef>
              <c:f>'Stacked Bar Chart BigPV'!$A$8</c:f>
              <c:strCache>
                <c:ptCount val="1"/>
                <c:pt idx="0">
                  <c:v>2 Axis (Projects)</c:v>
                </c:pt>
              </c:strCache>
            </c:strRef>
          </c:tx>
          <c:spPr>
            <a:solidFill>
              <a:schemeClr val="accent1">
                <a:lumMod val="20000"/>
                <a:lumOff val="80000"/>
              </a:schemeClr>
            </a:solidFill>
            <a:ln>
              <a:solidFill>
                <a:srgbClr val="000000"/>
              </a:solidFill>
            </a:ln>
          </c:spPr>
          <c:invertIfNegative val="0"/>
          <c:cat>
            <c:numRef>
              <c:f>'Stacked Bar Chart BigPV'!$B$2:$T$2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BigPV'!$B$8:$S$8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LegendKey val="0"/>
          <c:showVal val="0"/>
          <c:showCatName val="0"/>
          <c:showSerName val="0"/>
          <c:showPercent val="0"/>
          <c:showBubbleSize val="0"/>
        </c:dLbls>
        <c:gapWidth val="20"/>
        <c:overlap val="100"/>
        <c:axId val="117094272"/>
        <c:axId val="117095808"/>
      </c:barChart>
      <c:catAx>
        <c:axId val="117077888"/>
        <c:scaling>
          <c:orientation val="minMax"/>
        </c:scaling>
        <c:delete val="0"/>
        <c:axPos val="b"/>
        <c:title>
          <c:tx>
            <c:rich>
              <a:bodyPr/>
              <a:lstStyle/>
              <a:p>
                <a:pPr>
                  <a:defRPr/>
                </a:pPr>
                <a:r>
                  <a:rPr lang="en-US"/>
                  <a:t>Hectares / MW</a:t>
                </a:r>
              </a:p>
            </c:rich>
          </c:tx>
          <c:layout>
            <c:manualLayout>
              <c:xMode val="edge"/>
              <c:yMode val="edge"/>
              <c:x val="0.41633980345481048"/>
              <c:y val="0.94486486486486487"/>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pitchFamily="18" charset="0"/>
                <a:ea typeface="Arial"/>
                <a:cs typeface="Times New Roman" pitchFamily="18" charset="0"/>
              </a:defRPr>
            </a:pPr>
            <a:endParaRPr lang="en-US"/>
          </a:p>
        </c:txPr>
        <c:crossAx val="117092352"/>
        <c:crosses val="autoZero"/>
        <c:auto val="1"/>
        <c:lblAlgn val="ctr"/>
        <c:lblOffset val="100"/>
        <c:tickLblSkip val="1"/>
        <c:tickMarkSkip val="1"/>
        <c:noMultiLvlLbl val="0"/>
      </c:catAx>
      <c:valAx>
        <c:axId val="117092352"/>
        <c:scaling>
          <c:orientation val="minMax"/>
          <c:max val="1000"/>
        </c:scaling>
        <c:delete val="0"/>
        <c:axPos val="l"/>
        <c:majorGridlines>
          <c:spPr>
            <a:ln w="3175">
              <a:solidFill>
                <a:schemeClr val="bg1">
                  <a:lumMod val="50000"/>
                </a:schemeClr>
              </a:solidFill>
              <a:prstDash val="solid"/>
            </a:ln>
          </c:spPr>
        </c:majorGridlines>
        <c:title>
          <c:tx>
            <c:rich>
              <a:bodyPr rot="-5400000" vert="horz"/>
              <a:lstStyle/>
              <a:p>
                <a:pPr>
                  <a:defRPr/>
                </a:pPr>
                <a:r>
                  <a:rPr lang="en-US"/>
                  <a:t>MW</a:t>
                </a:r>
              </a:p>
            </c:rich>
          </c:tx>
          <c:layout>
            <c:manualLayout>
              <c:xMode val="edge"/>
              <c:yMode val="edge"/>
              <c:x val="1.3565891472868534E-2"/>
              <c:y val="0.44531507885838595"/>
            </c:manualLayout>
          </c:layout>
          <c:overlay val="0"/>
        </c:title>
        <c:numFmt formatCode="General" sourceLinked="1"/>
        <c:majorTickMark val="out"/>
        <c:minorTickMark val="none"/>
        <c:tickLblPos val="nextTo"/>
        <c:crossAx val="117077888"/>
        <c:crosses val="autoZero"/>
        <c:crossBetween val="between"/>
        <c:majorUnit val="100"/>
      </c:valAx>
      <c:catAx>
        <c:axId val="117094272"/>
        <c:scaling>
          <c:orientation val="minMax"/>
        </c:scaling>
        <c:delete val="0"/>
        <c:axPos val="b"/>
        <c:numFmt formatCode="General" sourceLinked="1"/>
        <c:majorTickMark val="none"/>
        <c:minorTickMark val="none"/>
        <c:tickLblPos val="none"/>
        <c:spPr>
          <a:ln w="9525">
            <a:noFill/>
          </a:ln>
        </c:spPr>
        <c:crossAx val="117095808"/>
        <c:crossesAt val="0.25"/>
        <c:auto val="1"/>
        <c:lblAlgn val="ctr"/>
        <c:lblOffset val="100"/>
        <c:tickMarkSkip val="1"/>
        <c:noMultiLvlLbl val="0"/>
      </c:catAx>
      <c:valAx>
        <c:axId val="117095808"/>
        <c:scaling>
          <c:orientation val="minMax"/>
          <c:max val="10"/>
          <c:min val="0"/>
        </c:scaling>
        <c:delete val="0"/>
        <c:axPos val="r"/>
        <c:majorGridlines>
          <c:spPr>
            <a:ln>
              <a:solidFill>
                <a:srgbClr val="808080"/>
              </a:solidFill>
            </a:ln>
          </c:spPr>
        </c:majorGridlines>
        <c:title>
          <c:tx>
            <c:rich>
              <a:bodyPr/>
              <a:lstStyle/>
              <a:p>
                <a:pPr>
                  <a:defRPr sz="950" b="0" i="0" u="none" strike="noStrike" baseline="0">
                    <a:solidFill>
                      <a:srgbClr val="000000"/>
                    </a:solidFill>
                    <a:latin typeface="Arial" pitchFamily="34" charset="0"/>
                    <a:ea typeface="Times New Roman"/>
                    <a:cs typeface="Arial" pitchFamily="34" charset="0"/>
                  </a:defRPr>
                </a:pPr>
                <a:r>
                  <a:rPr lang="en-US">
                    <a:latin typeface="Arial" pitchFamily="34" charset="0"/>
                    <a:cs typeface="Arial" pitchFamily="34" charset="0"/>
                  </a:rPr>
                  <a:t>Number of Projects</a:t>
                </a:r>
              </a:p>
            </c:rich>
          </c:tx>
          <c:layout>
            <c:manualLayout>
              <c:xMode val="edge"/>
              <c:yMode val="edge"/>
              <c:x val="0.95114600500518864"/>
              <c:y val="0.373074176538752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pitchFamily="34" charset="0"/>
                <a:ea typeface="Arial"/>
                <a:cs typeface="Arial" pitchFamily="34" charset="0"/>
              </a:defRPr>
            </a:pPr>
            <a:endParaRPr lang="en-US"/>
          </a:p>
        </c:txPr>
        <c:crossAx val="117094272"/>
        <c:crosses val="max"/>
        <c:crossBetween val="midCat"/>
        <c:majorUnit val="1"/>
        <c:minorUnit val="1"/>
      </c:valAx>
      <c:spPr>
        <a:noFill/>
        <a:ln w="12700">
          <a:solidFill>
            <a:srgbClr val="808080"/>
          </a:solidFill>
          <a:prstDash val="solid"/>
        </a:ln>
      </c:spPr>
    </c:plotArea>
    <c:legend>
      <c:legendPos val="r"/>
      <c:legendEntry>
        <c:idx val="0"/>
        <c:delete val="1"/>
      </c:legendEntry>
      <c:layout>
        <c:manualLayout>
          <c:xMode val="edge"/>
          <c:yMode val="edge"/>
          <c:x val="0.59133888787157418"/>
          <c:y val="0.1179593766995316"/>
          <c:w val="0.16968081117519884"/>
          <c:h val="0.34770282093116739"/>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'Weighted Avg and SD'!$N$1:$N$2</c:f>
              <c:strCache>
                <c:ptCount val="1"/>
                <c:pt idx="0">
                  <c:v>total MW/km2</c:v>
                </c:pt>
              </c:strCache>
            </c:strRef>
          </c:tx>
          <c:spPr>
            <a:ln w="28575">
              <a:noFill/>
            </a:ln>
          </c:spPr>
          <c:xVal>
            <c:numRef>
              <c:f>'Weighted Avg and SD'!$L$3:$L$33</c:f>
              <c:numCache>
                <c:formatCode>General</c:formatCode>
                <c:ptCount val="31"/>
                <c:pt idx="0">
                  <c:v>17000</c:v>
                </c:pt>
                <c:pt idx="1">
                  <c:v>20000</c:v>
                </c:pt>
                <c:pt idx="2">
                  <c:v>20000</c:v>
                </c:pt>
                <c:pt idx="3">
                  <c:v>20000</c:v>
                </c:pt>
                <c:pt idx="4">
                  <c:v>21285.19273012182</c:v>
                </c:pt>
                <c:pt idx="5">
                  <c:v>25000</c:v>
                </c:pt>
                <c:pt idx="6">
                  <c:v>25000</c:v>
                </c:pt>
                <c:pt idx="7">
                  <c:v>26000</c:v>
                </c:pt>
                <c:pt idx="8">
                  <c:v>30000</c:v>
                </c:pt>
                <c:pt idx="9">
                  <c:v>93654.848012536007</c:v>
                </c:pt>
                <c:pt idx="10">
                  <c:v>110683.00219663348</c:v>
                </c:pt>
                <c:pt idx="11">
                  <c:v>150000</c:v>
                </c:pt>
                <c:pt idx="12">
                  <c:v>230000</c:v>
                </c:pt>
                <c:pt idx="13">
                  <c:v>250000</c:v>
                </c:pt>
                <c:pt idx="14">
                  <c:v>297992.6982217055</c:v>
                </c:pt>
                <c:pt idx="15">
                  <c:v>300000</c:v>
                </c:pt>
                <c:pt idx="16">
                  <c:v>30720</c:v>
                </c:pt>
                <c:pt idx="17">
                  <c:v>127711.15638073093</c:v>
                </c:pt>
                <c:pt idx="18">
                  <c:v>17532.187547946742</c:v>
                </c:pt>
                <c:pt idx="19">
                  <c:v>18000</c:v>
                </c:pt>
                <c:pt idx="20">
                  <c:v>18730.969602507204</c:v>
                </c:pt>
                <c:pt idx="21">
                  <c:v>21000</c:v>
                </c:pt>
                <c:pt idx="22">
                  <c:v>30000</c:v>
                </c:pt>
                <c:pt idx="23">
                  <c:v>32000</c:v>
                </c:pt>
                <c:pt idx="24">
                  <c:v>34056.308368194914</c:v>
                </c:pt>
                <c:pt idx="25">
                  <c:v>0</c:v>
                </c:pt>
                <c:pt idx="26">
                  <c:v>45000</c:v>
                </c:pt>
                <c:pt idx="27">
                  <c:v>48000</c:v>
                </c:pt>
                <c:pt idx="28">
                  <c:v>51084.462552292374</c:v>
                </c:pt>
                <c:pt idx="29">
                  <c:v>50400</c:v>
                </c:pt>
                <c:pt idx="30">
                  <c:v>290000</c:v>
                </c:pt>
              </c:numCache>
            </c:numRef>
          </c:xVal>
          <c:yVal>
            <c:numRef>
              <c:f>'Weighted Avg and SD'!$N$3:$N$33</c:f>
              <c:numCache>
                <c:formatCode>General</c:formatCode>
                <c:ptCount val="31"/>
                <c:pt idx="0">
                  <c:v>9.6794397312532041</c:v>
                </c:pt>
                <c:pt idx="1">
                  <c:v>13.888888888888889</c:v>
                </c:pt>
                <c:pt idx="2">
                  <c:v>9.5238095238095237</c:v>
                </c:pt>
                <c:pt idx="3">
                  <c:v>12.5</c:v>
                </c:pt>
                <c:pt idx="4">
                  <c:v>10.696076748804936</c:v>
                </c:pt>
                <c:pt idx="5">
                  <c:v>16.233766233766232</c:v>
                </c:pt>
                <c:pt idx="6">
                  <c:v>10.638297872340425</c:v>
                </c:pt>
                <c:pt idx="7">
                  <c:v>8.6666666666666661</c:v>
                </c:pt>
                <c:pt idx="8">
                  <c:v>13.636363636363637</c:v>
                </c:pt>
                <c:pt idx="9">
                  <c:v>9.2361783049838273</c:v>
                </c:pt>
                <c:pt idx="10">
                  <c:v>11.700105940447514</c:v>
                </c:pt>
                <c:pt idx="11">
                  <c:v>13.513513513513512</c:v>
                </c:pt>
                <c:pt idx="12">
                  <c:v>10.952380952380953</c:v>
                </c:pt>
                <c:pt idx="13">
                  <c:v>14.40922190201729</c:v>
                </c:pt>
                <c:pt idx="14">
                  <c:v>10.275610283507087</c:v>
                </c:pt>
                <c:pt idx="15">
                  <c:v>14.903129657228018</c:v>
                </c:pt>
                <c:pt idx="16">
                  <c:v>13.653333333333334</c:v>
                </c:pt>
                <c:pt idx="17">
                  <c:v>12.082417822207278</c:v>
                </c:pt>
                <c:pt idx="18">
                  <c:v>9.7401041933037451</c:v>
                </c:pt>
                <c:pt idx="19">
                  <c:v>13.432835820895521</c:v>
                </c:pt>
                <c:pt idx="20">
                  <c:v>11.706856001567003</c:v>
                </c:pt>
                <c:pt idx="21">
                  <c:v>11.29032258064516</c:v>
                </c:pt>
                <c:pt idx="22">
                  <c:v>12</c:v>
                </c:pt>
                <c:pt idx="23">
                  <c:v>16</c:v>
                </c:pt>
                <c:pt idx="24">
                  <c:v>24.325934548710652</c:v>
                </c:pt>
                <c:pt idx="25">
                  <c:v>0</c:v>
                </c:pt>
                <c:pt idx="26">
                  <c:v>9</c:v>
                </c:pt>
                <c:pt idx="27">
                  <c:v>12.631578947368421</c:v>
                </c:pt>
                <c:pt idx="28">
                  <c:v>14.190128486747881</c:v>
                </c:pt>
                <c:pt idx="29">
                  <c:v>8.4</c:v>
                </c:pt>
                <c:pt idx="30">
                  <c:v>12.083333333333332</c:v>
                </c:pt>
              </c:numCache>
            </c:numRef>
          </c:yVal>
          <c:smooth val="0"/>
        </c:ser>
        <c:dLbls>
          <c:showLegendKey val="0"/>
          <c:showVal val="0"/>
          <c:showCatName val="0"/>
          <c:showSerName val="0"/>
          <c:showPercent val="0"/>
          <c:showBubbleSize val="0"/>
        </c:dLbls>
        <c:axId val="117172480"/>
        <c:axId val="117174272"/>
      </c:scatterChart>
      <c:valAx>
        <c:axId val="117172480"/>
        <c:scaling>
          <c:orientation val="minMax"/>
        </c:scaling>
        <c:delete val="0"/>
        <c:axPos val="b"/>
        <c:numFmt formatCode="General" sourceLinked="1"/>
        <c:majorTickMark val="out"/>
        <c:minorTickMark val="none"/>
        <c:tickLblPos val="nextTo"/>
        <c:crossAx val="117174272"/>
        <c:crosses val="autoZero"/>
        <c:crossBetween val="midCat"/>
      </c:valAx>
      <c:valAx>
        <c:axId val="117174272"/>
        <c:scaling>
          <c:orientation val="minMax"/>
        </c:scaling>
        <c:delete val="0"/>
        <c:axPos val="l"/>
        <c:majorGridlines/>
        <c:numFmt formatCode="General" sourceLinked="1"/>
        <c:majorTickMark val="out"/>
        <c:minorTickMark val="none"/>
        <c:tickLblPos val="nextTo"/>
        <c:crossAx val="117172480"/>
        <c:crosses val="autoZero"/>
        <c:crossBetween val="midCat"/>
      </c:valAx>
    </c:plotArea>
    <c:legend>
      <c:legendPos val="r"/>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'DC to AC conversion'!$C$1:$C$52</c:f>
              <c:numCache>
                <c:formatCode>0</c:formatCode>
                <c:ptCount val="52"/>
                <c:pt idx="0">
                  <c:v>0.59599999999999997</c:v>
                </c:pt>
                <c:pt idx="1">
                  <c:v>0.63300000000000001</c:v>
                </c:pt>
                <c:pt idx="2">
                  <c:v>0.6</c:v>
                </c:pt>
                <c:pt idx="3">
                  <c:v>0.72072000000000003</c:v>
                </c:pt>
                <c:pt idx="4">
                  <c:v>1.069</c:v>
                </c:pt>
                <c:pt idx="5">
                  <c:v>1</c:v>
                </c:pt>
                <c:pt idx="6">
                  <c:v>1.1886400000000001</c:v>
                </c:pt>
                <c:pt idx="7">
                  <c:v>1</c:v>
                </c:pt>
                <c:pt idx="8">
                  <c:v>1.0889599999999999</c:v>
                </c:pt>
                <c:pt idx="9">
                  <c:v>1.1020799999999999</c:v>
                </c:pt>
                <c:pt idx="10">
                  <c:v>1</c:v>
                </c:pt>
                <c:pt idx="11">
                  <c:v>1.1795199999999999</c:v>
                </c:pt>
                <c:pt idx="12">
                  <c:v>1.1600999999999999</c:v>
                </c:pt>
                <c:pt idx="13">
                  <c:v>1.083</c:v>
                </c:pt>
                <c:pt idx="14">
                  <c:v>1.1404799999999999</c:v>
                </c:pt>
                <c:pt idx="15">
                  <c:v>1.1592</c:v>
                </c:pt>
                <c:pt idx="16">
                  <c:v>1.1890000000000001</c:v>
                </c:pt>
                <c:pt idx="17">
                  <c:v>1.4</c:v>
                </c:pt>
                <c:pt idx="18">
                  <c:v>1.7270000000000001</c:v>
                </c:pt>
                <c:pt idx="19">
                  <c:v>2.5920000000000001</c:v>
                </c:pt>
                <c:pt idx="20">
                  <c:v>2.1509999999999998</c:v>
                </c:pt>
                <c:pt idx="21">
                  <c:v>6.2</c:v>
                </c:pt>
                <c:pt idx="22">
                  <c:v>6.4</c:v>
                </c:pt>
                <c:pt idx="23">
                  <c:v>5.742</c:v>
                </c:pt>
                <c:pt idx="24">
                  <c:v>6.48</c:v>
                </c:pt>
                <c:pt idx="25">
                  <c:v>12</c:v>
                </c:pt>
                <c:pt idx="26">
                  <c:v>11.75</c:v>
                </c:pt>
                <c:pt idx="27">
                  <c:v>12</c:v>
                </c:pt>
                <c:pt idx="28">
                  <c:v>12.6</c:v>
                </c:pt>
                <c:pt idx="29">
                  <c:v>15.01</c:v>
                </c:pt>
                <c:pt idx="30">
                  <c:v>18</c:v>
                </c:pt>
                <c:pt idx="31">
                  <c:v>16.100000000000001</c:v>
                </c:pt>
                <c:pt idx="32">
                  <c:v>16.438800000000001</c:v>
                </c:pt>
                <c:pt idx="33">
                  <c:v>16.609000000000002</c:v>
                </c:pt>
                <c:pt idx="34">
                  <c:v>17.2</c:v>
                </c:pt>
                <c:pt idx="35">
                  <c:v>20</c:v>
                </c:pt>
                <c:pt idx="36">
                  <c:v>20</c:v>
                </c:pt>
                <c:pt idx="37">
                  <c:v>21</c:v>
                </c:pt>
                <c:pt idx="38">
                  <c:v>20</c:v>
                </c:pt>
                <c:pt idx="39">
                  <c:v>23.5</c:v>
                </c:pt>
                <c:pt idx="40">
                  <c:v>24.9</c:v>
                </c:pt>
                <c:pt idx="41">
                  <c:v>25.2</c:v>
                </c:pt>
                <c:pt idx="42">
                  <c:v>28.7</c:v>
                </c:pt>
                <c:pt idx="43">
                  <c:v>28</c:v>
                </c:pt>
                <c:pt idx="44">
                  <c:v>34.29</c:v>
                </c:pt>
                <c:pt idx="45">
                  <c:v>37</c:v>
                </c:pt>
                <c:pt idx="46">
                  <c:v>57.715000000000003</c:v>
                </c:pt>
                <c:pt idx="47">
                  <c:v>58</c:v>
                </c:pt>
                <c:pt idx="48">
                  <c:v>65.099999999999994</c:v>
                </c:pt>
                <c:pt idx="49">
                  <c:v>170</c:v>
                </c:pt>
                <c:pt idx="50">
                  <c:v>284</c:v>
                </c:pt>
                <c:pt idx="51">
                  <c:v>500</c:v>
                </c:pt>
              </c:numCache>
            </c:numRef>
          </c:xVal>
          <c:yVal>
            <c:numRef>
              <c:f>'DC to AC conversion'!$D$1:$D$52</c:f>
              <c:numCache>
                <c:formatCode>General</c:formatCode>
                <c:ptCount val="52"/>
                <c:pt idx="0">
                  <c:v>0.74979865771812082</c:v>
                </c:pt>
                <c:pt idx="1">
                  <c:v>0.75009478672985785</c:v>
                </c:pt>
                <c:pt idx="2">
                  <c:v>0.83860000000000001</c:v>
                </c:pt>
                <c:pt idx="3">
                  <c:v>0.91279553779553779</c:v>
                </c:pt>
                <c:pt idx="4">
                  <c:v>0.76997193638914874</c:v>
                </c:pt>
                <c:pt idx="5">
                  <c:v>0.89</c:v>
                </c:pt>
                <c:pt idx="6">
                  <c:v>0.75</c:v>
                </c:pt>
                <c:pt idx="7">
                  <c:v>0.9</c:v>
                </c:pt>
                <c:pt idx="8">
                  <c:v>0.84292627828386713</c:v>
                </c:pt>
                <c:pt idx="9">
                  <c:v>0.83853622241579562</c:v>
                </c:pt>
                <c:pt idx="10">
                  <c:v>0.94</c:v>
                </c:pt>
                <c:pt idx="11">
                  <c:v>0.84399925393380359</c:v>
                </c:pt>
                <c:pt idx="12">
                  <c:v>0.86192224808206197</c:v>
                </c:pt>
                <c:pt idx="13">
                  <c:v>0.92336103416435822</c:v>
                </c:pt>
                <c:pt idx="14">
                  <c:v>0.87682379349046013</c:v>
                </c:pt>
                <c:pt idx="15">
                  <c:v>0.86266390614216693</c:v>
                </c:pt>
                <c:pt idx="16">
                  <c:v>0.84104289318755254</c:v>
                </c:pt>
                <c:pt idx="17">
                  <c:v>0.8571428571428571</c:v>
                </c:pt>
                <c:pt idx="18">
                  <c:v>0.77</c:v>
                </c:pt>
                <c:pt idx="19">
                  <c:v>0.77160493827160492</c:v>
                </c:pt>
                <c:pt idx="20">
                  <c:v>0.96999999999999986</c:v>
                </c:pt>
                <c:pt idx="21">
                  <c:v>0.80645161290322576</c:v>
                </c:pt>
                <c:pt idx="22">
                  <c:v>0.78125</c:v>
                </c:pt>
                <c:pt idx="23">
                  <c:v>0.87077673284569834</c:v>
                </c:pt>
                <c:pt idx="24">
                  <c:v>0.82160493827160497</c:v>
                </c:pt>
                <c:pt idx="25">
                  <c:v>0.78333333333333333</c:v>
                </c:pt>
                <c:pt idx="26">
                  <c:v>0.85106382978723405</c:v>
                </c:pt>
                <c:pt idx="27">
                  <c:v>0.83333333333333337</c:v>
                </c:pt>
                <c:pt idx="28">
                  <c:v>0.79365079365079361</c:v>
                </c:pt>
                <c:pt idx="29">
                  <c:v>0.83944037308461028</c:v>
                </c:pt>
                <c:pt idx="30">
                  <c:v>0.75</c:v>
                </c:pt>
                <c:pt idx="31">
                  <c:v>0.86956521739130432</c:v>
                </c:pt>
                <c:pt idx="32">
                  <c:v>0.91247536316519462</c:v>
                </c:pt>
                <c:pt idx="33">
                  <c:v>0.90312481184899751</c:v>
                </c:pt>
                <c:pt idx="34">
                  <c:v>0.90116279069767447</c:v>
                </c:pt>
                <c:pt idx="35">
                  <c:v>0.85</c:v>
                </c:pt>
                <c:pt idx="36">
                  <c:v>0.875</c:v>
                </c:pt>
                <c:pt idx="37">
                  <c:v>0.8571428571428571</c:v>
                </c:pt>
                <c:pt idx="38">
                  <c:v>0.9</c:v>
                </c:pt>
                <c:pt idx="39">
                  <c:v>0.85106382978723405</c:v>
                </c:pt>
                <c:pt idx="40">
                  <c:v>0.82329317269076308</c:v>
                </c:pt>
                <c:pt idx="41">
                  <c:v>0.83333333333333337</c:v>
                </c:pt>
                <c:pt idx="42">
                  <c:v>0.80139372822299648</c:v>
                </c:pt>
                <c:pt idx="43">
                  <c:v>0.8928571428571429</c:v>
                </c:pt>
                <c:pt idx="44">
                  <c:v>0.87489063867016625</c:v>
                </c:pt>
                <c:pt idx="45">
                  <c:v>0.86486486486486491</c:v>
                </c:pt>
                <c:pt idx="46">
                  <c:v>0.77969332062721997</c:v>
                </c:pt>
                <c:pt idx="47">
                  <c:v>0.82758620689655171</c:v>
                </c:pt>
                <c:pt idx="48">
                  <c:v>0.77419354838709675</c:v>
                </c:pt>
                <c:pt idx="49">
                  <c:v>0.88235294117647056</c:v>
                </c:pt>
                <c:pt idx="50">
                  <c:v>0.8098591549295775</c:v>
                </c:pt>
                <c:pt idx="51">
                  <c:v>0.88</c:v>
                </c:pt>
              </c:numCache>
            </c:numRef>
          </c:yVal>
          <c:smooth val="0"/>
        </c:ser>
        <c:dLbls>
          <c:showLegendKey val="0"/>
          <c:showVal val="0"/>
          <c:showCatName val="0"/>
          <c:showSerName val="0"/>
          <c:showPercent val="0"/>
          <c:showBubbleSize val="0"/>
        </c:dLbls>
        <c:axId val="129581824"/>
        <c:axId val="129583744"/>
      </c:scatterChart>
      <c:valAx>
        <c:axId val="129581824"/>
        <c:scaling>
          <c:logBase val="10"/>
          <c:orientation val="minMax"/>
        </c:scaling>
        <c:delete val="0"/>
        <c:axPos val="b"/>
        <c:title>
          <c:tx>
            <c:rich>
              <a:bodyPr/>
              <a:lstStyle/>
              <a:p>
                <a:pPr>
                  <a:defRPr/>
                </a:pPr>
                <a:r>
                  <a:rPr lang="en-US"/>
                  <a:t>System Size (MWdc) (log scale)</a:t>
                </a:r>
              </a:p>
            </c:rich>
          </c:tx>
          <c:overlay val="0"/>
        </c:title>
        <c:numFmt formatCode="0" sourceLinked="1"/>
        <c:majorTickMark val="out"/>
        <c:minorTickMark val="none"/>
        <c:tickLblPos val="nextTo"/>
        <c:crossAx val="129583744"/>
        <c:crosses val="autoZero"/>
        <c:crossBetween val="midCat"/>
      </c:valAx>
      <c:valAx>
        <c:axId val="129583744"/>
        <c:scaling>
          <c:orientation val="minMax"/>
          <c:max val="1"/>
          <c:min val="0.5"/>
        </c:scaling>
        <c:delete val="0"/>
        <c:axPos val="l"/>
        <c:majorGridlines/>
        <c:title>
          <c:tx>
            <c:rich>
              <a:bodyPr rot="-5400000" vert="horz"/>
              <a:lstStyle/>
              <a:p>
                <a:pPr>
                  <a:defRPr/>
                </a:pPr>
                <a:r>
                  <a:rPr lang="en-US"/>
                  <a:t>DC</a:t>
                </a:r>
                <a:r>
                  <a:rPr lang="en-US" baseline="0"/>
                  <a:t> to AC  factor</a:t>
                </a:r>
                <a:endParaRPr lang="en-US"/>
              </a:p>
            </c:rich>
          </c:tx>
          <c:overlay val="0"/>
        </c:title>
        <c:numFmt formatCode="#,##0.00" sourceLinked="0"/>
        <c:majorTickMark val="out"/>
        <c:minorTickMark val="none"/>
        <c:tickLblPos val="nextTo"/>
        <c:crossAx val="129581824"/>
        <c:crossesAt val="1.0000000000000002E-2"/>
        <c:crossBetween val="midCat"/>
      </c:valAx>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'DC to AC conversion'!$I$34:$I$39</c:f>
              <c:strCache>
                <c:ptCount val="6"/>
                <c:pt idx="0">
                  <c:v>&lt;0.75</c:v>
                </c:pt>
                <c:pt idx="1">
                  <c:v>0.75-0.8</c:v>
                </c:pt>
                <c:pt idx="2">
                  <c:v>0.8-0.85</c:v>
                </c:pt>
                <c:pt idx="3">
                  <c:v>0.85-0.9</c:v>
                </c:pt>
                <c:pt idx="4">
                  <c:v>0.9-0.95</c:v>
                </c:pt>
                <c:pt idx="5">
                  <c:v>0.95-1</c:v>
                </c:pt>
              </c:strCache>
            </c:strRef>
          </c:cat>
          <c:val>
            <c:numRef>
              <c:f>'DC to AC conversion'!$J$34:$J$39</c:f>
              <c:numCache>
                <c:formatCode>General</c:formatCode>
                <c:ptCount val="6"/>
                <c:pt idx="0">
                  <c:v>0.59599999999999997</c:v>
                </c:pt>
                <c:pt idx="1">
                  <c:v>179.02464000000001</c:v>
                </c:pt>
                <c:pt idx="2">
                  <c:v>465.64956000000001</c:v>
                </c:pt>
                <c:pt idx="3">
                  <c:v>893.24177999999995</c:v>
                </c:pt>
                <c:pt idx="4">
                  <c:v>74.051519999999996</c:v>
                </c:pt>
                <c:pt idx="5">
                  <c:v>2.1509999999999998</c:v>
                </c:pt>
              </c:numCache>
            </c:numRef>
          </c:val>
        </c:ser>
        <c:dLbls>
          <c:showLegendKey val="0"/>
          <c:showVal val="0"/>
          <c:showCatName val="0"/>
          <c:showSerName val="0"/>
          <c:showPercent val="0"/>
          <c:showBubbleSize val="0"/>
        </c:dLbls>
        <c:gapWidth val="150"/>
        <c:axId val="129599744"/>
        <c:axId val="129610112"/>
      </c:barChart>
      <c:catAx>
        <c:axId val="129599744"/>
        <c:scaling>
          <c:orientation val="minMax"/>
        </c:scaling>
        <c:delete val="0"/>
        <c:axPos val="b"/>
        <c:title>
          <c:tx>
            <c:rich>
              <a:bodyPr/>
              <a:lstStyle/>
              <a:p>
                <a:pPr>
                  <a:defRPr/>
                </a:pPr>
                <a:r>
                  <a:rPr lang="en-US"/>
                  <a:t>DC to AC factor</a:t>
                </a:r>
              </a:p>
            </c:rich>
          </c:tx>
          <c:overlay val="0"/>
        </c:title>
        <c:majorTickMark val="out"/>
        <c:minorTickMark val="none"/>
        <c:tickLblPos val="nextTo"/>
        <c:crossAx val="129610112"/>
        <c:crosses val="autoZero"/>
        <c:auto val="1"/>
        <c:lblAlgn val="ctr"/>
        <c:lblOffset val="100"/>
        <c:noMultiLvlLbl val="0"/>
      </c:catAx>
      <c:valAx>
        <c:axId val="129610112"/>
        <c:scaling>
          <c:orientation val="minMax"/>
        </c:scaling>
        <c:delete val="0"/>
        <c:axPos val="l"/>
        <c:majorGridlines/>
        <c:title>
          <c:tx>
            <c:rich>
              <a:bodyPr rot="-5400000" vert="horz"/>
              <a:lstStyle/>
              <a:p>
                <a:pPr>
                  <a:defRPr/>
                </a:pPr>
                <a:r>
                  <a:rPr lang="en-US"/>
                  <a:t>Total Capacity (MWdc)</a:t>
                </a:r>
              </a:p>
            </c:rich>
          </c:tx>
          <c:overlay val="0"/>
        </c:title>
        <c:numFmt formatCode="General" sourceLinked="1"/>
        <c:majorTickMark val="out"/>
        <c:minorTickMark val="none"/>
        <c:tickLblPos val="nextTo"/>
        <c:crossAx val="12959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noFill/>
            </a:ln>
          </c:spPr>
          <c:invertIfNegative val="0"/>
          <c:errBars>
            <c:errBarType val="minus"/>
            <c:errValType val="cust"/>
            <c:noEndCap val="0"/>
            <c:plus>
              <c:numLit>
                <c:formatCode>General</c:formatCode>
                <c:ptCount val="1"/>
                <c:pt idx="0">
                  <c:v>1</c:v>
                </c:pt>
              </c:numLit>
            </c:plus>
            <c:minus>
              <c:numRef>
                <c:f>BoxPlots!$C$9:$H$9</c:f>
                <c:numCache>
                  <c:formatCode>General</c:formatCode>
                  <c:ptCount val="6"/>
                  <c:pt idx="0">
                    <c:v>1.386807457535197</c:v>
                  </c:pt>
                  <c:pt idx="1">
                    <c:v>1.0228380653534916</c:v>
                  </c:pt>
                  <c:pt idx="2">
                    <c:v>1.3004547923827783</c:v>
                  </c:pt>
                  <c:pt idx="3">
                    <c:v>0.73546847656250014</c:v>
                  </c:pt>
                  <c:pt idx="4">
                    <c:v>0.7880999999999998</c:v>
                  </c:pt>
                  <c:pt idx="5">
                    <c:v>0.98569521874999999</c:v>
                  </c:pt>
                </c:numCache>
              </c:numRef>
            </c:minus>
          </c:errBars>
          <c:cat>
            <c:multiLvlStrRef>
              <c:f>BoxPlots!$C$3:$H$4</c:f>
              <c:multiLvlStrCache>
                <c:ptCount val="6"/>
                <c:lvl>
                  <c:pt idx="0">
                    <c:v>Total </c:v>
                  </c:pt>
                  <c:pt idx="1">
                    <c:v>Direct</c:v>
                  </c:pt>
                  <c:pt idx="2">
                    <c:v>Total Area</c:v>
                  </c:pt>
                  <c:pt idx="3">
                    <c:v>Direct</c:v>
                  </c:pt>
                  <c:pt idx="4">
                    <c:v>Total </c:v>
                  </c:pt>
                  <c:pt idx="5">
                    <c:v>Direct</c:v>
                  </c:pt>
                </c:lvl>
                <c:lvl>
                  <c:pt idx="0">
                    <c:v>Small</c:v>
                  </c:pt>
                  <c:pt idx="2">
                    <c:v>Large</c:v>
                  </c:pt>
                  <c:pt idx="4">
                    <c:v>CSP</c:v>
                  </c:pt>
                </c:lvl>
              </c:multiLvlStrCache>
            </c:multiLvlStrRef>
          </c:cat>
          <c:val>
            <c:numRef>
              <c:f>BoxPlots!$C$8:$H$8</c:f>
              <c:numCache>
                <c:formatCode>0.0</c:formatCode>
                <c:ptCount val="6"/>
                <c:pt idx="0">
                  <c:v>2.600864383535197</c:v>
                </c:pt>
                <c:pt idx="1">
                  <c:v>1.9261284653534918</c:v>
                </c:pt>
                <c:pt idx="2" formatCode="0.00">
                  <c:v>2.9641113281250004</c:v>
                </c:pt>
                <c:pt idx="3" formatCode="0.00">
                  <c:v>2.4621884765625</c:v>
                </c:pt>
                <c:pt idx="4" formatCode="General">
                  <c:v>2.6766999999999999</c:v>
                </c:pt>
                <c:pt idx="5" formatCode="General">
                  <c:v>1.78969921875</c:v>
                </c:pt>
              </c:numCache>
            </c:numRef>
          </c:val>
        </c:ser>
        <c:ser>
          <c:idx val="1"/>
          <c:order val="1"/>
          <c:invertIfNegative val="0"/>
          <c:cat>
            <c:multiLvlStrRef>
              <c:f>BoxPlots!$C$3:$H$4</c:f>
              <c:multiLvlStrCache>
                <c:ptCount val="6"/>
                <c:lvl>
                  <c:pt idx="0">
                    <c:v>Total </c:v>
                  </c:pt>
                  <c:pt idx="1">
                    <c:v>Direct</c:v>
                  </c:pt>
                  <c:pt idx="2">
                    <c:v>Total Area</c:v>
                  </c:pt>
                  <c:pt idx="3">
                    <c:v>Direct</c:v>
                  </c:pt>
                  <c:pt idx="4">
                    <c:v>Total </c:v>
                  </c:pt>
                  <c:pt idx="5">
                    <c:v>Direct</c:v>
                  </c:pt>
                </c:lvl>
                <c:lvl>
                  <c:pt idx="0">
                    <c:v>Small</c:v>
                  </c:pt>
                  <c:pt idx="2">
                    <c:v>Large</c:v>
                  </c:pt>
                  <c:pt idx="4">
                    <c:v>CSP</c:v>
                  </c:pt>
                </c:lvl>
              </c:multiLvlStrCache>
            </c:multiLvlStrRef>
          </c:cat>
          <c:val>
            <c:numRef>
              <c:f>BoxPlots!$C$7:$H$7</c:f>
              <c:numCache>
                <c:formatCode>0.0</c:formatCode>
                <c:ptCount val="6"/>
                <c:pt idx="0">
                  <c:v>0.74303945374759017</c:v>
                </c:pt>
                <c:pt idx="1">
                  <c:v>0.47676212019388031</c:v>
                </c:pt>
                <c:pt idx="2" formatCode="0.00">
                  <c:v>0.2590367821566133</c:v>
                </c:pt>
                <c:pt idx="3" formatCode="0.00">
                  <c:v>0.50575365732759803</c:v>
                </c:pt>
                <c:pt idx="4" formatCode="General">
                  <c:v>1.2401675704375665</c:v>
                </c:pt>
                <c:pt idx="5" formatCode="General">
                  <c:v>1.3608045242617219</c:v>
                </c:pt>
              </c:numCache>
            </c:numRef>
          </c:val>
        </c:ser>
        <c:ser>
          <c:idx val="2"/>
          <c:order val="2"/>
          <c:invertIfNegative val="0"/>
          <c:errBars>
            <c:errBarType val="plus"/>
            <c:errValType val="cust"/>
            <c:noEndCap val="0"/>
            <c:plus>
              <c:numRef>
                <c:f>BoxPlots!$C$5:$H$5</c:f>
                <c:numCache>
                  <c:formatCode>General</c:formatCode>
                  <c:ptCount val="6"/>
                  <c:pt idx="0">
                    <c:v>2.9382509819455405</c:v>
                  </c:pt>
                  <c:pt idx="1">
                    <c:v>1.9029434265227616</c:v>
                  </c:pt>
                  <c:pt idx="2">
                    <c:v>1.0143735995203262</c:v>
                  </c:pt>
                  <c:pt idx="3">
                    <c:v>1.7693544315835465</c:v>
                  </c:pt>
                  <c:pt idx="4">
                    <c:v>4.5628085454545451</c:v>
                  </c:pt>
                  <c:pt idx="5">
                    <c:v>1.8632855343980346</c:v>
                  </c:pt>
                </c:numCache>
              </c:numRef>
            </c:plus>
            <c:minus>
              <c:numLit>
                <c:formatCode>General</c:formatCode>
                <c:ptCount val="1"/>
                <c:pt idx="0">
                  <c:v>1</c:v>
                </c:pt>
              </c:numLit>
            </c:minus>
          </c:errBars>
          <c:cat>
            <c:multiLvlStrRef>
              <c:f>BoxPlots!$C$3:$H$4</c:f>
              <c:multiLvlStrCache>
                <c:ptCount val="6"/>
                <c:lvl>
                  <c:pt idx="0">
                    <c:v>Total </c:v>
                  </c:pt>
                  <c:pt idx="1">
                    <c:v>Direct</c:v>
                  </c:pt>
                  <c:pt idx="2">
                    <c:v>Total Area</c:v>
                  </c:pt>
                  <c:pt idx="3">
                    <c:v>Direct</c:v>
                  </c:pt>
                  <c:pt idx="4">
                    <c:v>Total </c:v>
                  </c:pt>
                  <c:pt idx="5">
                    <c:v>Direct</c:v>
                  </c:pt>
                </c:lvl>
                <c:lvl>
                  <c:pt idx="0">
                    <c:v>Small</c:v>
                  </c:pt>
                  <c:pt idx="2">
                    <c:v>Large</c:v>
                  </c:pt>
                  <c:pt idx="4">
                    <c:v>CSP</c:v>
                  </c:pt>
                </c:lvl>
              </c:multiLvlStrCache>
            </c:multiLvlStrRef>
          </c:cat>
          <c:val>
            <c:numRef>
              <c:f>BoxPlots!$C$6:$H$6</c:f>
              <c:numCache>
                <c:formatCode>0.0</c:formatCode>
                <c:ptCount val="6"/>
                <c:pt idx="0">
                  <c:v>0.59750109477167301</c:v>
                </c:pt>
                <c:pt idx="1">
                  <c:v>0.44747037576478599</c:v>
                </c:pt>
                <c:pt idx="2" formatCode="0.00">
                  <c:v>0.71530409678160645</c:v>
                </c:pt>
                <c:pt idx="3" formatCode="0.00">
                  <c:v>0.2155292411099019</c:v>
                </c:pt>
                <c:pt idx="4" formatCode="General">
                  <c:v>1.9696778841078881</c:v>
                </c:pt>
                <c:pt idx="5" formatCode="General">
                  <c:v>0.60418254077206157</c:v>
                </c:pt>
              </c:numCache>
            </c:numRef>
          </c:val>
        </c:ser>
        <c:dLbls>
          <c:showLegendKey val="0"/>
          <c:showVal val="0"/>
          <c:showCatName val="0"/>
          <c:showSerName val="0"/>
          <c:showPercent val="0"/>
          <c:showBubbleSize val="0"/>
        </c:dLbls>
        <c:gapWidth val="150"/>
        <c:overlap val="100"/>
        <c:axId val="129634304"/>
        <c:axId val="129635840"/>
      </c:barChart>
      <c:catAx>
        <c:axId val="129634304"/>
        <c:scaling>
          <c:orientation val="minMax"/>
        </c:scaling>
        <c:delete val="0"/>
        <c:axPos val="b"/>
        <c:majorTickMark val="out"/>
        <c:minorTickMark val="none"/>
        <c:tickLblPos val="nextTo"/>
        <c:crossAx val="129635840"/>
        <c:crosses val="autoZero"/>
        <c:auto val="1"/>
        <c:lblAlgn val="ctr"/>
        <c:lblOffset val="100"/>
        <c:noMultiLvlLbl val="0"/>
      </c:catAx>
      <c:valAx>
        <c:axId val="129635840"/>
        <c:scaling>
          <c:orientation val="minMax"/>
        </c:scaling>
        <c:delete val="0"/>
        <c:axPos val="l"/>
        <c:majorGridlines/>
        <c:title>
          <c:tx>
            <c:rich>
              <a:bodyPr rot="-5400000" vert="horz"/>
              <a:lstStyle/>
              <a:p>
                <a:pPr>
                  <a:defRPr/>
                </a:pPr>
                <a:r>
                  <a:rPr lang="en-US"/>
                  <a:t>Ha/MW</a:t>
                </a:r>
              </a:p>
            </c:rich>
          </c:tx>
          <c:overlay val="0"/>
        </c:title>
        <c:numFmt formatCode="0.0" sourceLinked="1"/>
        <c:majorTickMark val="out"/>
        <c:minorTickMark val="none"/>
        <c:tickLblPos val="nextTo"/>
        <c:crossAx val="129634304"/>
        <c:crosses val="autoZero"/>
        <c:crossBetween val="between"/>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c:spPr>
          <c:invertIfNegative val="0"/>
          <c:errBars>
            <c:errBarType val="minus"/>
            <c:errValType val="cust"/>
            <c:noEndCap val="0"/>
            <c:plus>
              <c:numLit>
                <c:formatCode>General</c:formatCode>
                <c:ptCount val="1"/>
                <c:pt idx="0">
                  <c:v>1</c:v>
                </c:pt>
              </c:numLit>
            </c:plus>
            <c:minus>
              <c:numRef>
                <c:f>BoxPlots!$C$9:$H$9</c:f>
                <c:numCache>
                  <c:formatCode>General</c:formatCode>
                  <c:ptCount val="6"/>
                  <c:pt idx="0">
                    <c:v>1.386807457535197</c:v>
                  </c:pt>
                  <c:pt idx="1">
                    <c:v>1.0228380653534916</c:v>
                  </c:pt>
                  <c:pt idx="2">
                    <c:v>1.3004547923827783</c:v>
                  </c:pt>
                  <c:pt idx="3">
                    <c:v>0.73546847656250014</c:v>
                  </c:pt>
                  <c:pt idx="4">
                    <c:v>0.7880999999999998</c:v>
                  </c:pt>
                  <c:pt idx="5">
                    <c:v>0.98569521874999999</c:v>
                  </c:pt>
                </c:numCache>
              </c:numRef>
            </c:minus>
          </c:errBars>
          <c:cat>
            <c:multiLvlStrRef>
              <c:f>BoxPlots!$C$3:$H$4</c:f>
              <c:multiLvlStrCache>
                <c:ptCount val="6"/>
                <c:lvl>
                  <c:pt idx="0">
                    <c:v>Total </c:v>
                  </c:pt>
                  <c:pt idx="1">
                    <c:v>Direct</c:v>
                  </c:pt>
                  <c:pt idx="2">
                    <c:v>Total Area</c:v>
                  </c:pt>
                  <c:pt idx="3">
                    <c:v>Direct</c:v>
                  </c:pt>
                  <c:pt idx="4">
                    <c:v>Total </c:v>
                  </c:pt>
                  <c:pt idx="5">
                    <c:v>Direct</c:v>
                  </c:pt>
                </c:lvl>
                <c:lvl>
                  <c:pt idx="0">
                    <c:v>Small</c:v>
                  </c:pt>
                  <c:pt idx="2">
                    <c:v>Large</c:v>
                  </c:pt>
                  <c:pt idx="4">
                    <c:v>CSP</c:v>
                  </c:pt>
                </c:lvl>
              </c:multiLvlStrCache>
            </c:multiLvlStrRef>
          </c:cat>
          <c:val>
            <c:numRef>
              <c:f>BoxPlots!$C$8:$H$8</c:f>
              <c:numCache>
                <c:formatCode>0.0</c:formatCode>
                <c:ptCount val="6"/>
                <c:pt idx="0">
                  <c:v>2.600864383535197</c:v>
                </c:pt>
                <c:pt idx="1">
                  <c:v>1.9261284653534918</c:v>
                </c:pt>
                <c:pt idx="2" formatCode="0.00">
                  <c:v>2.9641113281250004</c:v>
                </c:pt>
                <c:pt idx="3" formatCode="0.00">
                  <c:v>2.4621884765625</c:v>
                </c:pt>
                <c:pt idx="4" formatCode="General">
                  <c:v>2.6766999999999999</c:v>
                </c:pt>
                <c:pt idx="5" formatCode="General">
                  <c:v>1.78969921875</c:v>
                </c:pt>
              </c:numCache>
            </c:numRef>
          </c:val>
        </c:ser>
        <c:ser>
          <c:idx val="1"/>
          <c:order val="1"/>
          <c:invertIfNegative val="0"/>
          <c:cat>
            <c:multiLvlStrRef>
              <c:f>BoxPlots!$C$3:$H$4</c:f>
              <c:multiLvlStrCache>
                <c:ptCount val="6"/>
                <c:lvl>
                  <c:pt idx="0">
                    <c:v>Total </c:v>
                  </c:pt>
                  <c:pt idx="1">
                    <c:v>Direct</c:v>
                  </c:pt>
                  <c:pt idx="2">
                    <c:v>Total Area</c:v>
                  </c:pt>
                  <c:pt idx="3">
                    <c:v>Direct</c:v>
                  </c:pt>
                  <c:pt idx="4">
                    <c:v>Total </c:v>
                  </c:pt>
                  <c:pt idx="5">
                    <c:v>Direct</c:v>
                  </c:pt>
                </c:lvl>
                <c:lvl>
                  <c:pt idx="0">
                    <c:v>Small</c:v>
                  </c:pt>
                  <c:pt idx="2">
                    <c:v>Large</c:v>
                  </c:pt>
                  <c:pt idx="4">
                    <c:v>CSP</c:v>
                  </c:pt>
                </c:lvl>
              </c:multiLvlStrCache>
            </c:multiLvlStrRef>
          </c:cat>
          <c:val>
            <c:numRef>
              <c:f>BoxPlots!$C$7:$H$7</c:f>
              <c:numCache>
                <c:formatCode>0.0</c:formatCode>
                <c:ptCount val="6"/>
                <c:pt idx="0">
                  <c:v>0.74303945374759017</c:v>
                </c:pt>
                <c:pt idx="1">
                  <c:v>0.47676212019388031</c:v>
                </c:pt>
                <c:pt idx="2" formatCode="0.00">
                  <c:v>0.2590367821566133</c:v>
                </c:pt>
                <c:pt idx="3" formatCode="0.00">
                  <c:v>0.50575365732759803</c:v>
                </c:pt>
                <c:pt idx="4" formatCode="General">
                  <c:v>1.2401675704375665</c:v>
                </c:pt>
                <c:pt idx="5" formatCode="General">
                  <c:v>1.3608045242617219</c:v>
                </c:pt>
              </c:numCache>
            </c:numRef>
          </c:val>
        </c:ser>
        <c:ser>
          <c:idx val="2"/>
          <c:order val="2"/>
          <c:invertIfNegative val="0"/>
          <c:errBars>
            <c:errBarType val="plus"/>
            <c:errValType val="cust"/>
            <c:noEndCap val="0"/>
            <c:plus>
              <c:numRef>
                <c:f>BoxPlots!$C$5:$H$5</c:f>
                <c:numCache>
                  <c:formatCode>General</c:formatCode>
                  <c:ptCount val="6"/>
                  <c:pt idx="0">
                    <c:v>2.9382509819455405</c:v>
                  </c:pt>
                  <c:pt idx="1">
                    <c:v>1.9029434265227616</c:v>
                  </c:pt>
                  <c:pt idx="2">
                    <c:v>1.0143735995203262</c:v>
                  </c:pt>
                  <c:pt idx="3">
                    <c:v>1.7693544315835465</c:v>
                  </c:pt>
                  <c:pt idx="4">
                    <c:v>4.5628085454545451</c:v>
                  </c:pt>
                  <c:pt idx="5">
                    <c:v>1.8632855343980346</c:v>
                  </c:pt>
                </c:numCache>
              </c:numRef>
            </c:plus>
            <c:minus>
              <c:numLit>
                <c:formatCode>General</c:formatCode>
                <c:ptCount val="1"/>
                <c:pt idx="0">
                  <c:v>1</c:v>
                </c:pt>
              </c:numLit>
            </c:minus>
          </c:errBars>
          <c:cat>
            <c:multiLvlStrRef>
              <c:f>BoxPlots!$C$3:$H$4</c:f>
              <c:multiLvlStrCache>
                <c:ptCount val="6"/>
                <c:lvl>
                  <c:pt idx="0">
                    <c:v>Total </c:v>
                  </c:pt>
                  <c:pt idx="1">
                    <c:v>Direct</c:v>
                  </c:pt>
                  <c:pt idx="2">
                    <c:v>Total Area</c:v>
                  </c:pt>
                  <c:pt idx="3">
                    <c:v>Direct</c:v>
                  </c:pt>
                  <c:pt idx="4">
                    <c:v>Total </c:v>
                  </c:pt>
                  <c:pt idx="5">
                    <c:v>Direct</c:v>
                  </c:pt>
                </c:lvl>
                <c:lvl>
                  <c:pt idx="0">
                    <c:v>Small</c:v>
                  </c:pt>
                  <c:pt idx="2">
                    <c:v>Large</c:v>
                  </c:pt>
                  <c:pt idx="4">
                    <c:v>CSP</c:v>
                  </c:pt>
                </c:lvl>
              </c:multiLvlStrCache>
            </c:multiLvlStrRef>
          </c:cat>
          <c:val>
            <c:numRef>
              <c:f>BoxPlots!$C$6:$H$6</c:f>
              <c:numCache>
                <c:formatCode>0.0</c:formatCode>
                <c:ptCount val="6"/>
                <c:pt idx="0">
                  <c:v>0.59750109477167301</c:v>
                </c:pt>
                <c:pt idx="1">
                  <c:v>0.44747037576478599</c:v>
                </c:pt>
                <c:pt idx="2" formatCode="0.00">
                  <c:v>0.71530409678160645</c:v>
                </c:pt>
                <c:pt idx="3" formatCode="0.00">
                  <c:v>0.2155292411099019</c:v>
                </c:pt>
                <c:pt idx="4" formatCode="General">
                  <c:v>1.9696778841078881</c:v>
                </c:pt>
                <c:pt idx="5" formatCode="General">
                  <c:v>0.60418254077206157</c:v>
                </c:pt>
              </c:numCache>
            </c:numRef>
          </c:val>
        </c:ser>
        <c:dLbls>
          <c:showLegendKey val="0"/>
          <c:showVal val="0"/>
          <c:showCatName val="0"/>
          <c:showSerName val="0"/>
          <c:showPercent val="0"/>
          <c:showBubbleSize val="0"/>
        </c:dLbls>
        <c:gapWidth val="150"/>
        <c:overlap val="100"/>
        <c:axId val="129670528"/>
        <c:axId val="129680512"/>
      </c:barChart>
      <c:catAx>
        <c:axId val="129670528"/>
        <c:scaling>
          <c:orientation val="minMax"/>
        </c:scaling>
        <c:delete val="0"/>
        <c:axPos val="l"/>
        <c:majorTickMark val="out"/>
        <c:minorTickMark val="none"/>
        <c:tickLblPos val="nextTo"/>
        <c:crossAx val="129680512"/>
        <c:crosses val="autoZero"/>
        <c:auto val="1"/>
        <c:lblAlgn val="ctr"/>
        <c:lblOffset val="100"/>
        <c:noMultiLvlLbl val="0"/>
      </c:catAx>
      <c:valAx>
        <c:axId val="129680512"/>
        <c:scaling>
          <c:orientation val="minMax"/>
        </c:scaling>
        <c:delete val="0"/>
        <c:axPos val="b"/>
        <c:majorGridlines/>
        <c:title>
          <c:tx>
            <c:rich>
              <a:bodyPr rot="0" vert="horz"/>
              <a:lstStyle/>
              <a:p>
                <a:pPr>
                  <a:defRPr/>
                </a:pPr>
                <a:r>
                  <a:rPr lang="en-US"/>
                  <a:t>Ha/MW</a:t>
                </a:r>
              </a:p>
            </c:rich>
          </c:tx>
          <c:overlay val="0"/>
        </c:title>
        <c:numFmt formatCode="0.0" sourceLinked="1"/>
        <c:majorTickMark val="out"/>
        <c:minorTickMark val="none"/>
        <c:tickLblPos val="nextTo"/>
        <c:crossAx val="12967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'BoxPlots (2)'!$A$11</c:f>
              <c:strCache>
                <c:ptCount val="1"/>
                <c:pt idx="0">
                  <c:v>Median</c:v>
                </c:pt>
              </c:strCache>
            </c:strRef>
          </c:tx>
          <c:spPr>
            <a:noFill/>
          </c:spPr>
          <c:invertIfNegative val="0"/>
          <c:errBars>
            <c:errBarType val="minus"/>
            <c:errValType val="cust"/>
            <c:noEndCap val="0"/>
            <c:plus>
              <c:numRef>
                <c:f>'BoxPlots (2)'!$H$7:$K$7</c:f>
                <c:numCache>
                  <c:formatCode>General</c:formatCode>
                  <c:ptCount val="4"/>
                  <c:pt idx="0">
                    <c:v>2.6606641504663626</c:v>
                  </c:pt>
                  <c:pt idx="1">
                    <c:v>1.8765068199385331</c:v>
                  </c:pt>
                  <c:pt idx="2">
                    <c:v>3.2966793129456882</c:v>
                  </c:pt>
                  <c:pt idx="3">
                    <c:v>1.6247601688093996</c:v>
                  </c:pt>
                </c:numCache>
              </c:numRef>
            </c:plus>
            <c:minus>
              <c:numLit>
                <c:formatCode>General</c:formatCode>
                <c:ptCount val="1"/>
                <c:pt idx="0">
                  <c:v>1</c:v>
                </c:pt>
              </c:numLit>
            </c:minus>
            <c:spPr>
              <a:ln w="19050"/>
            </c:spPr>
          </c:errBars>
          <c:cat>
            <c:multiLvlStrRef>
              <c:f>'BoxPlots (2)'!$C$1:$F$2</c:f>
              <c:multiLvlStrCache>
                <c:ptCount val="4"/>
                <c:lvl>
                  <c:pt idx="0">
                    <c:v>Total</c:v>
                  </c:pt>
                  <c:pt idx="1">
                    <c:v>Direct</c:v>
                  </c:pt>
                  <c:pt idx="2">
                    <c:v>Total </c:v>
                  </c:pt>
                  <c:pt idx="3">
                    <c:v>Direct</c:v>
                  </c:pt>
                </c:lvl>
                <c:lvl>
                  <c:pt idx="0">
                    <c:v>Fixed Axis (&lt; 20 MW)</c:v>
                  </c:pt>
                  <c:pt idx="2">
                    <c:v>1-Axis (&lt; 20 MW)</c:v>
                  </c:pt>
                </c:lvl>
              </c:multiLvlStrCache>
            </c:multiLvlStrRef>
          </c:cat>
          <c:val>
            <c:numRef>
              <c:f>'BoxPlots (2)'!$H$6:$K$6</c:f>
              <c:numCache>
                <c:formatCode>0.0</c:formatCode>
                <c:ptCount val="4"/>
                <c:pt idx="0">
                  <c:v>5.6606641504663626</c:v>
                </c:pt>
                <c:pt idx="1">
                  <c:v>4.1085068199385333</c:v>
                </c:pt>
                <c:pt idx="2">
                  <c:v>7.487599573127655</c:v>
                </c:pt>
                <c:pt idx="3">
                  <c:v>5.3832415231636732</c:v>
                </c:pt>
              </c:numCache>
            </c:numRef>
          </c:val>
        </c:ser>
        <c:ser>
          <c:idx val="1"/>
          <c:order val="1"/>
          <c:tx>
            <c:strRef>
              <c:f>'BoxPlots (2)'!$A$10</c:f>
              <c:strCache>
                <c:ptCount val="1"/>
                <c:pt idx="0">
                  <c:v>Cap. Weighted Avg.</c:v>
                </c:pt>
              </c:strCache>
            </c:strRef>
          </c:tx>
          <c:spPr>
            <a:solidFill>
              <a:schemeClr val="tx2">
                <a:lumMod val="20000"/>
                <a:lumOff val="80000"/>
              </a:schemeClr>
            </a:solidFill>
            <a:ln w="19050">
              <a:solidFill>
                <a:schemeClr val="tx1">
                  <a:shade val="95000"/>
                  <a:satMod val="105000"/>
                </a:schemeClr>
              </a:solidFill>
            </a:ln>
          </c:spPr>
          <c:invertIfNegative val="0"/>
          <c:cat>
            <c:multiLvlStrRef>
              <c:f>'BoxPlots (2)'!$C$1:$F$2</c:f>
              <c:multiLvlStrCache>
                <c:ptCount val="4"/>
                <c:lvl>
                  <c:pt idx="0">
                    <c:v>Total</c:v>
                  </c:pt>
                  <c:pt idx="1">
                    <c:v>Direct</c:v>
                  </c:pt>
                  <c:pt idx="2">
                    <c:v>Total </c:v>
                  </c:pt>
                  <c:pt idx="3">
                    <c:v>Direct</c:v>
                  </c:pt>
                </c:lvl>
                <c:lvl>
                  <c:pt idx="0">
                    <c:v>Fixed Axis (&lt; 20 MW)</c:v>
                  </c:pt>
                  <c:pt idx="2">
                    <c:v>1-Axis (&lt; 20 MW)</c:v>
                  </c:pt>
                </c:lvl>
              </c:multiLvlStrCache>
            </c:multiLvlStrRef>
          </c:cat>
          <c:val>
            <c:numRef>
              <c:f>'BoxPlots (2)'!$H$5:$K$5</c:f>
              <c:numCache>
                <c:formatCode>0.0</c:formatCode>
                <c:ptCount val="4"/>
                <c:pt idx="0">
                  <c:v>1.4883747211677507</c:v>
                </c:pt>
                <c:pt idx="1">
                  <c:v>1.0028330175889932</c:v>
                </c:pt>
                <c:pt idx="2">
                  <c:v>1.2579507602344862</c:v>
                </c:pt>
                <c:pt idx="3">
                  <c:v>1.1475122263326583</c:v>
                </c:pt>
              </c:numCache>
            </c:numRef>
          </c:val>
        </c:ser>
        <c:ser>
          <c:idx val="2"/>
          <c:order val="2"/>
          <c:tx>
            <c:strRef>
              <c:f>'BoxPlots (2)'!$A$9</c:f>
              <c:strCache>
                <c:ptCount val="1"/>
                <c:pt idx="0">
                  <c:v>Sample Size</c:v>
                </c:pt>
              </c:strCache>
            </c:strRef>
          </c:tx>
          <c:spPr>
            <a:solidFill>
              <a:schemeClr val="tx2">
                <a:lumMod val="20000"/>
                <a:lumOff val="80000"/>
              </a:schemeClr>
            </a:solidFill>
            <a:ln w="19050">
              <a:solidFill>
                <a:schemeClr val="tx1">
                  <a:shade val="95000"/>
                  <a:satMod val="105000"/>
                </a:schemeClr>
              </a:solidFill>
            </a:ln>
          </c:spPr>
          <c:invertIfNegative val="0"/>
          <c:errBars>
            <c:errBarType val="plus"/>
            <c:errValType val="cust"/>
            <c:noEndCap val="0"/>
            <c:plus>
              <c:numRef>
                <c:f>'BoxPlots (2)'!$H$3:$K$3</c:f>
                <c:numCache>
                  <c:formatCode>General</c:formatCode>
                  <c:ptCount val="4"/>
                  <c:pt idx="0">
                    <c:v>4.9020492556621154</c:v>
                  </c:pt>
                  <c:pt idx="1">
                    <c:v>1.9115640586523295</c:v>
                  </c:pt>
                  <c:pt idx="2">
                    <c:v>2.5680406212664266</c:v>
                  </c:pt>
                  <c:pt idx="3">
                    <c:v>3.0537661004128474</c:v>
                  </c:pt>
                </c:numCache>
              </c:numRef>
            </c:plus>
            <c:minus>
              <c:numLit>
                <c:formatCode>General</c:formatCode>
                <c:ptCount val="1"/>
                <c:pt idx="0">
                  <c:v>1</c:v>
                </c:pt>
              </c:numLit>
            </c:minus>
            <c:spPr>
              <a:ln w="19050"/>
            </c:spPr>
          </c:errBars>
          <c:cat>
            <c:multiLvlStrRef>
              <c:f>'BoxPlots (2)'!$C$1:$F$2</c:f>
              <c:multiLvlStrCache>
                <c:ptCount val="4"/>
                <c:lvl>
                  <c:pt idx="0">
                    <c:v>Total</c:v>
                  </c:pt>
                  <c:pt idx="1">
                    <c:v>Direct</c:v>
                  </c:pt>
                  <c:pt idx="2">
                    <c:v>Total </c:v>
                  </c:pt>
                  <c:pt idx="3">
                    <c:v>Direct</c:v>
                  </c:pt>
                </c:lvl>
                <c:lvl>
                  <c:pt idx="0">
                    <c:v>Fixed Axis (&lt; 20 MW)</c:v>
                  </c:pt>
                  <c:pt idx="2">
                    <c:v>1-Axis (&lt; 20 MW)</c:v>
                  </c:pt>
                </c:lvl>
              </c:multiLvlStrCache>
            </c:multiLvlStrRef>
          </c:cat>
          <c:val>
            <c:numRef>
              <c:f>'BoxPlots (2)'!$H$4:$K$4</c:f>
              <c:numCache>
                <c:formatCode>0.0</c:formatCode>
                <c:ptCount val="4"/>
                <c:pt idx="0">
                  <c:v>1.0969208884813817</c:v>
                </c:pt>
                <c:pt idx="1">
                  <c:v>0.98266138859474683</c:v>
                </c:pt>
                <c:pt idx="2">
                  <c:v>1.5896348518230443</c:v>
                </c:pt>
                <c:pt idx="3">
                  <c:v>0.98620895921221585</c:v>
                </c:pt>
              </c:numCache>
            </c:numRef>
          </c:val>
        </c:ser>
        <c:dLbls>
          <c:showLegendKey val="0"/>
          <c:showVal val="0"/>
          <c:showCatName val="0"/>
          <c:showSerName val="0"/>
          <c:showPercent val="0"/>
          <c:showBubbleSize val="0"/>
        </c:dLbls>
        <c:gapWidth val="150"/>
        <c:overlap val="100"/>
        <c:axId val="129520768"/>
        <c:axId val="129522304"/>
      </c:barChart>
      <c:scatterChart>
        <c:scatterStyle val="lineMarker"/>
        <c:varyColors val="0"/>
        <c:ser>
          <c:idx val="3"/>
          <c:order val="3"/>
          <c:tx>
            <c:strRef>
              <c:f>'BoxPlots (2)'!$C$13:$M$13</c:f>
              <c:strCache>
                <c:ptCount val="1"/>
                <c:pt idx="0">
                  <c:v>7.638789343 7.638789343 5.489120398 5.489120398 8.654995358 8.654995358 6.329634012 6.329634012</c:v>
                </c:pt>
              </c:strCache>
            </c:strRef>
          </c:tx>
          <c:spPr>
            <a:ln>
              <a:solidFill>
                <a:srgbClr val="FF0000"/>
              </a:solidFill>
            </a:ln>
          </c:spPr>
          <c:marker>
            <c:symbol val="none"/>
          </c:marker>
          <c:xVal>
            <c:numRef>
              <c:f>'BoxPlots (2)'!$C$14:$M$14</c:f>
              <c:numCache>
                <c:formatCode>General</c:formatCode>
                <c:ptCount val="11"/>
                <c:pt idx="0">
                  <c:v>0.81</c:v>
                </c:pt>
                <c:pt idx="1">
                  <c:v>1.19</c:v>
                </c:pt>
                <c:pt idx="3">
                  <c:v>1.81</c:v>
                </c:pt>
                <c:pt idx="4">
                  <c:v>2.19</c:v>
                </c:pt>
                <c:pt idx="6">
                  <c:v>2.81</c:v>
                </c:pt>
                <c:pt idx="7">
                  <c:v>3.19</c:v>
                </c:pt>
                <c:pt idx="9">
                  <c:v>3.81</c:v>
                </c:pt>
                <c:pt idx="10">
                  <c:v>4.1900000000000004</c:v>
                </c:pt>
              </c:numCache>
            </c:numRef>
          </c:xVal>
          <c:yVal>
            <c:numRef>
              <c:f>'BoxPlots (2)'!$C$13:$M$13</c:f>
              <c:numCache>
                <c:formatCode>General</c:formatCode>
                <c:ptCount val="11"/>
                <c:pt idx="0">
                  <c:v>7.6387893428383045</c:v>
                </c:pt>
                <c:pt idx="1">
                  <c:v>7.6387893428383045</c:v>
                </c:pt>
                <c:pt idx="3">
                  <c:v>5.4891203975884473</c:v>
                </c:pt>
                <c:pt idx="4">
                  <c:v>5.4891203975884473</c:v>
                </c:pt>
                <c:pt idx="6">
                  <c:v>8.6549953577241894</c:v>
                </c:pt>
                <c:pt idx="7">
                  <c:v>8.6549953577241894</c:v>
                </c:pt>
                <c:pt idx="9">
                  <c:v>6.3296340120722956</c:v>
                </c:pt>
                <c:pt idx="10">
                  <c:v>6.3296340120722956</c:v>
                </c:pt>
              </c:numCache>
            </c:numRef>
          </c:yVal>
          <c:smooth val="0"/>
        </c:ser>
        <c:dLbls>
          <c:showLegendKey val="0"/>
          <c:showVal val="0"/>
          <c:showCatName val="0"/>
          <c:showSerName val="0"/>
          <c:showPercent val="0"/>
          <c:showBubbleSize val="0"/>
        </c:dLbls>
        <c:axId val="129520768"/>
        <c:axId val="129522304"/>
      </c:scatterChart>
      <c:catAx>
        <c:axId val="129520768"/>
        <c:scaling>
          <c:orientation val="minMax"/>
        </c:scaling>
        <c:delete val="0"/>
        <c:axPos val="b"/>
        <c:majorTickMark val="out"/>
        <c:minorTickMark val="none"/>
        <c:tickLblPos val="nextTo"/>
        <c:spPr>
          <a:ln w="12700"/>
        </c:spPr>
        <c:crossAx val="129522304"/>
        <c:crosses val="autoZero"/>
        <c:auto val="1"/>
        <c:lblAlgn val="ctr"/>
        <c:lblOffset val="100"/>
        <c:noMultiLvlLbl val="0"/>
      </c:catAx>
      <c:valAx>
        <c:axId val="129522304"/>
        <c:scaling>
          <c:orientation val="minMax"/>
        </c:scaling>
        <c:delete val="0"/>
        <c:axPos val="l"/>
        <c:majorGridlines>
          <c:spPr>
            <a:ln w="12700"/>
          </c:spPr>
        </c:majorGridlines>
        <c:numFmt formatCode="0" sourceLinked="0"/>
        <c:majorTickMark val="out"/>
        <c:minorTickMark val="none"/>
        <c:tickLblPos val="nextTo"/>
        <c:spPr>
          <a:ln w="12700"/>
        </c:spPr>
        <c:crossAx val="129520768"/>
        <c:crosses val="autoZero"/>
        <c:crossBetween val="between"/>
      </c:valAx>
      <c:dTable>
        <c:showHorzBorder val="1"/>
        <c:showVertBorder val="1"/>
        <c:showOutline val="1"/>
        <c:showKeys val="1"/>
      </c:dTable>
    </c:plotArea>
    <c:plotVisOnly val="1"/>
    <c:dispBlanksAs val="gap"/>
    <c:showDLblsOverMax val="0"/>
  </c:chart>
  <c:spPr>
    <a:ln>
      <a:noFill/>
    </a:ln>
  </c:spPr>
  <c:txPr>
    <a:bodyPr/>
    <a:lstStyle/>
    <a:p>
      <a:pPr>
        <a:defRPr sz="1800"/>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c:spPr>
          <c:invertIfNegative val="0"/>
          <c:errBars>
            <c:errBarType val="minus"/>
            <c:errValType val="cust"/>
            <c:noEndCap val="0"/>
            <c:plus>
              <c:numRef>
                <c:f>'BoxPlots (2)'!$H$27:$K$27</c:f>
                <c:numCache>
                  <c:formatCode>General</c:formatCode>
                  <c:ptCount val="4"/>
                  <c:pt idx="0">
                    <c:v>3.1349595106043671</c:v>
                  </c:pt>
                  <c:pt idx="1">
                    <c:v>1.6695549242424246</c:v>
                  </c:pt>
                  <c:pt idx="2">
                    <c:v>1.1399999999999997</c:v>
                  </c:pt>
                  <c:pt idx="3">
                    <c:v>0.89470588235294102</c:v>
                  </c:pt>
                </c:numCache>
              </c:numRef>
            </c:plus>
            <c:minus>
              <c:numRef>
                <c:f>'BoxPlots (2)'!$H$27:$K$27</c:f>
                <c:numCache>
                  <c:formatCode>General</c:formatCode>
                  <c:ptCount val="4"/>
                  <c:pt idx="0">
                    <c:v>3.1349595106043671</c:v>
                  </c:pt>
                  <c:pt idx="1">
                    <c:v>1.6695549242424246</c:v>
                  </c:pt>
                  <c:pt idx="2">
                    <c:v>1.1399999999999997</c:v>
                  </c:pt>
                  <c:pt idx="3">
                    <c:v>0.89470588235294102</c:v>
                  </c:pt>
                </c:numCache>
              </c:numRef>
            </c:minus>
            <c:spPr>
              <a:ln w="19050"/>
            </c:spPr>
          </c:errBars>
          <c:cat>
            <c:multiLvlStrRef>
              <c:f>'BoxPlots (2)'!$C$21:$F$22</c:f>
              <c:multiLvlStrCache>
                <c:ptCount val="4"/>
                <c:lvl>
                  <c:pt idx="0">
                    <c:v>Total</c:v>
                  </c:pt>
                  <c:pt idx="1">
                    <c:v>Direct</c:v>
                  </c:pt>
                  <c:pt idx="2">
                    <c:v>Total </c:v>
                  </c:pt>
                  <c:pt idx="3">
                    <c:v>Direct</c:v>
                  </c:pt>
                </c:lvl>
                <c:lvl>
                  <c:pt idx="0">
                    <c:v>Fixed Axis (&gt; 20 MW)</c:v>
                  </c:pt>
                  <c:pt idx="2">
                    <c:v>1-Axis (&gt; 20 MW)</c:v>
                  </c:pt>
                </c:lvl>
              </c:multiLvlStrCache>
            </c:multiLvlStrRef>
          </c:cat>
          <c:val>
            <c:numRef>
              <c:f>'BoxPlots (2)'!$H$26:$K$26</c:f>
              <c:numCache>
                <c:formatCode>General</c:formatCode>
                <c:ptCount val="4"/>
                <c:pt idx="0">
                  <c:v>7.2457984919293539</c:v>
                </c:pt>
                <c:pt idx="1">
                  <c:v>5.9362215909090912</c:v>
                </c:pt>
                <c:pt idx="2">
                  <c:v>7.3</c:v>
                </c:pt>
                <c:pt idx="3">
                  <c:v>6.8147058823529409</c:v>
                </c:pt>
              </c:numCache>
            </c:numRef>
          </c:val>
        </c:ser>
        <c:ser>
          <c:idx val="1"/>
          <c:order val="1"/>
          <c:spPr>
            <a:solidFill>
              <a:schemeClr val="tx2">
                <a:lumMod val="20000"/>
                <a:lumOff val="80000"/>
              </a:schemeClr>
            </a:solidFill>
            <a:ln w="19050">
              <a:solidFill>
                <a:schemeClr val="tx1">
                  <a:shade val="95000"/>
                  <a:satMod val="105000"/>
                </a:schemeClr>
              </a:solidFill>
            </a:ln>
          </c:spPr>
          <c:invertIfNegative val="0"/>
          <c:cat>
            <c:multiLvlStrRef>
              <c:f>'BoxPlots (2)'!$C$21:$F$22</c:f>
              <c:multiLvlStrCache>
                <c:ptCount val="4"/>
                <c:lvl>
                  <c:pt idx="0">
                    <c:v>Total</c:v>
                  </c:pt>
                  <c:pt idx="1">
                    <c:v>Direct</c:v>
                  </c:pt>
                  <c:pt idx="2">
                    <c:v>Total </c:v>
                  </c:pt>
                  <c:pt idx="3">
                    <c:v>Direct</c:v>
                  </c:pt>
                </c:lvl>
                <c:lvl>
                  <c:pt idx="0">
                    <c:v>Fixed Axis (&gt; 20 MW)</c:v>
                  </c:pt>
                  <c:pt idx="2">
                    <c:v>1-Axis (&gt; 20 MW)</c:v>
                  </c:pt>
                </c:lvl>
              </c:multiLvlStrCache>
            </c:multiLvlStrRef>
          </c:cat>
          <c:val>
            <c:numRef>
              <c:f>'BoxPlots (2)'!$H$25:$K$25</c:f>
              <c:numCache>
                <c:formatCode>0.00</c:formatCode>
                <c:ptCount val="4"/>
                <c:pt idx="0">
                  <c:v>1.1795502209766253</c:v>
                </c:pt>
                <c:pt idx="1">
                  <c:v>1.1038598175252989</c:v>
                </c:pt>
                <c:pt idx="2">
                  <c:v>1.393645664401709</c:v>
                </c:pt>
                <c:pt idx="3">
                  <c:v>0.85258434147865714</c:v>
                </c:pt>
              </c:numCache>
            </c:numRef>
          </c:val>
        </c:ser>
        <c:ser>
          <c:idx val="2"/>
          <c:order val="2"/>
          <c:spPr>
            <a:solidFill>
              <a:schemeClr val="tx2">
                <a:lumMod val="20000"/>
                <a:lumOff val="80000"/>
              </a:schemeClr>
            </a:solidFill>
            <a:ln w="19050">
              <a:solidFill>
                <a:schemeClr val="tx1">
                  <a:shade val="95000"/>
                  <a:satMod val="105000"/>
                </a:schemeClr>
              </a:solidFill>
            </a:ln>
          </c:spPr>
          <c:invertIfNegative val="0"/>
          <c:errBars>
            <c:errBarType val="plus"/>
            <c:errValType val="cust"/>
            <c:noEndCap val="0"/>
            <c:plus>
              <c:numRef>
                <c:f>'BoxPlots (2)'!$H$23:$K$23</c:f>
                <c:numCache>
                  <c:formatCode>General</c:formatCode>
                  <c:ptCount val="4"/>
                  <c:pt idx="0">
                    <c:v>2.6762781639224436</c:v>
                  </c:pt>
                  <c:pt idx="1">
                    <c:v>4.7715982371720944</c:v>
                  </c:pt>
                  <c:pt idx="2">
                    <c:v>1.656830862135422</c:v>
                  </c:pt>
                  <c:pt idx="3">
                    <c:v>1.474119802115295</c:v>
                  </c:pt>
                </c:numCache>
              </c:numRef>
            </c:plus>
            <c:minus>
              <c:numLit>
                <c:formatCode>General</c:formatCode>
                <c:ptCount val="1"/>
                <c:pt idx="0">
                  <c:v>1</c:v>
                </c:pt>
              </c:numLit>
            </c:minus>
            <c:spPr>
              <a:ln w="19050"/>
            </c:spPr>
          </c:errBars>
          <c:cat>
            <c:multiLvlStrRef>
              <c:f>'BoxPlots (2)'!$C$21:$F$22</c:f>
              <c:multiLvlStrCache>
                <c:ptCount val="4"/>
                <c:lvl>
                  <c:pt idx="0">
                    <c:v>Total</c:v>
                  </c:pt>
                  <c:pt idx="1">
                    <c:v>Direct</c:v>
                  </c:pt>
                  <c:pt idx="2">
                    <c:v>Total </c:v>
                  </c:pt>
                  <c:pt idx="3">
                    <c:v>Direct</c:v>
                  </c:pt>
                </c:lvl>
                <c:lvl>
                  <c:pt idx="0">
                    <c:v>Fixed Axis (&gt; 20 MW)</c:v>
                  </c:pt>
                  <c:pt idx="2">
                    <c:v>1-Axis (&gt; 20 MW)</c:v>
                  </c:pt>
                </c:lvl>
              </c:multiLvlStrCache>
            </c:multiLvlStrRef>
          </c:cat>
          <c:val>
            <c:numRef>
              <c:f>'BoxPlots (2)'!$H$24:$K$24</c:f>
              <c:numCache>
                <c:formatCode>0.00</c:formatCode>
                <c:ptCount val="4"/>
                <c:pt idx="0">
                  <c:v>1.1366380270103384</c:v>
                </c:pt>
                <c:pt idx="1">
                  <c:v>0.42658525823227667</c:v>
                </c:pt>
                <c:pt idx="2">
                  <c:v>1.1879850119244075</c:v>
                </c:pt>
                <c:pt idx="3">
                  <c:v>0.81520977616840185</c:v>
                </c:pt>
              </c:numCache>
            </c:numRef>
          </c:val>
        </c:ser>
        <c:dLbls>
          <c:showLegendKey val="0"/>
          <c:showVal val="0"/>
          <c:showCatName val="0"/>
          <c:showSerName val="0"/>
          <c:showPercent val="0"/>
          <c:showBubbleSize val="0"/>
        </c:dLbls>
        <c:gapWidth val="150"/>
        <c:overlap val="100"/>
        <c:axId val="129555456"/>
        <c:axId val="130163456"/>
      </c:barChart>
      <c:scatterChart>
        <c:scatterStyle val="smoothMarker"/>
        <c:varyColors val="0"/>
        <c:ser>
          <c:idx val="3"/>
          <c:order val="3"/>
          <c:tx>
            <c:v>WtAvg</c:v>
          </c:tx>
          <c:spPr>
            <a:ln>
              <a:solidFill>
                <a:srgbClr val="FF0000"/>
              </a:solidFill>
            </a:ln>
          </c:spPr>
          <c:marker>
            <c:symbol val="none"/>
          </c:marker>
          <c:xVal>
            <c:numRef>
              <c:f>'BoxPlots (2)'!$C$34:$M$34</c:f>
              <c:numCache>
                <c:formatCode>General</c:formatCode>
                <c:ptCount val="11"/>
                <c:pt idx="0">
                  <c:v>0.81</c:v>
                </c:pt>
                <c:pt idx="1">
                  <c:v>1.19</c:v>
                </c:pt>
                <c:pt idx="3">
                  <c:v>1.81</c:v>
                </c:pt>
                <c:pt idx="4">
                  <c:v>2.19</c:v>
                </c:pt>
                <c:pt idx="6">
                  <c:v>2.81</c:v>
                </c:pt>
                <c:pt idx="7">
                  <c:v>3.19</c:v>
                </c:pt>
                <c:pt idx="9">
                  <c:v>3.81</c:v>
                </c:pt>
                <c:pt idx="10">
                  <c:v>4.1900000000000004</c:v>
                </c:pt>
              </c:numCache>
            </c:numRef>
          </c:xVal>
          <c:yVal>
            <c:numRef>
              <c:f>'BoxPlots (2)'!$C$33:$M$33</c:f>
              <c:numCache>
                <c:formatCode>General</c:formatCode>
                <c:ptCount val="11"/>
                <c:pt idx="0">
                  <c:v>7.6283903552073067</c:v>
                </c:pt>
                <c:pt idx="1">
                  <c:v>7.6283903552073067</c:v>
                </c:pt>
                <c:pt idx="3">
                  <c:v>6.0710458633530857</c:v>
                </c:pt>
                <c:pt idx="4">
                  <c:v>6.0710458633530857</c:v>
                </c:pt>
                <c:pt idx="6">
                  <c:v>8.3193810602977738</c:v>
                </c:pt>
                <c:pt idx="7">
                  <c:v>8.3193810602977738</c:v>
                </c:pt>
                <c:pt idx="9">
                  <c:v>8.9562942807542516</c:v>
                </c:pt>
                <c:pt idx="10">
                  <c:v>8.9562942807542516</c:v>
                </c:pt>
              </c:numCache>
            </c:numRef>
          </c:yVal>
          <c:smooth val="1"/>
        </c:ser>
        <c:dLbls>
          <c:showLegendKey val="0"/>
          <c:showVal val="0"/>
          <c:showCatName val="0"/>
          <c:showSerName val="0"/>
          <c:showPercent val="0"/>
          <c:showBubbleSize val="0"/>
        </c:dLbls>
        <c:axId val="129555456"/>
        <c:axId val="130163456"/>
      </c:scatterChart>
      <c:catAx>
        <c:axId val="129555456"/>
        <c:scaling>
          <c:orientation val="minMax"/>
        </c:scaling>
        <c:delete val="0"/>
        <c:axPos val="b"/>
        <c:majorTickMark val="out"/>
        <c:minorTickMark val="none"/>
        <c:tickLblPos val="nextTo"/>
        <c:spPr>
          <a:ln w="12700"/>
        </c:spPr>
        <c:crossAx val="130163456"/>
        <c:crosses val="autoZero"/>
        <c:auto val="1"/>
        <c:lblAlgn val="ctr"/>
        <c:lblOffset val="100"/>
        <c:noMultiLvlLbl val="0"/>
      </c:catAx>
      <c:valAx>
        <c:axId val="130163456"/>
        <c:scaling>
          <c:orientation val="minMax"/>
        </c:scaling>
        <c:delete val="0"/>
        <c:axPos val="l"/>
        <c:majorGridlines>
          <c:spPr>
            <a:ln w="12700"/>
          </c:spPr>
        </c:majorGridlines>
        <c:numFmt formatCode="General" sourceLinked="1"/>
        <c:majorTickMark val="out"/>
        <c:minorTickMark val="none"/>
        <c:tickLblPos val="nextTo"/>
        <c:spPr>
          <a:ln w="12700"/>
        </c:spPr>
        <c:crossAx val="129555456"/>
        <c:crosses val="autoZero"/>
        <c:crossBetween val="between"/>
      </c:valAx>
      <c:dTable>
        <c:showHorzBorder val="1"/>
        <c:showVertBorder val="1"/>
        <c:showOutline val="1"/>
        <c:showKeys val="1"/>
      </c:dTable>
    </c:plotArea>
    <c:plotVisOnly val="1"/>
    <c:dispBlanksAs val="gap"/>
    <c:showDLblsOverMax val="0"/>
  </c:chart>
  <c:spPr>
    <a:ln>
      <a:noFill/>
    </a:ln>
  </c:spPr>
  <c:txPr>
    <a:bodyPr/>
    <a:lstStyle/>
    <a:p>
      <a:pPr>
        <a:defRPr sz="18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'BoxPlots (2)'!$A$11</c:f>
              <c:strCache>
                <c:ptCount val="1"/>
                <c:pt idx="0">
                  <c:v>Median</c:v>
                </c:pt>
              </c:strCache>
            </c:strRef>
          </c:tx>
          <c:spPr>
            <a:noFill/>
          </c:spPr>
          <c:invertIfNegative val="0"/>
          <c:errBars>
            <c:errBarType val="minus"/>
            <c:errValType val="cust"/>
            <c:noEndCap val="0"/>
            <c:plus>
              <c:numRef>
                <c:f>'BoxPlots (2)'!$H$7:$K$7</c:f>
                <c:numCache>
                  <c:formatCode>General</c:formatCode>
                  <c:ptCount val="4"/>
                  <c:pt idx="0">
                    <c:v>2.6606641504663626</c:v>
                  </c:pt>
                  <c:pt idx="1">
                    <c:v>1.8765068199385331</c:v>
                  </c:pt>
                  <c:pt idx="2">
                    <c:v>3.2966793129456882</c:v>
                  </c:pt>
                  <c:pt idx="3">
                    <c:v>1.6247601688093996</c:v>
                  </c:pt>
                </c:numCache>
              </c:numRef>
            </c:plus>
            <c:minus>
              <c:numLit>
                <c:formatCode>General</c:formatCode>
                <c:ptCount val="1"/>
                <c:pt idx="0">
                  <c:v>1</c:v>
                </c:pt>
              </c:numLit>
            </c:minus>
            <c:spPr>
              <a:ln w="19050"/>
            </c:spPr>
          </c:errBars>
          <c:cat>
            <c:multiLvlStrRef>
              <c:f>'BoxPlots (2)'!$C$1:$F$2</c:f>
              <c:multiLvlStrCache>
                <c:ptCount val="4"/>
                <c:lvl>
                  <c:pt idx="0">
                    <c:v>Total</c:v>
                  </c:pt>
                  <c:pt idx="1">
                    <c:v>Direct</c:v>
                  </c:pt>
                  <c:pt idx="2">
                    <c:v>Total </c:v>
                  </c:pt>
                  <c:pt idx="3">
                    <c:v>Direct</c:v>
                  </c:pt>
                </c:lvl>
                <c:lvl>
                  <c:pt idx="0">
                    <c:v>Fixed Axis (&lt; 20 MW)</c:v>
                  </c:pt>
                  <c:pt idx="2">
                    <c:v>1-Axis (&lt; 20 MW)</c:v>
                  </c:pt>
                </c:lvl>
              </c:multiLvlStrCache>
            </c:multiLvlStrRef>
          </c:cat>
          <c:val>
            <c:numRef>
              <c:f>'BoxPlots (2)'!$C$11:$F$11</c:f>
              <c:numCache>
                <c:formatCode>0.0</c:formatCode>
                <c:ptCount val="4"/>
                <c:pt idx="0">
                  <c:v>7.1490388716341133</c:v>
                </c:pt>
                <c:pt idx="1">
                  <c:v>5.1113398375275265</c:v>
                </c:pt>
                <c:pt idx="2">
                  <c:v>8.7455503333621412</c:v>
                </c:pt>
                <c:pt idx="3">
                  <c:v>6.5307537494963315</c:v>
                </c:pt>
              </c:numCache>
            </c:numRef>
          </c:val>
        </c:ser>
        <c:ser>
          <c:idx val="1"/>
          <c:order val="1"/>
          <c:tx>
            <c:strRef>
              <c:f>'BoxPlots (2)'!$A$10</c:f>
              <c:strCache>
                <c:ptCount val="1"/>
                <c:pt idx="0">
                  <c:v>Cap. Weighted Avg.</c:v>
                </c:pt>
              </c:strCache>
            </c:strRef>
          </c:tx>
          <c:spPr>
            <a:solidFill>
              <a:schemeClr val="tx2">
                <a:lumMod val="20000"/>
                <a:lumOff val="80000"/>
              </a:schemeClr>
            </a:solidFill>
            <a:ln w="19050">
              <a:solidFill>
                <a:schemeClr val="tx1">
                  <a:shade val="95000"/>
                  <a:satMod val="105000"/>
                </a:schemeClr>
              </a:solidFill>
            </a:ln>
          </c:spPr>
          <c:invertIfNegative val="0"/>
          <c:cat>
            <c:multiLvlStrRef>
              <c:f>'BoxPlots (2)'!$C$1:$F$2</c:f>
              <c:multiLvlStrCache>
                <c:ptCount val="4"/>
                <c:lvl>
                  <c:pt idx="0">
                    <c:v>Total</c:v>
                  </c:pt>
                  <c:pt idx="1">
                    <c:v>Direct</c:v>
                  </c:pt>
                  <c:pt idx="2">
                    <c:v>Total </c:v>
                  </c:pt>
                  <c:pt idx="3">
                    <c:v>Direct</c:v>
                  </c:pt>
                </c:lvl>
                <c:lvl>
                  <c:pt idx="0">
                    <c:v>Fixed Axis (&lt; 20 MW)</c:v>
                  </c:pt>
                  <c:pt idx="2">
                    <c:v>1-Axis (&lt; 20 MW)</c:v>
                  </c:pt>
                </c:lvl>
              </c:multiLvlStrCache>
            </c:multiLvlStrRef>
          </c:cat>
          <c:val>
            <c:numRef>
              <c:f>'BoxPlots (2)'!$C$10:$F$10</c:f>
              <c:numCache>
                <c:formatCode>0.0</c:formatCode>
                <c:ptCount val="4"/>
                <c:pt idx="0">
                  <c:v>7.6387893428383045</c:v>
                </c:pt>
                <c:pt idx="1">
                  <c:v>5.4891203975884473</c:v>
                </c:pt>
                <c:pt idx="2">
                  <c:v>8.6549953577241894</c:v>
                </c:pt>
                <c:pt idx="3">
                  <c:v>6.3296340120722956</c:v>
                </c:pt>
              </c:numCache>
            </c:numRef>
          </c:val>
        </c:ser>
        <c:ser>
          <c:idx val="2"/>
          <c:order val="2"/>
          <c:tx>
            <c:strRef>
              <c:f>'BoxPlots (2)'!$A$9</c:f>
              <c:strCache>
                <c:ptCount val="1"/>
                <c:pt idx="0">
                  <c:v>Sample Size</c:v>
                </c:pt>
              </c:strCache>
            </c:strRef>
          </c:tx>
          <c:spPr>
            <a:solidFill>
              <a:schemeClr val="tx2">
                <a:lumMod val="20000"/>
                <a:lumOff val="80000"/>
              </a:schemeClr>
            </a:solidFill>
            <a:ln w="19050">
              <a:solidFill>
                <a:schemeClr val="tx1">
                  <a:shade val="95000"/>
                  <a:satMod val="105000"/>
                </a:schemeClr>
              </a:solidFill>
            </a:ln>
          </c:spPr>
          <c:invertIfNegative val="0"/>
          <c:errBars>
            <c:errBarType val="plus"/>
            <c:errValType val="cust"/>
            <c:noEndCap val="0"/>
            <c:plus>
              <c:numRef>
                <c:f>'BoxPlots (2)'!$H$3:$K$3</c:f>
                <c:numCache>
                  <c:formatCode>General</c:formatCode>
                  <c:ptCount val="4"/>
                  <c:pt idx="0">
                    <c:v>4.9020492556621154</c:v>
                  </c:pt>
                  <c:pt idx="1">
                    <c:v>1.9115640586523295</c:v>
                  </c:pt>
                  <c:pt idx="2">
                    <c:v>2.5680406212664266</c:v>
                  </c:pt>
                  <c:pt idx="3">
                    <c:v>3.0537661004128474</c:v>
                  </c:pt>
                </c:numCache>
              </c:numRef>
            </c:plus>
            <c:minus>
              <c:numLit>
                <c:formatCode>General</c:formatCode>
                <c:ptCount val="1"/>
                <c:pt idx="0">
                  <c:v>1</c:v>
                </c:pt>
              </c:numLit>
            </c:minus>
            <c:spPr>
              <a:ln w="19050"/>
            </c:spPr>
          </c:errBars>
          <c:cat>
            <c:multiLvlStrRef>
              <c:f>'BoxPlots (2)'!$C$1:$F$2</c:f>
              <c:multiLvlStrCache>
                <c:ptCount val="4"/>
                <c:lvl>
                  <c:pt idx="0">
                    <c:v>Total</c:v>
                  </c:pt>
                  <c:pt idx="1">
                    <c:v>Direct</c:v>
                  </c:pt>
                  <c:pt idx="2">
                    <c:v>Total </c:v>
                  </c:pt>
                  <c:pt idx="3">
                    <c:v>Direct</c:v>
                  </c:pt>
                </c:lvl>
                <c:lvl>
                  <c:pt idx="0">
                    <c:v>Fixed Axis (&lt; 20 MW)</c:v>
                  </c:pt>
                  <c:pt idx="2">
                    <c:v>1-Axis (&lt; 20 MW)</c:v>
                  </c:pt>
                </c:lvl>
              </c:multiLvlStrCache>
            </c:multiLvlStrRef>
          </c:cat>
          <c:val>
            <c:numRef>
              <c:f>'BoxPlots (2)'!$C$9:$F$9</c:f>
              <c:numCache>
                <c:formatCode>0</c:formatCode>
                <c:ptCount val="4"/>
                <c:pt idx="0">
                  <c:v>52</c:v>
                </c:pt>
                <c:pt idx="1">
                  <c:v>43</c:v>
                </c:pt>
                <c:pt idx="2">
                  <c:v>55</c:v>
                </c:pt>
                <c:pt idx="3">
                  <c:v>41</c:v>
                </c:pt>
              </c:numCache>
            </c:numRef>
          </c:val>
        </c:ser>
        <c:dLbls>
          <c:showLegendKey val="0"/>
          <c:showVal val="0"/>
          <c:showCatName val="0"/>
          <c:showSerName val="0"/>
          <c:showPercent val="0"/>
          <c:showBubbleSize val="0"/>
        </c:dLbls>
        <c:gapWidth val="150"/>
        <c:overlap val="100"/>
        <c:axId val="130199552"/>
        <c:axId val="130201088"/>
      </c:barChart>
      <c:catAx>
        <c:axId val="130199552"/>
        <c:scaling>
          <c:orientation val="minMax"/>
        </c:scaling>
        <c:delete val="0"/>
        <c:axPos val="b"/>
        <c:majorTickMark val="out"/>
        <c:minorTickMark val="none"/>
        <c:tickLblPos val="nextTo"/>
        <c:crossAx val="130201088"/>
        <c:crosses val="autoZero"/>
        <c:auto val="1"/>
        <c:lblAlgn val="ctr"/>
        <c:lblOffset val="100"/>
        <c:noMultiLvlLbl val="0"/>
      </c:catAx>
      <c:valAx>
        <c:axId val="130201088"/>
        <c:scaling>
          <c:orientation val="minMax"/>
        </c:scaling>
        <c:delete val="0"/>
        <c:axPos val="l"/>
        <c:majorGridlines/>
        <c:title>
          <c:tx>
            <c:rich>
              <a:bodyPr rot="-5400000" vert="horz"/>
              <a:lstStyle/>
              <a:p>
                <a:pPr>
                  <a:defRPr/>
                </a:pPr>
                <a:r>
                  <a:rPr lang="en-US"/>
                  <a:t>Land Use (Acres/MW)</a:t>
                </a:r>
              </a:p>
            </c:rich>
          </c:tx>
          <c:overlay val="0"/>
        </c:title>
        <c:numFmt formatCode="0" sourceLinked="0"/>
        <c:majorTickMark val="out"/>
        <c:minorTickMark val="none"/>
        <c:tickLblPos val="nextTo"/>
        <c:crossAx val="130199552"/>
        <c:crosses val="autoZero"/>
        <c:crossBetween val="between"/>
      </c:valAx>
      <c:dTable>
        <c:showHorzBorder val="1"/>
        <c:showVertBorder val="1"/>
        <c:showOutline val="1"/>
        <c:showKeys val="0"/>
      </c:dTable>
    </c:plotArea>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'BoxPlots (2)'!$A$31</c:f>
              <c:strCache>
                <c:ptCount val="1"/>
                <c:pt idx="0">
                  <c:v>Median</c:v>
                </c:pt>
              </c:strCache>
            </c:strRef>
          </c:tx>
          <c:spPr>
            <a:noFill/>
          </c:spPr>
          <c:invertIfNegative val="0"/>
          <c:errBars>
            <c:errBarType val="minus"/>
            <c:errValType val="cust"/>
            <c:noEndCap val="0"/>
            <c:plus>
              <c:numRef>
                <c:f>'BoxPlots (2)'!$H$27:$K$27</c:f>
                <c:numCache>
                  <c:formatCode>General</c:formatCode>
                  <c:ptCount val="4"/>
                  <c:pt idx="0">
                    <c:v>3.1349595106043671</c:v>
                  </c:pt>
                  <c:pt idx="1">
                    <c:v>1.6695549242424246</c:v>
                  </c:pt>
                  <c:pt idx="2">
                    <c:v>1.1399999999999997</c:v>
                  </c:pt>
                  <c:pt idx="3">
                    <c:v>0.89470588235294102</c:v>
                  </c:pt>
                </c:numCache>
              </c:numRef>
            </c:plus>
            <c:minus>
              <c:numRef>
                <c:f>'BoxPlots (2)'!$H$27:$K$27</c:f>
                <c:numCache>
                  <c:formatCode>General</c:formatCode>
                  <c:ptCount val="4"/>
                  <c:pt idx="0">
                    <c:v>3.1349595106043671</c:v>
                  </c:pt>
                  <c:pt idx="1">
                    <c:v>1.6695549242424246</c:v>
                  </c:pt>
                  <c:pt idx="2">
                    <c:v>1.1399999999999997</c:v>
                  </c:pt>
                  <c:pt idx="3">
                    <c:v>0.89470588235294102</c:v>
                  </c:pt>
                </c:numCache>
              </c:numRef>
            </c:minus>
            <c:spPr>
              <a:ln w="19050"/>
            </c:spPr>
          </c:errBars>
          <c:cat>
            <c:multiLvlStrRef>
              <c:f>'BoxPlots (2)'!$C$21:$F$22</c:f>
              <c:multiLvlStrCache>
                <c:ptCount val="4"/>
                <c:lvl>
                  <c:pt idx="0">
                    <c:v>Total</c:v>
                  </c:pt>
                  <c:pt idx="1">
                    <c:v>Direct</c:v>
                  </c:pt>
                  <c:pt idx="2">
                    <c:v>Total </c:v>
                  </c:pt>
                  <c:pt idx="3">
                    <c:v>Direct</c:v>
                  </c:pt>
                </c:lvl>
                <c:lvl>
                  <c:pt idx="0">
                    <c:v>Fixed Axis (&gt; 20 MW)</c:v>
                  </c:pt>
                  <c:pt idx="2">
                    <c:v>1-Axis (&gt; 20 MW)</c:v>
                  </c:pt>
                </c:lvl>
              </c:multiLvlStrCache>
            </c:multiLvlStrRef>
          </c:cat>
          <c:val>
            <c:numRef>
              <c:f>'BoxPlots (2)'!$C$31:$F$31</c:f>
              <c:numCache>
                <c:formatCode>0.0</c:formatCode>
                <c:ptCount val="4"/>
                <c:pt idx="0">
                  <c:v>8.4253487129059792</c:v>
                </c:pt>
                <c:pt idx="1">
                  <c:v>7.0400814084343901</c:v>
                </c:pt>
                <c:pt idx="2">
                  <c:v>8.6936456644017088</c:v>
                </c:pt>
                <c:pt idx="3">
                  <c:v>7.6672902238315981</c:v>
                </c:pt>
              </c:numCache>
            </c:numRef>
          </c:val>
        </c:ser>
        <c:ser>
          <c:idx val="1"/>
          <c:order val="1"/>
          <c:tx>
            <c:strRef>
              <c:f>'BoxPlots (2)'!$A$30</c:f>
              <c:strCache>
                <c:ptCount val="1"/>
                <c:pt idx="0">
                  <c:v>Cap. Weighted Avg.</c:v>
                </c:pt>
              </c:strCache>
            </c:strRef>
          </c:tx>
          <c:spPr>
            <a:solidFill>
              <a:schemeClr val="tx2">
                <a:lumMod val="20000"/>
                <a:lumOff val="80000"/>
              </a:schemeClr>
            </a:solidFill>
            <a:ln w="19050">
              <a:solidFill>
                <a:schemeClr val="tx1">
                  <a:shade val="95000"/>
                  <a:satMod val="105000"/>
                </a:schemeClr>
              </a:solidFill>
            </a:ln>
          </c:spPr>
          <c:invertIfNegative val="0"/>
          <c:cat>
            <c:multiLvlStrRef>
              <c:f>'BoxPlots (2)'!$C$21:$F$22</c:f>
              <c:multiLvlStrCache>
                <c:ptCount val="4"/>
                <c:lvl>
                  <c:pt idx="0">
                    <c:v>Total</c:v>
                  </c:pt>
                  <c:pt idx="1">
                    <c:v>Direct</c:v>
                  </c:pt>
                  <c:pt idx="2">
                    <c:v>Total </c:v>
                  </c:pt>
                  <c:pt idx="3">
                    <c:v>Direct</c:v>
                  </c:pt>
                </c:lvl>
                <c:lvl>
                  <c:pt idx="0">
                    <c:v>Fixed Axis (&gt; 20 MW)</c:v>
                  </c:pt>
                  <c:pt idx="2">
                    <c:v>1-Axis (&gt; 20 MW)</c:v>
                  </c:pt>
                </c:lvl>
              </c:multiLvlStrCache>
            </c:multiLvlStrRef>
          </c:cat>
          <c:val>
            <c:numRef>
              <c:f>'BoxPlots (2)'!$C$30:$F$30</c:f>
              <c:numCache>
                <c:formatCode>0.0</c:formatCode>
                <c:ptCount val="4"/>
                <c:pt idx="0">
                  <c:v>7.6283903552073067</c:v>
                </c:pt>
                <c:pt idx="1">
                  <c:v>6.0710458633530857</c:v>
                </c:pt>
                <c:pt idx="2">
                  <c:v>8.3193810602977738</c:v>
                </c:pt>
                <c:pt idx="3">
                  <c:v>8.9562942807542516</c:v>
                </c:pt>
              </c:numCache>
            </c:numRef>
          </c:val>
        </c:ser>
        <c:ser>
          <c:idx val="2"/>
          <c:order val="2"/>
          <c:tx>
            <c:strRef>
              <c:f>'BoxPlots (2)'!$A$29</c:f>
              <c:strCache>
                <c:ptCount val="1"/>
                <c:pt idx="0">
                  <c:v>Sample Size</c:v>
                </c:pt>
              </c:strCache>
            </c:strRef>
          </c:tx>
          <c:spPr>
            <a:solidFill>
              <a:schemeClr val="tx2">
                <a:lumMod val="20000"/>
                <a:lumOff val="80000"/>
              </a:schemeClr>
            </a:solidFill>
            <a:ln w="19050">
              <a:solidFill>
                <a:schemeClr val="tx1">
                  <a:shade val="95000"/>
                  <a:satMod val="105000"/>
                </a:schemeClr>
              </a:solidFill>
            </a:ln>
          </c:spPr>
          <c:invertIfNegative val="0"/>
          <c:errBars>
            <c:errBarType val="plus"/>
            <c:errValType val="cust"/>
            <c:noEndCap val="0"/>
            <c:plus>
              <c:numRef>
                <c:f>'BoxPlots (2)'!$H$23:$K$23</c:f>
                <c:numCache>
                  <c:formatCode>General</c:formatCode>
                  <c:ptCount val="4"/>
                  <c:pt idx="0">
                    <c:v>2.6762781639224436</c:v>
                  </c:pt>
                  <c:pt idx="1">
                    <c:v>4.7715982371720944</c:v>
                  </c:pt>
                  <c:pt idx="2">
                    <c:v>1.656830862135422</c:v>
                  </c:pt>
                  <c:pt idx="3">
                    <c:v>1.474119802115295</c:v>
                  </c:pt>
                </c:numCache>
              </c:numRef>
            </c:plus>
            <c:minus>
              <c:numLit>
                <c:formatCode>General</c:formatCode>
                <c:ptCount val="1"/>
                <c:pt idx="0">
                  <c:v>1</c:v>
                </c:pt>
              </c:numLit>
            </c:minus>
            <c:spPr>
              <a:ln w="19050"/>
            </c:spPr>
          </c:errBars>
          <c:cat>
            <c:multiLvlStrRef>
              <c:f>'BoxPlots (2)'!$C$21:$F$22</c:f>
              <c:multiLvlStrCache>
                <c:ptCount val="4"/>
                <c:lvl>
                  <c:pt idx="0">
                    <c:v>Total</c:v>
                  </c:pt>
                  <c:pt idx="1">
                    <c:v>Direct</c:v>
                  </c:pt>
                  <c:pt idx="2">
                    <c:v>Total </c:v>
                  </c:pt>
                  <c:pt idx="3">
                    <c:v>Direct</c:v>
                  </c:pt>
                </c:lvl>
                <c:lvl>
                  <c:pt idx="0">
                    <c:v>Fixed Axis (&gt; 20 MW)</c:v>
                  </c:pt>
                  <c:pt idx="2">
                    <c:v>1-Axis (&gt; 20 MW)</c:v>
                  </c:pt>
                </c:lvl>
              </c:multiLvlStrCache>
            </c:multiLvlStrRef>
          </c:cat>
          <c:val>
            <c:numRef>
              <c:f>'BoxPlots (2)'!$C$29:$F$29</c:f>
              <c:numCache>
                <c:formatCode>0</c:formatCode>
                <c:ptCount val="4"/>
                <c:pt idx="0">
                  <c:v>15</c:v>
                </c:pt>
                <c:pt idx="1">
                  <c:v>8</c:v>
                </c:pt>
                <c:pt idx="2">
                  <c:v>16</c:v>
                </c:pt>
                <c:pt idx="3">
                  <c:v>7</c:v>
                </c:pt>
              </c:numCache>
            </c:numRef>
          </c:val>
        </c:ser>
        <c:dLbls>
          <c:showLegendKey val="0"/>
          <c:showVal val="0"/>
          <c:showCatName val="0"/>
          <c:showSerName val="0"/>
          <c:showPercent val="0"/>
          <c:showBubbleSize val="0"/>
        </c:dLbls>
        <c:gapWidth val="150"/>
        <c:overlap val="100"/>
        <c:axId val="131552384"/>
        <c:axId val="131553920"/>
      </c:barChart>
      <c:catAx>
        <c:axId val="131552384"/>
        <c:scaling>
          <c:orientation val="minMax"/>
        </c:scaling>
        <c:delete val="0"/>
        <c:axPos val="b"/>
        <c:majorTickMark val="out"/>
        <c:minorTickMark val="none"/>
        <c:tickLblPos val="nextTo"/>
        <c:crossAx val="131553920"/>
        <c:crosses val="autoZero"/>
        <c:auto val="1"/>
        <c:lblAlgn val="ctr"/>
        <c:lblOffset val="100"/>
        <c:noMultiLvlLbl val="0"/>
      </c:catAx>
      <c:valAx>
        <c:axId val="131553920"/>
        <c:scaling>
          <c:orientation val="minMax"/>
        </c:scaling>
        <c:delete val="0"/>
        <c:axPos val="l"/>
        <c:majorGridlines/>
        <c:title>
          <c:tx>
            <c:rich>
              <a:bodyPr rot="-5400000" vert="horz"/>
              <a:lstStyle/>
              <a:p>
                <a:pPr>
                  <a:defRPr/>
                </a:pPr>
                <a:r>
                  <a:rPr lang="en-US"/>
                  <a:t>Land Use (Acres/MW)</a:t>
                </a:r>
              </a:p>
            </c:rich>
          </c:tx>
          <c:overlay val="0"/>
        </c:title>
        <c:numFmt formatCode="0" sourceLinked="0"/>
        <c:majorTickMark val="out"/>
        <c:minorTickMark val="none"/>
        <c:tickLblPos val="nextTo"/>
        <c:crossAx val="131552384"/>
        <c:crosses val="autoZero"/>
        <c:crossBetween val="between"/>
      </c:valAx>
      <c:dTable>
        <c:showHorzBorder val="1"/>
        <c:showVertBorder val="1"/>
        <c:showOutline val="1"/>
        <c:showKeys val="0"/>
      </c:dTable>
    </c:plotArea>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Packing Factor vs Ha/MW</a:t>
            </a:r>
          </a:p>
        </c:rich>
      </c:tx>
      <c:overlay val="0"/>
    </c:title>
    <c:autoTitleDeleted val="0"/>
    <c:plotArea>
      <c:layout/>
      <c:scatterChart>
        <c:scatterStyle val="lineMarker"/>
        <c:varyColors val="0"/>
        <c:ser>
          <c:idx val="0"/>
          <c:order val="0"/>
          <c:spPr>
            <a:ln w="28575">
              <a:noFill/>
            </a:ln>
          </c:spPr>
          <c:xVal>
            <c:numRef>
              <c:f>Data!$M$39:$M$52</c:f>
              <c:numCache>
                <c:formatCode>0.00</c:formatCode>
                <c:ptCount val="14"/>
                <c:pt idx="0">
                  <c:v>5.358772243512929</c:v>
                </c:pt>
                <c:pt idx="1">
                  <c:v>7.1909719789941446</c:v>
                </c:pt>
                <c:pt idx="2">
                  <c:v>4.8155542352664131</c:v>
                </c:pt>
                <c:pt idx="3">
                  <c:v>7.0471525394142631</c:v>
                </c:pt>
                <c:pt idx="4">
                  <c:v>10.976873114352433</c:v>
                </c:pt>
                <c:pt idx="5">
                  <c:v>9.3211642616234034</c:v>
                </c:pt>
                <c:pt idx="6">
                  <c:v>7.8563829787234036</c:v>
                </c:pt>
                <c:pt idx="7">
                  <c:v>8</c:v>
                </c:pt>
                <c:pt idx="8">
                  <c:v>10.3</c:v>
                </c:pt>
                <c:pt idx="9">
                  <c:v>10.057619734529306</c:v>
                </c:pt>
                <c:pt idx="10">
                  <c:v>7.3407838952231907</c:v>
                </c:pt>
                <c:pt idx="11">
                  <c:v>10.37037037037037</c:v>
                </c:pt>
                <c:pt idx="12">
                  <c:v>7.1428571428571432</c:v>
                </c:pt>
                <c:pt idx="13">
                  <c:v>8.9816650012142549</c:v>
                </c:pt>
              </c:numCache>
            </c:numRef>
          </c:xVal>
          <c:yVal>
            <c:numRef>
              <c:f>Data!$U$39:$U$52</c:f>
              <c:numCache>
                <c:formatCode>General</c:formatCode>
                <c:ptCount val="14"/>
                <c:pt idx="2" formatCode="0.00">
                  <c:v>1.9470404984423677</c:v>
                </c:pt>
                <c:pt idx="4" formatCode="0.00">
                  <c:v>3.0816640986132509</c:v>
                </c:pt>
                <c:pt idx="5" formatCode="0.00">
                  <c:v>3.0599755201958385</c:v>
                </c:pt>
                <c:pt idx="6" formatCode="0.00">
                  <c:v>2.1765627720703464</c:v>
                </c:pt>
                <c:pt idx="11" formatCode="0.00">
                  <c:v>4.8238103277779123</c:v>
                </c:pt>
              </c:numCache>
            </c:numRef>
          </c:yVal>
          <c:smooth val="0"/>
        </c:ser>
        <c:ser>
          <c:idx val="1"/>
          <c:order val="1"/>
          <c:spPr>
            <a:ln w="28575">
              <a:noFill/>
            </a:ln>
          </c:spPr>
          <c:trendline>
            <c:trendlineType val="linear"/>
            <c:dispRSqr val="1"/>
            <c:dispEq val="1"/>
            <c:trendlineLbl>
              <c:numFmt formatCode="General" sourceLinked="0"/>
            </c:trendlineLbl>
          </c:trendline>
          <c:xVal>
            <c:numRef>
              <c:f>Data!$M$3:$M$128</c:f>
              <c:numCache>
                <c:formatCode>0.00</c:formatCode>
                <c:ptCount val="126"/>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pt idx="55">
                  <c:v>11.583090958932056</c:v>
                </c:pt>
                <c:pt idx="56">
                  <c:v>13.500828821914748</c:v>
                </c:pt>
                <c:pt idx="57">
                  <c:v>9.6272575675058238</c:v>
                </c:pt>
                <c:pt idx="58">
                  <c:v>14.414630194256446</c:v>
                </c:pt>
                <c:pt idx="59">
                  <c:v>10.973423239945067</c:v>
                </c:pt>
                <c:pt idx="60">
                  <c:v>7.6282453467075744</c:v>
                </c:pt>
                <c:pt idx="61">
                  <c:v>17</c:v>
                </c:pt>
                <c:pt idx="62">
                  <c:v>7.7380952380952381</c:v>
                </c:pt>
                <c:pt idx="63">
                  <c:v>11.6462299939241</c:v>
                </c:pt>
                <c:pt idx="64">
                  <c:v>5.6964483026931951</c:v>
                </c:pt>
                <c:pt idx="65">
                  <c:v>6.3938618925831197</c:v>
                </c:pt>
                <c:pt idx="66">
                  <c:v>6.1111111111111107</c:v>
                </c:pt>
                <c:pt idx="67">
                  <c:v>10.410566251407433</c:v>
                </c:pt>
                <c:pt idx="68">
                  <c:v>3.9849969716925888</c:v>
                </c:pt>
                <c:pt idx="69">
                  <c:v>3.9814421126634252</c:v>
                </c:pt>
                <c:pt idx="70">
                  <c:v>9.2777638474081332</c:v>
                </c:pt>
                <c:pt idx="71">
                  <c:v>7.260609891230863</c:v>
                </c:pt>
                <c:pt idx="72">
                  <c:v>4.2087160999279618</c:v>
                </c:pt>
                <c:pt idx="73">
                  <c:v>5.8726271161785517</c:v>
                </c:pt>
                <c:pt idx="74">
                  <c:v>5.8726271161785517</c:v>
                </c:pt>
                <c:pt idx="75">
                  <c:v>7.9867728780028315</c:v>
                </c:pt>
                <c:pt idx="76">
                  <c:v>8.1880161186068126</c:v>
                </c:pt>
                <c:pt idx="77">
                  <c:v>4.6731875172984489</c:v>
                </c:pt>
                <c:pt idx="78">
                  <c:v>4.9691460213818521</c:v>
                </c:pt>
                <c:pt idx="79">
                  <c:v>9.0001948140667469</c:v>
                </c:pt>
                <c:pt idx="80">
                  <c:v>6.8250000000000002</c:v>
                </c:pt>
                <c:pt idx="81">
                  <c:v>6.6067055057008712</c:v>
                </c:pt>
                <c:pt idx="82">
                  <c:v>8.4197906846415407</c:v>
                </c:pt>
                <c:pt idx="83">
                  <c:v>5.8726271161785526</c:v>
                </c:pt>
                <c:pt idx="84">
                  <c:v>7.3407838952231907</c:v>
                </c:pt>
                <c:pt idx="85">
                  <c:v>5.3851990655357325</c:v>
                </c:pt>
                <c:pt idx="86">
                  <c:v>10.864360164930321</c:v>
                </c:pt>
                <c:pt idx="87">
                  <c:v>4.4743825647074686</c:v>
                </c:pt>
                <c:pt idx="88">
                  <c:v>6.85</c:v>
                </c:pt>
                <c:pt idx="89">
                  <c:v>6.7098975782062533</c:v>
                </c:pt>
                <c:pt idx="90">
                  <c:v>9.0829966063561614</c:v>
                </c:pt>
                <c:pt idx="91">
                  <c:v>6.4598898277964079</c:v>
                </c:pt>
                <c:pt idx="92">
                  <c:v>5.0896101673547456</c:v>
                </c:pt>
                <c:pt idx="93">
                  <c:v>8.0211492318536326</c:v>
                </c:pt>
                <c:pt idx="94">
                  <c:v>8.0081278856980251</c:v>
                </c:pt>
                <c:pt idx="95">
                  <c:v>4.9591073425507775</c:v>
                </c:pt>
                <c:pt idx="96">
                  <c:v>5.8726271161785526</c:v>
                </c:pt>
                <c:pt idx="97">
                  <c:v>3.0537661004128474</c:v>
                </c:pt>
                <c:pt idx="98">
                  <c:v>11.745254232357105</c:v>
                </c:pt>
                <c:pt idx="99">
                  <c:v>9.74</c:v>
                </c:pt>
                <c:pt idx="100">
                  <c:v>3</c:v>
                </c:pt>
                <c:pt idx="101">
                  <c:v>13.14800901577761</c:v>
                </c:pt>
                <c:pt idx="102">
                  <c:v>5.5533116937858651</c:v>
                </c:pt>
                <c:pt idx="103">
                  <c:v>7.0471525394142631</c:v>
                </c:pt>
                <c:pt idx="104">
                  <c:v>4.5</c:v>
                </c:pt>
                <c:pt idx="105">
                  <c:v>8</c:v>
                </c:pt>
                <c:pt idx="106">
                  <c:v>7.7</c:v>
                </c:pt>
                <c:pt idx="107">
                  <c:v>9.8000000000000007</c:v>
                </c:pt>
                <c:pt idx="108">
                  <c:v>7.6190476190476195</c:v>
                </c:pt>
                <c:pt idx="109">
                  <c:v>7.7142857142857144</c:v>
                </c:pt>
                <c:pt idx="110">
                  <c:v>9.1126972492425811</c:v>
                </c:pt>
                <c:pt idx="111">
                  <c:v>5.8726271161785526</c:v>
                </c:pt>
                <c:pt idx="112">
                  <c:v>11.574074074074073</c:v>
                </c:pt>
                <c:pt idx="113">
                  <c:v>7.7333333333333325</c:v>
                </c:pt>
                <c:pt idx="114">
                  <c:v>6.4598898277964079</c:v>
                </c:pt>
                <c:pt idx="115">
                  <c:v>6.1279587299254459</c:v>
                </c:pt>
                <c:pt idx="116">
                  <c:v>3.6703919476115949</c:v>
                </c:pt>
                <c:pt idx="117">
                  <c:v>17.338232438241441</c:v>
                </c:pt>
                <c:pt idx="118">
                  <c:v>6.5773423701199789</c:v>
                </c:pt>
                <c:pt idx="119">
                  <c:v>11.745254232357105</c:v>
                </c:pt>
                <c:pt idx="120">
                  <c:v>11.745254232357105</c:v>
                </c:pt>
                <c:pt idx="121">
                  <c:v>3.5235762697071316</c:v>
                </c:pt>
                <c:pt idx="122">
                  <c:v>5.6126717911163233</c:v>
                </c:pt>
                <c:pt idx="123">
                  <c:v>11.745254232357105</c:v>
                </c:pt>
                <c:pt idx="124">
                  <c:v>10.218371182150682</c:v>
                </c:pt>
                <c:pt idx="125">
                  <c:v>8.1706116399005939</c:v>
                </c:pt>
              </c:numCache>
            </c:numRef>
          </c:xVal>
          <c:yVal>
            <c:numRef>
              <c:f>Data!$U$3:$U$128</c:f>
              <c:numCache>
                <c:formatCode>0.00</c:formatCode>
                <c:ptCount val="126"/>
                <c:pt idx="0">
                  <c:v>2.9999999999999996</c:v>
                </c:pt>
                <c:pt idx="1">
                  <c:v>2.6190247648301015</c:v>
                </c:pt>
                <c:pt idx="2">
                  <c:v>2.987951807228916</c:v>
                </c:pt>
                <c:pt idx="3">
                  <c:v>2.5352112676056335</c:v>
                </c:pt>
                <c:pt idx="6">
                  <c:v>5.1282051282051277</c:v>
                </c:pt>
                <c:pt idx="7">
                  <c:v>4.7732696897374707</c:v>
                </c:pt>
                <c:pt idx="8">
                  <c:v>2.6341422943847985</c:v>
                </c:pt>
                <c:pt idx="10">
                  <c:v>2.918362309674035</c:v>
                </c:pt>
                <c:pt idx="11">
                  <c:v>4.3478260869565215</c:v>
                </c:pt>
                <c:pt idx="12">
                  <c:v>2.5922853587722936</c:v>
                </c:pt>
                <c:pt idx="13">
                  <c:v>3.0491803278688527</c:v>
                </c:pt>
                <c:pt idx="14">
                  <c:v>2.1555539379822388</c:v>
                </c:pt>
                <c:pt idx="17">
                  <c:v>3</c:v>
                </c:pt>
                <c:pt idx="18">
                  <c:v>2.2857164895176094</c:v>
                </c:pt>
                <c:pt idx="19">
                  <c:v>3.1746031746031744</c:v>
                </c:pt>
                <c:pt idx="20">
                  <c:v>2.1276595744680851</c:v>
                </c:pt>
                <c:pt idx="22">
                  <c:v>3.0864197530864197</c:v>
                </c:pt>
                <c:pt idx="23">
                  <c:v>1.9607843137254901</c:v>
                </c:pt>
                <c:pt idx="25">
                  <c:v>2.230763267046556</c:v>
                </c:pt>
                <c:pt idx="31">
                  <c:v>2.2336884898032121</c:v>
                </c:pt>
                <c:pt idx="32">
                  <c:v>2.2172949002217295</c:v>
                </c:pt>
                <c:pt idx="33">
                  <c:v>3.5087719298245617</c:v>
                </c:pt>
                <c:pt idx="35">
                  <c:v>2.5768984765670426</c:v>
                </c:pt>
                <c:pt idx="38">
                  <c:v>1.9470404984423677</c:v>
                </c:pt>
                <c:pt idx="40">
                  <c:v>3.0816640986132509</c:v>
                </c:pt>
                <c:pt idx="41">
                  <c:v>3.0599755201958385</c:v>
                </c:pt>
                <c:pt idx="42">
                  <c:v>2.1765627720703464</c:v>
                </c:pt>
                <c:pt idx="47">
                  <c:v>4.8238103277779123</c:v>
                </c:pt>
                <c:pt idx="50">
                  <c:v>2.8296547821165818</c:v>
                </c:pt>
                <c:pt idx="51">
                  <c:v>1.9774569903104606</c:v>
                </c:pt>
                <c:pt idx="52">
                  <c:v>2.8735632183908049</c:v>
                </c:pt>
                <c:pt idx="55">
                  <c:v>4.3233895373973192</c:v>
                </c:pt>
                <c:pt idx="56">
                  <c:v>4.5454545454545459</c:v>
                </c:pt>
                <c:pt idx="57">
                  <c:v>4.7619047619047619</c:v>
                </c:pt>
                <c:pt idx="58">
                  <c:v>4.4543429844097995</c:v>
                </c:pt>
                <c:pt idx="59">
                  <c:v>7.4835175525904196</c:v>
                </c:pt>
                <c:pt idx="60">
                  <c:v>4.5454545454545459</c:v>
                </c:pt>
                <c:pt idx="61">
                  <c:v>5.5555555555555554</c:v>
                </c:pt>
                <c:pt idx="62">
                  <c:v>3.1055900621118013</c:v>
                </c:pt>
                <c:pt idx="63">
                  <c:v>2.7932960893854748</c:v>
                </c:pt>
                <c:pt idx="65">
                  <c:v>1.9230769230769229</c:v>
                </c:pt>
                <c:pt idx="66">
                  <c:v>1.7241379310344829</c:v>
                </c:pt>
                <c:pt idx="67">
                  <c:v>2.2522522522522523</c:v>
                </c:pt>
                <c:pt idx="68">
                  <c:v>3.2258064516129035</c:v>
                </c:pt>
                <c:pt idx="71">
                  <c:v>2.230763267046556</c:v>
                </c:pt>
                <c:pt idx="75">
                  <c:v>2.4018253872943438</c:v>
                </c:pt>
                <c:pt idx="76">
                  <c:v>2.056343820686819</c:v>
                </c:pt>
                <c:pt idx="77">
                  <c:v>1.6949152542372883</c:v>
                </c:pt>
                <c:pt idx="81">
                  <c:v>2.3255813953488373</c:v>
                </c:pt>
                <c:pt idx="83">
                  <c:v>1.6129032258064517</c:v>
                </c:pt>
                <c:pt idx="84">
                  <c:v>1.7543859649122808</c:v>
                </c:pt>
                <c:pt idx="85">
                  <c:v>2.4473813020068524</c:v>
                </c:pt>
                <c:pt idx="86">
                  <c:v>1.5822784810126582</c:v>
                </c:pt>
                <c:pt idx="88">
                  <c:v>2.4201355275895451</c:v>
                </c:pt>
                <c:pt idx="89">
                  <c:v>2.5</c:v>
                </c:pt>
                <c:pt idx="90">
                  <c:v>2.1629244468861457</c:v>
                </c:pt>
                <c:pt idx="91">
                  <c:v>2.1052631578947367</c:v>
                </c:pt>
                <c:pt idx="93">
                  <c:v>1.6441689548017953</c:v>
                </c:pt>
                <c:pt idx="94">
                  <c:v>2.5426530041445248</c:v>
                </c:pt>
                <c:pt idx="97">
                  <c:v>1.1111111111111112</c:v>
                </c:pt>
                <c:pt idx="98">
                  <c:v>1.6557387906483871</c:v>
                </c:pt>
                <c:pt idx="99">
                  <c:v>1.9762845849802371</c:v>
                </c:pt>
                <c:pt idx="100">
                  <c:v>1.0869565217391304</c:v>
                </c:pt>
                <c:pt idx="102">
                  <c:v>2</c:v>
                </c:pt>
                <c:pt idx="104">
                  <c:v>1.6170763260025875</c:v>
                </c:pt>
                <c:pt idx="105">
                  <c:v>2.1739130434782608</c:v>
                </c:pt>
                <c:pt idx="106">
                  <c:v>2.06058108386565</c:v>
                </c:pt>
              </c:numCache>
            </c:numRef>
          </c:yVal>
          <c:smooth val="0"/>
        </c:ser>
        <c:dLbls>
          <c:showLegendKey val="0"/>
          <c:showVal val="0"/>
          <c:showCatName val="0"/>
          <c:showSerName val="0"/>
          <c:showPercent val="0"/>
          <c:showBubbleSize val="0"/>
        </c:dLbls>
        <c:axId val="93649920"/>
        <c:axId val="93783168"/>
      </c:scatterChart>
      <c:valAx>
        <c:axId val="93649920"/>
        <c:scaling>
          <c:orientation val="minMax"/>
        </c:scaling>
        <c:delete val="0"/>
        <c:axPos val="b"/>
        <c:title>
          <c:tx>
            <c:rich>
              <a:bodyPr/>
              <a:lstStyle/>
              <a:p>
                <a:pPr>
                  <a:defRPr/>
                </a:pPr>
                <a:r>
                  <a:rPr lang="en-US"/>
                  <a:t>Packing Factor</a:t>
                </a:r>
              </a:p>
            </c:rich>
          </c:tx>
          <c:overlay val="0"/>
        </c:title>
        <c:numFmt formatCode="0.00" sourceLinked="1"/>
        <c:majorTickMark val="out"/>
        <c:minorTickMark val="none"/>
        <c:tickLblPos val="nextTo"/>
        <c:crossAx val="93783168"/>
        <c:crosses val="autoZero"/>
        <c:crossBetween val="midCat"/>
      </c:valAx>
      <c:valAx>
        <c:axId val="93783168"/>
        <c:scaling>
          <c:orientation val="minMax"/>
          <c:max val="4"/>
          <c:min val="1"/>
        </c:scaling>
        <c:delete val="0"/>
        <c:axPos val="l"/>
        <c:majorGridlines/>
        <c:title>
          <c:tx>
            <c:rich>
              <a:bodyPr rot="-5400000" vert="horz"/>
              <a:lstStyle/>
              <a:p>
                <a:pPr>
                  <a:defRPr/>
                </a:pPr>
                <a:r>
                  <a:rPr lang="en-US"/>
                  <a:t>Ha/MW</a:t>
                </a:r>
              </a:p>
            </c:rich>
          </c:tx>
          <c:overlay val="0"/>
        </c:title>
        <c:numFmt formatCode="General" sourceLinked="1"/>
        <c:majorTickMark val="out"/>
        <c:minorTickMark val="none"/>
        <c:tickLblPos val="nextTo"/>
        <c:crossAx val="93649920"/>
        <c:crosses val="autoZero"/>
        <c:crossBetween val="midCat"/>
      </c:valAx>
    </c:plotArea>
    <c:legend>
      <c:legendPos val="r"/>
      <c:layout>
        <c:manualLayout>
          <c:xMode val="edge"/>
          <c:yMode val="edge"/>
          <c:x val="0.79823753280839893"/>
          <c:y val="2.0391513560805052E-2"/>
          <c:w val="0.11287357830271215"/>
          <c:h val="0.16743438320210513"/>
        </c:manualLayout>
      </c:layout>
      <c:overlay val="1"/>
    </c:legend>
    <c:plotVisOnly val="1"/>
    <c:dispBlanksAs val="gap"/>
    <c:showDLblsOverMax val="0"/>
  </c:chart>
  <c:printSettings>
    <c:headerFooter/>
    <c:pageMargins b="0.75000000000001243" l="0.70000000000000062" r="0.70000000000000062" t="0.75000000000001243"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03846394200725"/>
          <c:y val="4.0757405324334459E-2"/>
          <c:w val="0.86148137732783403"/>
          <c:h val="0.79582734449860437"/>
        </c:manualLayout>
      </c:layout>
      <c:scatterChart>
        <c:scatterStyle val="lineMarker"/>
        <c:varyColors val="0"/>
        <c:ser>
          <c:idx val="1"/>
          <c:order val="0"/>
          <c:tx>
            <c:v>Fixed</c:v>
          </c:tx>
          <c:spPr>
            <a:ln w="28575">
              <a:noFill/>
            </a:ln>
          </c:spPr>
          <c:marker>
            <c:symbol val="triangle"/>
            <c:size val="5"/>
            <c:spPr>
              <a:solidFill>
                <a:srgbClr val="92D050"/>
              </a:solidFill>
              <a:ln>
                <a:solidFill>
                  <a:srgbClr val="92D050"/>
                </a:solidFill>
              </a:ln>
            </c:spPr>
          </c:marker>
          <c:xVal>
            <c:numRef>
              <c:f>SmallLargeComb!$AB$83:$AB$150</c:f>
              <c:numCache>
                <c:formatCode>0.0%</c:formatCode>
                <c:ptCount val="68"/>
                <c:pt idx="0">
                  <c:v>0.13919999999999999</c:v>
                </c:pt>
                <c:pt idx="2">
                  <c:v>0.12720000000000001</c:v>
                </c:pt>
                <c:pt idx="4">
                  <c:v>8.5000000000000006E-2</c:v>
                </c:pt>
                <c:pt idx="5">
                  <c:v>0.1419</c:v>
                </c:pt>
                <c:pt idx="6">
                  <c:v>0.14180000000000001</c:v>
                </c:pt>
                <c:pt idx="7">
                  <c:v>0.14430000000000001</c:v>
                </c:pt>
                <c:pt idx="8">
                  <c:v>9.9900000000000003E-2</c:v>
                </c:pt>
                <c:pt idx="11">
                  <c:v>0.14000000000000001</c:v>
                </c:pt>
                <c:pt idx="12">
                  <c:v>0.107</c:v>
                </c:pt>
                <c:pt idx="15">
                  <c:v>0.14399999999999999</c:v>
                </c:pt>
                <c:pt idx="16">
                  <c:v>0.14199999999999999</c:v>
                </c:pt>
                <c:pt idx="18">
                  <c:v>9.9900000000000003E-2</c:v>
                </c:pt>
                <c:pt idx="19">
                  <c:v>0.14399999999999999</c:v>
                </c:pt>
                <c:pt idx="20">
                  <c:v>0.1069</c:v>
                </c:pt>
                <c:pt idx="21">
                  <c:v>0.14499999999999999</c:v>
                </c:pt>
                <c:pt idx="22">
                  <c:v>0.107</c:v>
                </c:pt>
                <c:pt idx="24">
                  <c:v>0.14069999999999999</c:v>
                </c:pt>
                <c:pt idx="25">
                  <c:v>0.13769999999999999</c:v>
                </c:pt>
                <c:pt idx="26">
                  <c:v>0.1</c:v>
                </c:pt>
                <c:pt idx="32">
                  <c:v>0.14399999999999999</c:v>
                </c:pt>
                <c:pt idx="34">
                  <c:v>0.14499999999999999</c:v>
                </c:pt>
                <c:pt idx="37">
                  <c:v>0.107</c:v>
                </c:pt>
                <c:pt idx="38">
                  <c:v>0.107</c:v>
                </c:pt>
                <c:pt idx="39" formatCode="General">
                  <c:v>0.09</c:v>
                </c:pt>
                <c:pt idx="40">
                  <c:v>0.14899999999999999</c:v>
                </c:pt>
                <c:pt idx="41">
                  <c:v>0.10970000000000001</c:v>
                </c:pt>
                <c:pt idx="42">
                  <c:v>0.14099999999999999</c:v>
                </c:pt>
                <c:pt idx="45">
                  <c:v>0.107</c:v>
                </c:pt>
                <c:pt idx="46">
                  <c:v>0.107</c:v>
                </c:pt>
                <c:pt idx="47">
                  <c:v>0.14399999999999999</c:v>
                </c:pt>
                <c:pt idx="48">
                  <c:v>0.11</c:v>
                </c:pt>
                <c:pt idx="50">
                  <c:v>0.107</c:v>
                </c:pt>
                <c:pt idx="52">
                  <c:v>0.106</c:v>
                </c:pt>
                <c:pt idx="53">
                  <c:v>0.1</c:v>
                </c:pt>
                <c:pt idx="54">
                  <c:v>0.107</c:v>
                </c:pt>
                <c:pt idx="55">
                  <c:v>0.14000000000000001</c:v>
                </c:pt>
                <c:pt idx="57">
                  <c:v>0.1</c:v>
                </c:pt>
                <c:pt idx="58">
                  <c:v>0.1</c:v>
                </c:pt>
                <c:pt idx="59">
                  <c:v>0.13200000000000001</c:v>
                </c:pt>
                <c:pt idx="60">
                  <c:v>0.14099999999999999</c:v>
                </c:pt>
                <c:pt idx="61">
                  <c:v>0.09</c:v>
                </c:pt>
                <c:pt idx="62">
                  <c:v>0.1</c:v>
                </c:pt>
                <c:pt idx="63">
                  <c:v>0.1</c:v>
                </c:pt>
                <c:pt idx="64">
                  <c:v>0.158</c:v>
                </c:pt>
                <c:pt idx="65">
                  <c:v>0.107</c:v>
                </c:pt>
                <c:pt idx="66">
                  <c:v>0.1</c:v>
                </c:pt>
                <c:pt idx="67">
                  <c:v>0.107</c:v>
                </c:pt>
              </c:numCache>
            </c:numRef>
          </c:xVal>
          <c:yVal>
            <c:numRef>
              <c:f>SmallLargeComb!$R$83:$R$150</c:f>
              <c:numCache>
                <c:formatCode>0.00</c:formatCode>
                <c:ptCount val="68"/>
                <c:pt idx="0">
                  <c:v>6.046848387291849</c:v>
                </c:pt>
                <c:pt idx="2">
                  <c:v>5.0477857046708845</c:v>
                </c:pt>
                <c:pt idx="3">
                  <c:v>2.7777777777777777</c:v>
                </c:pt>
                <c:pt idx="4">
                  <c:v>7.6664477625749097</c:v>
                </c:pt>
                <c:pt idx="5">
                  <c:v>3.3557869235306015</c:v>
                </c:pt>
                <c:pt idx="6">
                  <c:v>4.1513487132919158</c:v>
                </c:pt>
                <c:pt idx="7">
                  <c:v>2.6874734260478124</c:v>
                </c:pt>
                <c:pt idx="9">
                  <c:v>3.4256991511041552</c:v>
                </c:pt>
                <c:pt idx="10">
                  <c:v>5.5386703875051984</c:v>
                </c:pt>
                <c:pt idx="12">
                  <c:v>6.4833803362611224</c:v>
                </c:pt>
                <c:pt idx="13">
                  <c:v>5.4586774124045414</c:v>
                </c:pt>
                <c:pt idx="14">
                  <c:v>4.0656649265851517</c:v>
                </c:pt>
                <c:pt idx="16">
                  <c:v>3.987166666666667</c:v>
                </c:pt>
                <c:pt idx="17">
                  <c:v>5.2119565656084648</c:v>
                </c:pt>
                <c:pt idx="19">
                  <c:v>3.9362473643575164</c:v>
                </c:pt>
                <c:pt idx="20">
                  <c:v>6.2837110143110504</c:v>
                </c:pt>
                <c:pt idx="21">
                  <c:v>4.6981016929428421</c:v>
                </c:pt>
                <c:pt idx="22">
                  <c:v>6.3835456752860864</c:v>
                </c:pt>
                <c:pt idx="23">
                  <c:v>4.6393754217810566</c:v>
                </c:pt>
                <c:pt idx="24">
                  <c:v>3.1879975773540714</c:v>
                </c:pt>
                <c:pt idx="25">
                  <c:v>4.42</c:v>
                </c:pt>
                <c:pt idx="26">
                  <c:v>5.5117015820979933</c:v>
                </c:pt>
                <c:pt idx="27">
                  <c:v>5.9509288110609333</c:v>
                </c:pt>
                <c:pt idx="28">
                  <c:v>4.3065932185309386</c:v>
                </c:pt>
                <c:pt idx="30">
                  <c:v>4.235409859546956</c:v>
                </c:pt>
                <c:pt idx="31">
                  <c:v>4.29704423135016</c:v>
                </c:pt>
                <c:pt idx="32">
                  <c:v>3.7638201062780721</c:v>
                </c:pt>
                <c:pt idx="33">
                  <c:v>6.1128709527494927</c:v>
                </c:pt>
                <c:pt idx="35">
                  <c:v>5.3793264384195538</c:v>
                </c:pt>
                <c:pt idx="36">
                  <c:v>3.0537661004128474</c:v>
                </c:pt>
                <c:pt idx="37">
                  <c:v>8.0055652847746028</c:v>
                </c:pt>
                <c:pt idx="39">
                  <c:v>7.5</c:v>
                </c:pt>
                <c:pt idx="40">
                  <c:v>2.2320000000000002</c:v>
                </c:pt>
                <c:pt idx="41">
                  <c:v>6.9853493613824194</c:v>
                </c:pt>
                <c:pt idx="42">
                  <c:v>4.6335444445025811</c:v>
                </c:pt>
                <c:pt idx="44">
                  <c:v>3</c:v>
                </c:pt>
                <c:pt idx="45">
                  <c:v>7</c:v>
                </c:pt>
                <c:pt idx="46">
                  <c:v>6.1909999999999998</c:v>
                </c:pt>
                <c:pt idx="47">
                  <c:v>7.8</c:v>
                </c:pt>
                <c:pt idx="48">
                  <c:v>5.5873015873015879</c:v>
                </c:pt>
                <c:pt idx="49">
                  <c:v>5.9428571428571431</c:v>
                </c:pt>
                <c:pt idx="50">
                  <c:v>6.075131499495054</c:v>
                </c:pt>
                <c:pt idx="51">
                  <c:v>4.9741151674032347</c:v>
                </c:pt>
                <c:pt idx="54">
                  <c:v>5.559444444444444</c:v>
                </c:pt>
                <c:pt idx="55">
                  <c:v>4.2666666666666666</c:v>
                </c:pt>
                <c:pt idx="57">
                  <c:v>6.4</c:v>
                </c:pt>
                <c:pt idx="58">
                  <c:v>7.4</c:v>
                </c:pt>
                <c:pt idx="59">
                  <c:v>6.09375</c:v>
                </c:pt>
                <c:pt idx="61">
                  <c:v>7.666666666666667</c:v>
                </c:pt>
                <c:pt idx="62">
                  <c:v>6.791666666666667</c:v>
                </c:pt>
                <c:pt idx="66">
                  <c:v>5.4636363636363638</c:v>
                </c:pt>
              </c:numCache>
            </c:numRef>
          </c:yVal>
          <c:smooth val="0"/>
        </c:ser>
        <c:ser>
          <c:idx val="0"/>
          <c:order val="1"/>
          <c:tx>
            <c:v>1 Axis</c:v>
          </c:tx>
          <c:spPr>
            <a:ln w="28575">
              <a:noFill/>
            </a:ln>
          </c:spPr>
          <c:marker>
            <c:symbol val="diamond"/>
            <c:size val="5"/>
          </c:marker>
          <c:xVal>
            <c:numRef>
              <c:f>SmallLargeComb!$AB$3:$AB$72</c:f>
              <c:numCache>
                <c:formatCode>0.0%</c:formatCode>
                <c:ptCount val="70"/>
                <c:pt idx="0">
                  <c:v>0.161</c:v>
                </c:pt>
                <c:pt idx="1">
                  <c:v>0.16400000000000001</c:v>
                </c:pt>
                <c:pt idx="2">
                  <c:v>0.13320000000000001</c:v>
                </c:pt>
                <c:pt idx="3">
                  <c:v>0.161</c:v>
                </c:pt>
                <c:pt idx="4">
                  <c:v>0.13769999999999999</c:v>
                </c:pt>
                <c:pt idx="6">
                  <c:v>0.19600000000000001</c:v>
                </c:pt>
                <c:pt idx="7">
                  <c:v>0.19600000000000001</c:v>
                </c:pt>
                <c:pt idx="8">
                  <c:v>0.14799999999999999</c:v>
                </c:pt>
                <c:pt idx="9">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7">
                  <c:v>0.19</c:v>
                </c:pt>
                <c:pt idx="28">
                  <c:v>0.19</c:v>
                </c:pt>
                <c:pt idx="29">
                  <c:v>0.19</c:v>
                </c:pt>
                <c:pt idx="33">
                  <c:v>0.14610000000000001</c:v>
                </c:pt>
                <c:pt idx="34">
                  <c:v>0.13919999999999999</c:v>
                </c:pt>
                <c:pt idx="35">
                  <c:v>0.14400000000000002</c:v>
                </c:pt>
                <c:pt idx="36">
                  <c:v>0.185</c:v>
                </c:pt>
                <c:pt idx="38">
                  <c:v>0.14299999999999999</c:v>
                </c:pt>
                <c:pt idx="41">
                  <c:v>0.14699999999999999</c:v>
                </c:pt>
                <c:pt idx="43">
                  <c:v>0.20100000000000001</c:v>
                </c:pt>
                <c:pt idx="44">
                  <c:v>0.20100000000000001</c:v>
                </c:pt>
                <c:pt idx="47">
                  <c:v>0.185</c:v>
                </c:pt>
                <c:pt idx="48">
                  <c:v>0.14000000000000001</c:v>
                </c:pt>
                <c:pt idx="49">
                  <c:v>0.14699999999999999</c:v>
                </c:pt>
                <c:pt idx="50">
                  <c:v>0.14699999999999999</c:v>
                </c:pt>
                <c:pt idx="52">
                  <c:v>0.19600000000000001</c:v>
                </c:pt>
                <c:pt idx="55">
                  <c:v>0.19</c:v>
                </c:pt>
                <c:pt idx="56">
                  <c:v>0.107</c:v>
                </c:pt>
                <c:pt idx="57">
                  <c:v>0.14000000000000001</c:v>
                </c:pt>
                <c:pt idx="59">
                  <c:v>0.185</c:v>
                </c:pt>
                <c:pt idx="60">
                  <c:v>0.19</c:v>
                </c:pt>
                <c:pt idx="61">
                  <c:v>0.107</c:v>
                </c:pt>
                <c:pt idx="62">
                  <c:v>0.19600000000000001</c:v>
                </c:pt>
                <c:pt idx="63">
                  <c:v>0.20100000000000001</c:v>
                </c:pt>
                <c:pt idx="64">
                  <c:v>0.107</c:v>
                </c:pt>
                <c:pt idx="65">
                  <c:v>0.1</c:v>
                </c:pt>
                <c:pt idx="66">
                  <c:v>0.1076</c:v>
                </c:pt>
                <c:pt idx="68">
                  <c:v>0.1</c:v>
                </c:pt>
              </c:numCache>
            </c:numRef>
          </c:xVal>
          <c:yVal>
            <c:numRef>
              <c:f>SmallLargeComb!$R$3:$R$72</c:f>
              <c:numCache>
                <c:formatCode>0.00</c:formatCode>
                <c:ptCount val="70"/>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7.0704032099241019</c:v>
                </c:pt>
                <c:pt idx="10">
                  <c:v>6.8336024624623155</c:v>
                </c:pt>
                <c:pt idx="11">
                  <c:v>6.4893617021276597</c:v>
                </c:pt>
                <c:pt idx="12">
                  <c:v>7.9699939433851776</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3.9150847441190346</c:v>
                </c:pt>
                <c:pt idx="29">
                  <c:v>4.7799999999999994</c:v>
                </c:pt>
                <c:pt idx="30">
                  <c:v>4.9183003678912636</c:v>
                </c:pt>
                <c:pt idx="31">
                  <c:v>5.3832415231636732</c:v>
                </c:pt>
                <c:pt idx="32">
                  <c:v>5.2364258452592098</c:v>
                </c:pt>
                <c:pt idx="34">
                  <c:v>5.8272820771285758</c:v>
                </c:pt>
                <c:pt idx="37">
                  <c:v>3.7584813543542737</c:v>
                </c:pt>
                <c:pt idx="39">
                  <c:v>8.0789786121633913</c:v>
                </c:pt>
                <c:pt idx="40">
                  <c:v>8.3630560228542734</c:v>
                </c:pt>
                <c:pt idx="41">
                  <c:v>5.8645744680851069</c:v>
                </c:pt>
                <c:pt idx="43">
                  <c:v>5.0329999999999995</c:v>
                </c:pt>
                <c:pt idx="46">
                  <c:v>8.2222222222222214</c:v>
                </c:pt>
                <c:pt idx="49">
                  <c:v>5.6496000000000004</c:v>
                </c:pt>
                <c:pt idx="50">
                  <c:v>6.6919999999999993</c:v>
                </c:pt>
                <c:pt idx="51">
                  <c:v>7.5161290322580649</c:v>
                </c:pt>
                <c:pt idx="52">
                  <c:v>6.6294117647058828</c:v>
                </c:pt>
                <c:pt idx="55">
                  <c:v>5.92</c:v>
                </c:pt>
                <c:pt idx="56">
                  <c:v>8.4649999999999999</c:v>
                </c:pt>
                <c:pt idx="57">
                  <c:v>7</c:v>
                </c:pt>
                <c:pt idx="60">
                  <c:v>7.2</c:v>
                </c:pt>
                <c:pt idx="66">
                  <c:v>8.5</c:v>
                </c:pt>
                <c:pt idx="68">
                  <c:v>9.956619802115295</c:v>
                </c:pt>
              </c:numCache>
            </c:numRef>
          </c:yVal>
          <c:smooth val="0"/>
        </c:ser>
        <c:ser>
          <c:idx val="2"/>
          <c:order val="2"/>
          <c:tx>
            <c:v>2 Axis</c:v>
          </c:tx>
          <c:spPr>
            <a:ln w="28575">
              <a:noFill/>
            </a:ln>
          </c:spPr>
          <c:marker>
            <c:symbol val="square"/>
            <c:size val="5"/>
            <c:spPr>
              <a:solidFill>
                <a:srgbClr val="C00000"/>
              </a:solidFill>
              <a:ln>
                <a:solidFill>
                  <a:srgbClr val="C00000"/>
                </a:solidFill>
              </a:ln>
            </c:spPr>
          </c:marker>
          <c:xVal>
            <c:numRef>
              <c:f>SmallLargeComb!$AB$73:$AB$76</c:f>
              <c:numCache>
                <c:formatCode>0.0%</c:formatCode>
                <c:ptCount val="4"/>
                <c:pt idx="0">
                  <c:v>0.14000000000000001</c:v>
                </c:pt>
                <c:pt idx="2">
                  <c:v>0.14280000000000001</c:v>
                </c:pt>
                <c:pt idx="3">
                  <c:v>0.14399999999999999</c:v>
                </c:pt>
              </c:numCache>
            </c:numRef>
          </c:xVal>
          <c:yVal>
            <c:numRef>
              <c:f>SmallLargeComb!$R$73:$R$76</c:f>
              <c:numCache>
                <c:formatCode>0.00</c:formatCode>
                <c:ptCount val="4"/>
                <c:pt idx="0">
                  <c:v>9.1205598007949913</c:v>
                </c:pt>
                <c:pt idx="1">
                  <c:v>11.745254232357103</c:v>
                </c:pt>
                <c:pt idx="2">
                  <c:v>7.0097761276815929</c:v>
                </c:pt>
                <c:pt idx="3">
                  <c:v>6.8340236657699132</c:v>
                </c:pt>
              </c:numCache>
            </c:numRef>
          </c:yVal>
          <c:smooth val="0"/>
        </c:ser>
        <c:ser>
          <c:idx val="3"/>
          <c:order val="3"/>
          <c:tx>
            <c:v>CPV</c:v>
          </c:tx>
          <c:spPr>
            <a:ln w="28575">
              <a:noFill/>
            </a:ln>
          </c:spPr>
          <c:marker>
            <c:symbol val="circle"/>
            <c:size val="5"/>
          </c:marker>
          <c:xVal>
            <c:numRef>
              <c:f>SmallLargeComb!$AB$77:$AB$82</c:f>
              <c:numCache>
                <c:formatCode>0.0%</c:formatCode>
                <c:ptCount val="6"/>
                <c:pt idx="0">
                  <c:v>0.25</c:v>
                </c:pt>
                <c:pt idx="1">
                  <c:v>0.25</c:v>
                </c:pt>
                <c:pt idx="2">
                  <c:v>0.25</c:v>
                </c:pt>
                <c:pt idx="3">
                  <c:v>0.28999999999999998</c:v>
                </c:pt>
                <c:pt idx="4">
                  <c:v>0.28999999999999998</c:v>
                </c:pt>
                <c:pt idx="5">
                  <c:v>0.31</c:v>
                </c:pt>
              </c:numCache>
            </c:numRef>
          </c:xVal>
          <c:yVal>
            <c:numRef>
              <c:f>SmallLargeComb!$R$77:$R$82</c:f>
              <c:numCache>
                <c:formatCode>0.00</c:formatCode>
                <c:ptCount val="6"/>
                <c:pt idx="0">
                  <c:v>7.6282453467075744</c:v>
                </c:pt>
                <c:pt idx="1">
                  <c:v>10.7</c:v>
                </c:pt>
                <c:pt idx="3">
                  <c:v>5.7719535084726346</c:v>
                </c:pt>
                <c:pt idx="4">
                  <c:v>6.0079365079365079</c:v>
                </c:pt>
                <c:pt idx="5">
                  <c:v>6.0546875</c:v>
                </c:pt>
              </c:numCache>
            </c:numRef>
          </c:yVal>
          <c:smooth val="0"/>
        </c:ser>
        <c:dLbls>
          <c:showLegendKey val="0"/>
          <c:showVal val="0"/>
          <c:showCatName val="0"/>
          <c:showSerName val="0"/>
          <c:showPercent val="0"/>
          <c:showBubbleSize val="0"/>
        </c:dLbls>
        <c:axId val="130402176"/>
        <c:axId val="130408448"/>
      </c:scatterChart>
      <c:valAx>
        <c:axId val="130402176"/>
        <c:scaling>
          <c:orientation val="minMax"/>
          <c:max val="0.32000000000000006"/>
          <c:min val="8.0000000000000016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30408448"/>
        <c:crosses val="autoZero"/>
        <c:crossBetween val="midCat"/>
      </c:valAx>
      <c:valAx>
        <c:axId val="130408448"/>
        <c:scaling>
          <c:orientation val="minMax"/>
        </c:scaling>
        <c:delete val="0"/>
        <c:axPos val="l"/>
        <c:majorGridlines>
          <c:spPr>
            <a:ln>
              <a:noFill/>
            </a:ln>
          </c:spPr>
        </c:majorGridlines>
        <c:title>
          <c:tx>
            <c:rich>
              <a:bodyPr rot="-5400000" vert="horz"/>
              <a:lstStyle/>
              <a:p>
                <a:pPr>
                  <a:defRPr/>
                </a:pPr>
                <a:r>
                  <a:rPr lang="en-US"/>
                  <a:t>Direct Land Use (Acres/MW)</a:t>
                </a:r>
              </a:p>
            </c:rich>
          </c:tx>
          <c:overlay val="0"/>
        </c:title>
        <c:numFmt formatCode="0" sourceLinked="0"/>
        <c:majorTickMark val="out"/>
        <c:minorTickMark val="none"/>
        <c:tickLblPos val="nextTo"/>
        <c:crossAx val="130402176"/>
        <c:crosses val="autoZero"/>
        <c:crossBetween val="midCat"/>
      </c:valAx>
    </c:plotArea>
    <c:legend>
      <c:legendPos val="r"/>
      <c:layout>
        <c:manualLayout>
          <c:xMode val="edge"/>
          <c:yMode val="edge"/>
          <c:x val="0.83617016622922136"/>
          <c:y val="6.0161750614506515E-2"/>
          <c:w val="9.4220450545500198E-2"/>
          <c:h val="0.27035031231303719"/>
        </c:manualLayout>
      </c:layou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03846394200725"/>
          <c:y val="4.0757405324334459E-2"/>
          <c:w val="0.86148137732783403"/>
          <c:h val="0.79582734449860437"/>
        </c:manualLayout>
      </c:layout>
      <c:scatterChart>
        <c:scatterStyle val="lineMarker"/>
        <c:varyColors val="0"/>
        <c:ser>
          <c:idx val="1"/>
          <c:order val="0"/>
          <c:tx>
            <c:v>Fixed</c:v>
          </c:tx>
          <c:spPr>
            <a:ln w="28575">
              <a:noFill/>
            </a:ln>
          </c:spPr>
          <c:marker>
            <c:symbol val="triangle"/>
            <c:size val="5"/>
            <c:spPr>
              <a:solidFill>
                <a:srgbClr val="92D050"/>
              </a:solidFill>
              <a:ln>
                <a:solidFill>
                  <a:srgbClr val="92D050"/>
                </a:solidFill>
              </a:ln>
            </c:spPr>
          </c:marker>
          <c:xVal>
            <c:numRef>
              <c:f>SmallLargeComb!$AB$83:$AB$150</c:f>
              <c:numCache>
                <c:formatCode>0.0%</c:formatCode>
                <c:ptCount val="68"/>
                <c:pt idx="0">
                  <c:v>0.13919999999999999</c:v>
                </c:pt>
                <c:pt idx="2">
                  <c:v>0.12720000000000001</c:v>
                </c:pt>
                <c:pt idx="4">
                  <c:v>8.5000000000000006E-2</c:v>
                </c:pt>
                <c:pt idx="5">
                  <c:v>0.1419</c:v>
                </c:pt>
                <c:pt idx="6">
                  <c:v>0.14180000000000001</c:v>
                </c:pt>
                <c:pt idx="7">
                  <c:v>0.14430000000000001</c:v>
                </c:pt>
                <c:pt idx="8">
                  <c:v>9.9900000000000003E-2</c:v>
                </c:pt>
                <c:pt idx="11">
                  <c:v>0.14000000000000001</c:v>
                </c:pt>
                <c:pt idx="12">
                  <c:v>0.107</c:v>
                </c:pt>
                <c:pt idx="15">
                  <c:v>0.14399999999999999</c:v>
                </c:pt>
                <c:pt idx="16">
                  <c:v>0.14199999999999999</c:v>
                </c:pt>
                <c:pt idx="18">
                  <c:v>9.9900000000000003E-2</c:v>
                </c:pt>
                <c:pt idx="19">
                  <c:v>0.14399999999999999</c:v>
                </c:pt>
                <c:pt idx="20">
                  <c:v>0.1069</c:v>
                </c:pt>
                <c:pt idx="21">
                  <c:v>0.14499999999999999</c:v>
                </c:pt>
                <c:pt idx="22">
                  <c:v>0.107</c:v>
                </c:pt>
                <c:pt idx="24">
                  <c:v>0.14069999999999999</c:v>
                </c:pt>
                <c:pt idx="25">
                  <c:v>0.13769999999999999</c:v>
                </c:pt>
                <c:pt idx="26">
                  <c:v>0.1</c:v>
                </c:pt>
                <c:pt idx="32">
                  <c:v>0.14399999999999999</c:v>
                </c:pt>
                <c:pt idx="34">
                  <c:v>0.14499999999999999</c:v>
                </c:pt>
                <c:pt idx="37">
                  <c:v>0.107</c:v>
                </c:pt>
                <c:pt idx="38">
                  <c:v>0.107</c:v>
                </c:pt>
                <c:pt idx="39" formatCode="General">
                  <c:v>0.09</c:v>
                </c:pt>
                <c:pt idx="40">
                  <c:v>0.14899999999999999</c:v>
                </c:pt>
                <c:pt idx="41">
                  <c:v>0.10970000000000001</c:v>
                </c:pt>
                <c:pt idx="42">
                  <c:v>0.14099999999999999</c:v>
                </c:pt>
                <c:pt idx="45">
                  <c:v>0.107</c:v>
                </c:pt>
                <c:pt idx="46">
                  <c:v>0.107</c:v>
                </c:pt>
                <c:pt idx="47">
                  <c:v>0.14399999999999999</c:v>
                </c:pt>
                <c:pt idx="48">
                  <c:v>0.11</c:v>
                </c:pt>
                <c:pt idx="50">
                  <c:v>0.107</c:v>
                </c:pt>
                <c:pt idx="52">
                  <c:v>0.106</c:v>
                </c:pt>
                <c:pt idx="53">
                  <c:v>0.1</c:v>
                </c:pt>
                <c:pt idx="54">
                  <c:v>0.107</c:v>
                </c:pt>
                <c:pt idx="55">
                  <c:v>0.14000000000000001</c:v>
                </c:pt>
                <c:pt idx="57">
                  <c:v>0.1</c:v>
                </c:pt>
                <c:pt idx="58">
                  <c:v>0.1</c:v>
                </c:pt>
                <c:pt idx="59">
                  <c:v>0.13200000000000001</c:v>
                </c:pt>
                <c:pt idx="60">
                  <c:v>0.14099999999999999</c:v>
                </c:pt>
                <c:pt idx="61">
                  <c:v>0.09</c:v>
                </c:pt>
                <c:pt idx="62">
                  <c:v>0.1</c:v>
                </c:pt>
                <c:pt idx="63">
                  <c:v>0.1</c:v>
                </c:pt>
                <c:pt idx="64">
                  <c:v>0.158</c:v>
                </c:pt>
                <c:pt idx="65">
                  <c:v>0.107</c:v>
                </c:pt>
                <c:pt idx="66">
                  <c:v>0.1</c:v>
                </c:pt>
                <c:pt idx="67">
                  <c:v>0.107</c:v>
                </c:pt>
              </c:numCache>
            </c:numRef>
          </c:xVal>
          <c:yVal>
            <c:numRef>
              <c:f>SmallLargeComb!$AN$83:$AN$151</c:f>
              <c:numCache>
                <c:formatCode>General</c:formatCode>
                <c:ptCount val="69"/>
                <c:pt idx="0">
                  <c:v>2.8208583551617585</c:v>
                </c:pt>
                <c:pt idx="2">
                  <c:v>2.7273976262155131</c:v>
                </c:pt>
                <c:pt idx="3">
                  <c:v>1.5985002231506311</c:v>
                </c:pt>
                <c:pt idx="4">
                  <c:v>5.1033441810728712</c:v>
                </c:pt>
                <c:pt idx="5">
                  <c:v>1.7224002851331413</c:v>
                </c:pt>
                <c:pt idx="6">
                  <c:v>1.9923445460091262</c:v>
                </c:pt>
                <c:pt idx="9">
                  <c:v>1.6947999560204599</c:v>
                </c:pt>
                <c:pt idx="10">
                  <c:v>3.4401252080751781</c:v>
                </c:pt>
                <c:pt idx="12">
                  <c:v>3.5825322902223116</c:v>
                </c:pt>
                <c:pt idx="13">
                  <c:v>2.5418517231059741</c:v>
                </c:pt>
                <c:pt idx="14">
                  <c:v>2.5824731324342109</c:v>
                </c:pt>
                <c:pt idx="16">
                  <c:v>2.0874562404671408</c:v>
                </c:pt>
                <c:pt idx="17">
                  <c:v>2.7025120118681634</c:v>
                </c:pt>
                <c:pt idx="19">
                  <c:v>2.6198683255178281</c:v>
                </c:pt>
                <c:pt idx="20">
                  <c:v>3.1832053445816406</c:v>
                </c:pt>
                <c:pt idx="21">
                  <c:v>3.1051974863797551</c:v>
                </c:pt>
                <c:pt idx="22">
                  <c:v>2.9854624547102886</c:v>
                </c:pt>
                <c:pt idx="24">
                  <c:v>2.0391569457103289</c:v>
                </c:pt>
                <c:pt idx="25">
                  <c:v>2.3935363687562274</c:v>
                </c:pt>
                <c:pt idx="26">
                  <c:v>3.6032671622721644</c:v>
                </c:pt>
                <c:pt idx="27">
                  <c:v>4.0256579137905861</c:v>
                </c:pt>
                <c:pt idx="28">
                  <c:v>2.7355085773192016</c:v>
                </c:pt>
                <c:pt idx="30">
                  <c:v>2.2976948563452861</c:v>
                </c:pt>
                <c:pt idx="31">
                  <c:v>2.7477166954523806</c:v>
                </c:pt>
                <c:pt idx="32">
                  <c:v>2.0936980826939418</c:v>
                </c:pt>
                <c:pt idx="33">
                  <c:v>3.1696555734586913</c:v>
                </c:pt>
                <c:pt idx="35">
                  <c:v>3.2981566259063735</c:v>
                </c:pt>
                <c:pt idx="36">
                  <c:v>1.7513038867775303</c:v>
                </c:pt>
                <c:pt idx="37">
                  <c:v>3.6857695991632684</c:v>
                </c:pt>
                <c:pt idx="39">
                  <c:v>3.9953973023077411</c:v>
                </c:pt>
                <c:pt idx="40">
                  <c:v>1.6320561567709859</c:v>
                </c:pt>
                <c:pt idx="41">
                  <c:v>3.2804924302994412</c:v>
                </c:pt>
                <c:pt idx="42">
                  <c:v>2.4982716582210496</c:v>
                </c:pt>
                <c:pt idx="44">
                  <c:v>1.6752383026485518</c:v>
                </c:pt>
                <c:pt idx="45">
                  <c:v>3.2946913109576728</c:v>
                </c:pt>
                <c:pt idx="46">
                  <c:v>4.2593739250085996</c:v>
                </c:pt>
                <c:pt idx="47">
                  <c:v>4.8463760912112832</c:v>
                </c:pt>
                <c:pt idx="48">
                  <c:v>3.2852565897393973</c:v>
                </c:pt>
                <c:pt idx="49">
                  <c:v>3.6287160538410745</c:v>
                </c:pt>
                <c:pt idx="50">
                  <c:v>3.9370675796761336</c:v>
                </c:pt>
                <c:pt idx="51">
                  <c:v>3.4186828460894545</c:v>
                </c:pt>
                <c:pt idx="54">
                  <c:v>3.0798539939307763</c:v>
                </c:pt>
                <c:pt idx="55">
                  <c:v>2.6651841579787905</c:v>
                </c:pt>
                <c:pt idx="57">
                  <c:v>3.0637548230202882</c:v>
                </c:pt>
                <c:pt idx="58">
                  <c:v>3.458347937843206</c:v>
                </c:pt>
                <c:pt idx="59">
                  <c:v>3.8965336436705904</c:v>
                </c:pt>
                <c:pt idx="61">
                  <c:v>0</c:v>
                </c:pt>
                <c:pt idx="62">
                  <c:v>4.0821832225819277</c:v>
                </c:pt>
                <c:pt idx="63">
                  <c:v>3.2128001110091429</c:v>
                </c:pt>
                <c:pt idx="67">
                  <c:v>2.5497887620924047</c:v>
                </c:pt>
              </c:numCache>
            </c:numRef>
          </c:yVal>
          <c:smooth val="0"/>
        </c:ser>
        <c:ser>
          <c:idx val="0"/>
          <c:order val="1"/>
          <c:tx>
            <c:v>1 Axis</c:v>
          </c:tx>
          <c:spPr>
            <a:ln w="28575">
              <a:noFill/>
            </a:ln>
          </c:spPr>
          <c:marker>
            <c:symbol val="diamond"/>
            <c:size val="5"/>
          </c:marker>
          <c:xVal>
            <c:numRef>
              <c:f>SmallLargeComb!$AB$3:$AB$72</c:f>
              <c:numCache>
                <c:formatCode>0.0%</c:formatCode>
                <c:ptCount val="70"/>
                <c:pt idx="0">
                  <c:v>0.161</c:v>
                </c:pt>
                <c:pt idx="1">
                  <c:v>0.16400000000000001</c:v>
                </c:pt>
                <c:pt idx="2">
                  <c:v>0.13320000000000001</c:v>
                </c:pt>
                <c:pt idx="3">
                  <c:v>0.161</c:v>
                </c:pt>
                <c:pt idx="4">
                  <c:v>0.13769999999999999</c:v>
                </c:pt>
                <c:pt idx="6">
                  <c:v>0.19600000000000001</c:v>
                </c:pt>
                <c:pt idx="7">
                  <c:v>0.19600000000000001</c:v>
                </c:pt>
                <c:pt idx="8">
                  <c:v>0.14799999999999999</c:v>
                </c:pt>
                <c:pt idx="9">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7">
                  <c:v>0.19</c:v>
                </c:pt>
                <c:pt idx="28">
                  <c:v>0.19</c:v>
                </c:pt>
                <c:pt idx="29">
                  <c:v>0.19</c:v>
                </c:pt>
                <c:pt idx="33">
                  <c:v>0.14610000000000001</c:v>
                </c:pt>
                <c:pt idx="34">
                  <c:v>0.13919999999999999</c:v>
                </c:pt>
                <c:pt idx="35">
                  <c:v>0.14400000000000002</c:v>
                </c:pt>
                <c:pt idx="36">
                  <c:v>0.185</c:v>
                </c:pt>
                <c:pt idx="38">
                  <c:v>0.14299999999999999</c:v>
                </c:pt>
                <c:pt idx="41">
                  <c:v>0.14699999999999999</c:v>
                </c:pt>
                <c:pt idx="43">
                  <c:v>0.20100000000000001</c:v>
                </c:pt>
                <c:pt idx="44">
                  <c:v>0.20100000000000001</c:v>
                </c:pt>
                <c:pt idx="47">
                  <c:v>0.185</c:v>
                </c:pt>
                <c:pt idx="48">
                  <c:v>0.14000000000000001</c:v>
                </c:pt>
                <c:pt idx="49">
                  <c:v>0.14699999999999999</c:v>
                </c:pt>
                <c:pt idx="50">
                  <c:v>0.14699999999999999</c:v>
                </c:pt>
                <c:pt idx="52">
                  <c:v>0.19600000000000001</c:v>
                </c:pt>
                <c:pt idx="55">
                  <c:v>0.19</c:v>
                </c:pt>
                <c:pt idx="56">
                  <c:v>0.107</c:v>
                </c:pt>
                <c:pt idx="57">
                  <c:v>0.14000000000000001</c:v>
                </c:pt>
                <c:pt idx="59">
                  <c:v>0.185</c:v>
                </c:pt>
                <c:pt idx="60">
                  <c:v>0.19</c:v>
                </c:pt>
                <c:pt idx="61">
                  <c:v>0.107</c:v>
                </c:pt>
                <c:pt idx="62">
                  <c:v>0.19600000000000001</c:v>
                </c:pt>
                <c:pt idx="63">
                  <c:v>0.20100000000000001</c:v>
                </c:pt>
                <c:pt idx="64">
                  <c:v>0.107</c:v>
                </c:pt>
                <c:pt idx="65">
                  <c:v>0.1</c:v>
                </c:pt>
                <c:pt idx="66">
                  <c:v>0.1076</c:v>
                </c:pt>
                <c:pt idx="68">
                  <c:v>0.1</c:v>
                </c:pt>
              </c:numCache>
            </c:numRef>
          </c:xVal>
          <c:yVal>
            <c:numRef>
              <c:f>SmallLargeComb!$AN$3:$AN$72</c:f>
              <c:numCache>
                <c:formatCode>General</c:formatCode>
                <c:ptCount val="70"/>
                <c:pt idx="0">
                  <c:v>3.942210962839237</c:v>
                </c:pt>
                <c:pt idx="1">
                  <c:v>3.1776774094160434</c:v>
                </c:pt>
                <c:pt idx="2">
                  <c:v>3.0022753567535228</c:v>
                </c:pt>
                <c:pt idx="3">
                  <c:v>2.0712288712446481</c:v>
                </c:pt>
                <c:pt idx="4">
                  <c:v>2.2972350823368188</c:v>
                </c:pt>
                <c:pt idx="5">
                  <c:v>2.6177118489531841</c:v>
                </c:pt>
                <c:pt idx="6">
                  <c:v>4.2702941367779053</c:v>
                </c:pt>
                <c:pt idx="7">
                  <c:v>3.5873681954380028</c:v>
                </c:pt>
                <c:pt idx="8">
                  <c:v>2.953577046486791</c:v>
                </c:pt>
                <c:pt idx="9">
                  <c:v>2.5715139097235875</c:v>
                </c:pt>
                <c:pt idx="10">
                  <c:v>2.6930983713816299</c:v>
                </c:pt>
                <c:pt idx="11">
                  <c:v>3.3479483168985662</c:v>
                </c:pt>
                <c:pt idx="12">
                  <c:v>3.0691715323091886</c:v>
                </c:pt>
                <c:pt idx="13">
                  <c:v>2.910091688586677</c:v>
                </c:pt>
                <c:pt idx="14">
                  <c:v>2.9545271413606935</c:v>
                </c:pt>
                <c:pt idx="15">
                  <c:v>2.6679639689728534</c:v>
                </c:pt>
                <c:pt idx="16">
                  <c:v>3.4192119267994525</c:v>
                </c:pt>
                <c:pt idx="17">
                  <c:v>3.9400049378651958</c:v>
                </c:pt>
                <c:pt idx="18">
                  <c:v>2.4493595288357604</c:v>
                </c:pt>
                <c:pt idx="19">
                  <c:v>3.5118445141271257</c:v>
                </c:pt>
                <c:pt idx="20">
                  <c:v>2.5780750210304295</c:v>
                </c:pt>
                <c:pt idx="21">
                  <c:v>2.907481037797782</c:v>
                </c:pt>
                <c:pt idx="22">
                  <c:v>3.3537331612232997</c:v>
                </c:pt>
                <c:pt idx="23">
                  <c:v>2.9533952969987567</c:v>
                </c:pt>
                <c:pt idx="25">
                  <c:v>3.0064930038971354</c:v>
                </c:pt>
                <c:pt idx="26">
                  <c:v>2.2255295077332118</c:v>
                </c:pt>
                <c:pt idx="29">
                  <c:v>2.5096737949102974</c:v>
                </c:pt>
                <c:pt idx="30">
                  <c:v>2.3696143073426881</c:v>
                </c:pt>
                <c:pt idx="31">
                  <c:v>2.4359661175454428</c:v>
                </c:pt>
                <c:pt idx="32">
                  <c:v>2.2536607583576682</c:v>
                </c:pt>
                <c:pt idx="34">
                  <c:v>2.2560393953969951</c:v>
                </c:pt>
                <c:pt idx="37">
                  <c:v>2.176167907286898</c:v>
                </c:pt>
                <c:pt idx="39">
                  <c:v>3.2876257379428546</c:v>
                </c:pt>
                <c:pt idx="40">
                  <c:v>3.4085255455741112</c:v>
                </c:pt>
                <c:pt idx="41">
                  <c:v>2.6524893906679452</c:v>
                </c:pt>
                <c:pt idx="43">
                  <c:v>2.7463862620662556</c:v>
                </c:pt>
                <c:pt idx="46">
                  <c:v>3.0290006344528355</c:v>
                </c:pt>
                <c:pt idx="49">
                  <c:v>2.533646062704332</c:v>
                </c:pt>
                <c:pt idx="50">
                  <c:v>3.0010448945912129</c:v>
                </c:pt>
                <c:pt idx="51">
                  <c:v>3.8488393932180811</c:v>
                </c:pt>
                <c:pt idx="52">
                  <c:v>2.3256687381008097</c:v>
                </c:pt>
                <c:pt idx="55">
                  <c:v>2.3474736900541662</c:v>
                </c:pt>
                <c:pt idx="56">
                  <c:v>3.1931105763064784</c:v>
                </c:pt>
                <c:pt idx="57">
                  <c:v>2.6727452530135198</c:v>
                </c:pt>
                <c:pt idx="60">
                  <c:v>3.4139726313194054</c:v>
                </c:pt>
                <c:pt idx="66">
                  <c:v>3.2309072387526419</c:v>
                </c:pt>
                <c:pt idx="68">
                  <c:v>3.853255597869655</c:v>
                </c:pt>
              </c:numCache>
            </c:numRef>
          </c:yVal>
          <c:smooth val="0"/>
        </c:ser>
        <c:ser>
          <c:idx val="2"/>
          <c:order val="2"/>
          <c:tx>
            <c:v>2 Axis</c:v>
          </c:tx>
          <c:spPr>
            <a:ln w="28575">
              <a:noFill/>
            </a:ln>
          </c:spPr>
          <c:marker>
            <c:symbol val="square"/>
            <c:size val="5"/>
            <c:spPr>
              <a:solidFill>
                <a:srgbClr val="C00000"/>
              </a:solidFill>
              <a:ln>
                <a:solidFill>
                  <a:srgbClr val="C00000"/>
                </a:solidFill>
              </a:ln>
            </c:spPr>
          </c:marker>
          <c:xVal>
            <c:numRef>
              <c:f>SmallLargeComb!$AB$73:$AB$76</c:f>
              <c:numCache>
                <c:formatCode>0.0%</c:formatCode>
                <c:ptCount val="4"/>
                <c:pt idx="0">
                  <c:v>0.14000000000000001</c:v>
                </c:pt>
                <c:pt idx="2">
                  <c:v>0.14280000000000001</c:v>
                </c:pt>
                <c:pt idx="3">
                  <c:v>0.14399999999999999</c:v>
                </c:pt>
              </c:numCache>
            </c:numRef>
          </c:xVal>
          <c:yVal>
            <c:numRef>
              <c:f>SmallLargeComb!$AN$73:$AN$76</c:f>
              <c:numCache>
                <c:formatCode>General</c:formatCode>
                <c:ptCount val="4"/>
                <c:pt idx="0">
                  <c:v>3.5988193285753147</c:v>
                </c:pt>
                <c:pt idx="1">
                  <c:v>5.7908601705701015</c:v>
                </c:pt>
                <c:pt idx="2">
                  <c:v>2.3162629745208201</c:v>
                </c:pt>
                <c:pt idx="3">
                  <c:v>2.8117305889925341</c:v>
                </c:pt>
              </c:numCache>
            </c:numRef>
          </c:yVal>
          <c:smooth val="0"/>
        </c:ser>
        <c:ser>
          <c:idx val="3"/>
          <c:order val="3"/>
          <c:tx>
            <c:v>CPV</c:v>
          </c:tx>
          <c:spPr>
            <a:ln w="28575">
              <a:noFill/>
            </a:ln>
          </c:spPr>
          <c:marker>
            <c:symbol val="circle"/>
            <c:size val="5"/>
          </c:marker>
          <c:xVal>
            <c:numRef>
              <c:f>SmallLargeComb!$AB$77:$AB$82</c:f>
              <c:numCache>
                <c:formatCode>0.0%</c:formatCode>
                <c:ptCount val="6"/>
                <c:pt idx="0">
                  <c:v>0.25</c:v>
                </c:pt>
                <c:pt idx="1">
                  <c:v>0.25</c:v>
                </c:pt>
                <c:pt idx="2">
                  <c:v>0.25</c:v>
                </c:pt>
                <c:pt idx="3">
                  <c:v>0.28999999999999998</c:v>
                </c:pt>
                <c:pt idx="4">
                  <c:v>0.28999999999999998</c:v>
                </c:pt>
                <c:pt idx="5">
                  <c:v>0.31</c:v>
                </c:pt>
              </c:numCache>
            </c:numRef>
          </c:xVal>
          <c:yVal>
            <c:numRef>
              <c:f>SmallLargeComb!$AN$77:$AN$82</c:f>
              <c:numCache>
                <c:formatCode>General</c:formatCode>
                <c:ptCount val="6"/>
                <c:pt idx="0">
                  <c:v>3.0593871583296535</c:v>
                </c:pt>
                <c:pt idx="1">
                  <c:v>3.5634002164682372</c:v>
                </c:pt>
                <c:pt idx="3">
                  <c:v>1.8707370894676638</c:v>
                </c:pt>
                <c:pt idx="4">
                  <c:v>1.9972794784467423</c:v>
                </c:pt>
                <c:pt idx="5">
                  <c:v>1.959991292074817</c:v>
                </c:pt>
              </c:numCache>
            </c:numRef>
          </c:yVal>
          <c:smooth val="0"/>
        </c:ser>
        <c:dLbls>
          <c:showLegendKey val="0"/>
          <c:showVal val="0"/>
          <c:showCatName val="0"/>
          <c:showSerName val="0"/>
          <c:showPercent val="0"/>
          <c:showBubbleSize val="0"/>
        </c:dLbls>
        <c:axId val="130255488"/>
        <c:axId val="130265856"/>
      </c:scatterChart>
      <c:valAx>
        <c:axId val="130255488"/>
        <c:scaling>
          <c:orientation val="minMax"/>
          <c:max val="0.32000000000000006"/>
          <c:min val="8.0000000000000016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30265856"/>
        <c:crosses val="autoZero"/>
        <c:crossBetween val="midCat"/>
      </c:valAx>
      <c:valAx>
        <c:axId val="130265856"/>
        <c:scaling>
          <c:orientation val="minMax"/>
        </c:scaling>
        <c:delete val="0"/>
        <c:axPos val="l"/>
        <c:majorGridlines>
          <c:spPr>
            <a:ln>
              <a:noFill/>
            </a:ln>
          </c:spPr>
        </c:majorGridlines>
        <c:title>
          <c:tx>
            <c:rich>
              <a:bodyPr rot="-5400000" vert="horz"/>
              <a:lstStyle/>
              <a:p>
                <a:pPr>
                  <a:defRPr/>
                </a:pPr>
                <a:r>
                  <a:rPr lang="en-US"/>
                  <a:t>Direct Land Use (Acres/GWh/yr)</a:t>
                </a:r>
              </a:p>
            </c:rich>
          </c:tx>
          <c:overlay val="0"/>
        </c:title>
        <c:numFmt formatCode="0" sourceLinked="0"/>
        <c:majorTickMark val="out"/>
        <c:minorTickMark val="none"/>
        <c:tickLblPos val="nextTo"/>
        <c:crossAx val="130255488"/>
        <c:crosses val="autoZero"/>
        <c:crossBetween val="midCat"/>
      </c:valAx>
    </c:plotArea>
    <c:legend>
      <c:legendPos val="r"/>
      <c:layout>
        <c:manualLayout>
          <c:xMode val="edge"/>
          <c:yMode val="edge"/>
          <c:x val="0.77264671632870519"/>
          <c:y val="6.0161750614506515E-2"/>
          <c:w val="0.15774369939321889"/>
          <c:h val="0.27355095390874523"/>
        </c:manualLayout>
      </c:layou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1-Axis Total</a:t>
            </a:r>
            <a:r>
              <a:rPr lang="en-US" baseline="0"/>
              <a:t> Area</a:t>
            </a:r>
            <a:endParaRPr lang="en-US"/>
          </a:p>
        </c:rich>
      </c:tx>
      <c:layout/>
      <c:overlay val="0"/>
    </c:title>
    <c:autoTitleDeleted val="0"/>
    <c:plotArea>
      <c:layout/>
      <c:barChart>
        <c:barDir val="col"/>
        <c:grouping val="clustered"/>
        <c:varyColors val="0"/>
        <c:ser>
          <c:idx val="0"/>
          <c:order val="0"/>
          <c:tx>
            <c:v>Frequency</c:v>
          </c:tx>
          <c:invertIfNegative val="0"/>
          <c:cat>
            <c:strRef>
              <c:f>SmallLargeComb!$A$250:$A$261</c:f>
              <c:strCache>
                <c:ptCount val="12"/>
                <c:pt idx="0">
                  <c:v>0-4</c:v>
                </c:pt>
                <c:pt idx="1">
                  <c:v>5</c:v>
                </c:pt>
                <c:pt idx="2">
                  <c:v>6</c:v>
                </c:pt>
                <c:pt idx="3">
                  <c:v>7</c:v>
                </c:pt>
                <c:pt idx="4">
                  <c:v>8</c:v>
                </c:pt>
                <c:pt idx="5">
                  <c:v>9</c:v>
                </c:pt>
                <c:pt idx="6">
                  <c:v>10</c:v>
                </c:pt>
                <c:pt idx="7">
                  <c:v>11</c:v>
                </c:pt>
                <c:pt idx="8">
                  <c:v>12</c:v>
                </c:pt>
                <c:pt idx="9">
                  <c:v>13</c:v>
                </c:pt>
                <c:pt idx="10">
                  <c:v>13 -14</c:v>
                </c:pt>
                <c:pt idx="11">
                  <c:v>&gt; 14</c:v>
                </c:pt>
              </c:strCache>
            </c:strRef>
          </c:cat>
          <c:val>
            <c:numRef>
              <c:f>SmallLargeComb!$B$250:$B$261</c:f>
              <c:numCache>
                <c:formatCode>General</c:formatCode>
                <c:ptCount val="12"/>
                <c:pt idx="0">
                  <c:v>0</c:v>
                </c:pt>
                <c:pt idx="1">
                  <c:v>1</c:v>
                </c:pt>
                <c:pt idx="2">
                  <c:v>6</c:v>
                </c:pt>
                <c:pt idx="3">
                  <c:v>4</c:v>
                </c:pt>
                <c:pt idx="4">
                  <c:v>17</c:v>
                </c:pt>
                <c:pt idx="5">
                  <c:v>11</c:v>
                </c:pt>
                <c:pt idx="6">
                  <c:v>11</c:v>
                </c:pt>
                <c:pt idx="7">
                  <c:v>10</c:v>
                </c:pt>
                <c:pt idx="8">
                  <c:v>5</c:v>
                </c:pt>
                <c:pt idx="9">
                  <c:v>5</c:v>
                </c:pt>
                <c:pt idx="10">
                  <c:v>0</c:v>
                </c:pt>
                <c:pt idx="11">
                  <c:v>0</c:v>
                </c:pt>
              </c:numCache>
            </c:numRef>
          </c:val>
        </c:ser>
        <c:dLbls>
          <c:showLegendKey val="0"/>
          <c:showVal val="0"/>
          <c:showCatName val="0"/>
          <c:showSerName val="0"/>
          <c:showPercent val="0"/>
          <c:showBubbleSize val="0"/>
        </c:dLbls>
        <c:gapWidth val="150"/>
        <c:axId val="130285952"/>
        <c:axId val="130287872"/>
      </c:barChart>
      <c:catAx>
        <c:axId val="130285952"/>
        <c:scaling>
          <c:orientation val="minMax"/>
        </c:scaling>
        <c:delete val="0"/>
        <c:axPos val="b"/>
        <c:title>
          <c:tx>
            <c:rich>
              <a:bodyPr/>
              <a:lstStyle/>
              <a:p>
                <a:pPr>
                  <a:defRPr/>
                </a:pPr>
                <a:r>
                  <a:rPr lang="en-US"/>
                  <a:t>Total Area Acres/MWac</a:t>
                </a:r>
              </a:p>
            </c:rich>
          </c:tx>
          <c:layout/>
          <c:overlay val="0"/>
        </c:title>
        <c:numFmt formatCode="General" sourceLinked="1"/>
        <c:majorTickMark val="out"/>
        <c:minorTickMark val="none"/>
        <c:tickLblPos val="nextTo"/>
        <c:crossAx val="130287872"/>
        <c:crosses val="autoZero"/>
        <c:auto val="1"/>
        <c:lblAlgn val="ctr"/>
        <c:lblOffset val="100"/>
        <c:noMultiLvlLbl val="0"/>
      </c:catAx>
      <c:valAx>
        <c:axId val="130287872"/>
        <c:scaling>
          <c:orientation val="minMax"/>
        </c:scaling>
        <c:delete val="0"/>
        <c:axPos val="l"/>
        <c:majorGridlines/>
        <c:minorGridlines/>
        <c:title>
          <c:tx>
            <c:rich>
              <a:bodyPr/>
              <a:lstStyle/>
              <a:p>
                <a:pPr>
                  <a:defRPr/>
                </a:pPr>
                <a:r>
                  <a:rPr lang="en-US"/>
                  <a:t>Frequency</a:t>
                </a:r>
              </a:p>
            </c:rich>
          </c:tx>
          <c:layout/>
          <c:overlay val="0"/>
        </c:title>
        <c:numFmt formatCode="General" sourceLinked="1"/>
        <c:majorTickMark val="out"/>
        <c:minorTickMark val="none"/>
        <c:tickLblPos val="nextTo"/>
        <c:crossAx val="130285952"/>
        <c:crosses val="autoZero"/>
        <c:crossBetween val="between"/>
        <c:minorUnit val="1"/>
      </c:valAx>
    </c:plotArea>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Fixed Total Area</a:t>
            </a:r>
          </a:p>
        </c:rich>
      </c:tx>
      <c:overlay val="0"/>
    </c:title>
    <c:autoTitleDeleted val="0"/>
    <c:plotArea>
      <c:layout/>
      <c:barChart>
        <c:barDir val="col"/>
        <c:grouping val="clustered"/>
        <c:varyColors val="0"/>
        <c:ser>
          <c:idx val="0"/>
          <c:order val="0"/>
          <c:tx>
            <c:v>Frequency</c:v>
          </c:tx>
          <c:invertIfNegative val="0"/>
          <c:cat>
            <c:strRef>
              <c:f>SmallLargeComb!$A$270:$A$283</c:f>
              <c:strCache>
                <c:ptCount val="14"/>
                <c:pt idx="0">
                  <c:v>0 - 2</c:v>
                </c:pt>
                <c:pt idx="1">
                  <c:v>2 - 3</c:v>
                </c:pt>
                <c:pt idx="2">
                  <c:v>4</c:v>
                </c:pt>
                <c:pt idx="3">
                  <c:v>5</c:v>
                </c:pt>
                <c:pt idx="4">
                  <c:v>6</c:v>
                </c:pt>
                <c:pt idx="5">
                  <c:v>7</c:v>
                </c:pt>
                <c:pt idx="6">
                  <c:v>8</c:v>
                </c:pt>
                <c:pt idx="7">
                  <c:v>9</c:v>
                </c:pt>
                <c:pt idx="8">
                  <c:v>10</c:v>
                </c:pt>
                <c:pt idx="9">
                  <c:v>11</c:v>
                </c:pt>
                <c:pt idx="10">
                  <c:v>12</c:v>
                </c:pt>
                <c:pt idx="11">
                  <c:v>13</c:v>
                </c:pt>
                <c:pt idx="12">
                  <c:v>13 - 14</c:v>
                </c:pt>
                <c:pt idx="13">
                  <c:v>&gt; 14</c:v>
                </c:pt>
              </c:strCache>
            </c:strRef>
          </c:cat>
          <c:val>
            <c:numRef>
              <c:f>SmallLargeComb!$B$270:$B$283</c:f>
              <c:numCache>
                <c:formatCode>General</c:formatCode>
                <c:ptCount val="14"/>
                <c:pt idx="0">
                  <c:v>0</c:v>
                </c:pt>
                <c:pt idx="1">
                  <c:v>1</c:v>
                </c:pt>
                <c:pt idx="2">
                  <c:v>3</c:v>
                </c:pt>
                <c:pt idx="3">
                  <c:v>8</c:v>
                </c:pt>
                <c:pt idx="4">
                  <c:v>9</c:v>
                </c:pt>
                <c:pt idx="5">
                  <c:v>10</c:v>
                </c:pt>
                <c:pt idx="6">
                  <c:v>13</c:v>
                </c:pt>
                <c:pt idx="7">
                  <c:v>8</c:v>
                </c:pt>
                <c:pt idx="8">
                  <c:v>6</c:v>
                </c:pt>
                <c:pt idx="9">
                  <c:v>3</c:v>
                </c:pt>
                <c:pt idx="10">
                  <c:v>5</c:v>
                </c:pt>
                <c:pt idx="11">
                  <c:v>1</c:v>
                </c:pt>
                <c:pt idx="12">
                  <c:v>2</c:v>
                </c:pt>
                <c:pt idx="13">
                  <c:v>0</c:v>
                </c:pt>
              </c:numCache>
            </c:numRef>
          </c:val>
        </c:ser>
        <c:dLbls>
          <c:showLegendKey val="0"/>
          <c:showVal val="0"/>
          <c:showCatName val="0"/>
          <c:showSerName val="0"/>
          <c:showPercent val="0"/>
          <c:showBubbleSize val="0"/>
        </c:dLbls>
        <c:gapWidth val="150"/>
        <c:axId val="130304256"/>
        <c:axId val="130326912"/>
      </c:barChart>
      <c:catAx>
        <c:axId val="130304256"/>
        <c:scaling>
          <c:orientation val="minMax"/>
        </c:scaling>
        <c:delete val="0"/>
        <c:axPos val="b"/>
        <c:title>
          <c:tx>
            <c:rich>
              <a:bodyPr/>
              <a:lstStyle/>
              <a:p>
                <a:pPr>
                  <a:defRPr/>
                </a:pPr>
                <a:r>
                  <a:rPr lang="en-US"/>
                  <a:t>Total Area Acres/MW</a:t>
                </a:r>
              </a:p>
            </c:rich>
          </c:tx>
          <c:overlay val="0"/>
        </c:title>
        <c:numFmt formatCode="General" sourceLinked="1"/>
        <c:majorTickMark val="out"/>
        <c:minorTickMark val="none"/>
        <c:tickLblPos val="nextTo"/>
        <c:crossAx val="130326912"/>
        <c:crosses val="autoZero"/>
        <c:auto val="1"/>
        <c:lblAlgn val="ctr"/>
        <c:lblOffset val="100"/>
        <c:noMultiLvlLbl val="0"/>
      </c:catAx>
      <c:valAx>
        <c:axId val="130326912"/>
        <c:scaling>
          <c:orientation val="minMax"/>
        </c:scaling>
        <c:delete val="0"/>
        <c:axPos val="l"/>
        <c:majorGridlines/>
        <c:minorGridlines/>
        <c:title>
          <c:tx>
            <c:rich>
              <a:bodyPr/>
              <a:lstStyle/>
              <a:p>
                <a:pPr>
                  <a:defRPr/>
                </a:pPr>
                <a:r>
                  <a:rPr lang="en-US"/>
                  <a:t>Frequency</a:t>
                </a:r>
              </a:p>
            </c:rich>
          </c:tx>
          <c:overlay val="0"/>
        </c:title>
        <c:numFmt formatCode="General" sourceLinked="1"/>
        <c:majorTickMark val="out"/>
        <c:minorTickMark val="none"/>
        <c:tickLblPos val="nextTo"/>
        <c:crossAx val="130304256"/>
        <c:crosses val="autoZero"/>
        <c:crossBetween val="between"/>
        <c:minorUnit val="1"/>
      </c:valAx>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1-Axis Direct Area</a:t>
            </a:r>
          </a:p>
        </c:rich>
      </c:tx>
      <c:overlay val="0"/>
    </c:title>
    <c:autoTitleDeleted val="0"/>
    <c:plotArea>
      <c:layout/>
      <c:barChart>
        <c:barDir val="col"/>
        <c:grouping val="clustered"/>
        <c:varyColors val="0"/>
        <c:ser>
          <c:idx val="0"/>
          <c:order val="0"/>
          <c:invertIfNegative val="0"/>
          <c:cat>
            <c:strRef>
              <c:f>SmallLargeComb!$A$295:$A$306</c:f>
              <c:strCache>
                <c:ptCount val="12"/>
                <c:pt idx="0">
                  <c:v>2</c:v>
                </c:pt>
                <c:pt idx="1">
                  <c:v>3</c:v>
                </c:pt>
                <c:pt idx="2">
                  <c:v>4</c:v>
                </c:pt>
                <c:pt idx="3">
                  <c:v>5</c:v>
                </c:pt>
                <c:pt idx="4">
                  <c:v>6</c:v>
                </c:pt>
                <c:pt idx="5">
                  <c:v>7</c:v>
                </c:pt>
                <c:pt idx="6">
                  <c:v>8</c:v>
                </c:pt>
                <c:pt idx="7">
                  <c:v>9</c:v>
                </c:pt>
                <c:pt idx="8">
                  <c:v>10</c:v>
                </c:pt>
                <c:pt idx="9">
                  <c:v>11</c:v>
                </c:pt>
                <c:pt idx="10">
                  <c:v>12</c:v>
                </c:pt>
                <c:pt idx="11">
                  <c:v>More</c:v>
                </c:pt>
              </c:strCache>
            </c:strRef>
          </c:cat>
          <c:val>
            <c:numRef>
              <c:f>SmallLargeComb!$B$295:$B$306</c:f>
              <c:numCache>
                <c:formatCode>General</c:formatCode>
                <c:ptCount val="12"/>
                <c:pt idx="0">
                  <c:v>0</c:v>
                </c:pt>
                <c:pt idx="1">
                  <c:v>0</c:v>
                </c:pt>
                <c:pt idx="2">
                  <c:v>2</c:v>
                </c:pt>
                <c:pt idx="3">
                  <c:v>3</c:v>
                </c:pt>
                <c:pt idx="4">
                  <c:v>13</c:v>
                </c:pt>
                <c:pt idx="5">
                  <c:v>9</c:v>
                </c:pt>
                <c:pt idx="6">
                  <c:v>11</c:v>
                </c:pt>
                <c:pt idx="7">
                  <c:v>6</c:v>
                </c:pt>
                <c:pt idx="8">
                  <c:v>2</c:v>
                </c:pt>
                <c:pt idx="9">
                  <c:v>1</c:v>
                </c:pt>
                <c:pt idx="10">
                  <c:v>0</c:v>
                </c:pt>
                <c:pt idx="11">
                  <c:v>0</c:v>
                </c:pt>
              </c:numCache>
            </c:numRef>
          </c:val>
        </c:ser>
        <c:dLbls>
          <c:showLegendKey val="0"/>
          <c:showVal val="0"/>
          <c:showCatName val="0"/>
          <c:showSerName val="0"/>
          <c:showPercent val="0"/>
          <c:showBubbleSize val="0"/>
        </c:dLbls>
        <c:gapWidth val="150"/>
        <c:axId val="132776320"/>
        <c:axId val="132778240"/>
      </c:barChart>
      <c:catAx>
        <c:axId val="132776320"/>
        <c:scaling>
          <c:orientation val="minMax"/>
        </c:scaling>
        <c:delete val="0"/>
        <c:axPos val="b"/>
        <c:title>
          <c:tx>
            <c:rich>
              <a:bodyPr/>
              <a:lstStyle/>
              <a:p>
                <a:pPr>
                  <a:defRPr/>
                </a:pPr>
                <a:r>
                  <a:rPr lang="en-US"/>
                  <a:t>Direct Area Acres/MW</a:t>
                </a:r>
              </a:p>
            </c:rich>
          </c:tx>
          <c:overlay val="0"/>
        </c:title>
        <c:numFmt formatCode="General" sourceLinked="1"/>
        <c:majorTickMark val="out"/>
        <c:minorTickMark val="none"/>
        <c:tickLblPos val="nextTo"/>
        <c:crossAx val="132778240"/>
        <c:crosses val="autoZero"/>
        <c:auto val="1"/>
        <c:lblAlgn val="ctr"/>
        <c:lblOffset val="100"/>
        <c:noMultiLvlLbl val="0"/>
      </c:catAx>
      <c:valAx>
        <c:axId val="132778240"/>
        <c:scaling>
          <c:orientation val="minMax"/>
        </c:scaling>
        <c:delete val="0"/>
        <c:axPos val="l"/>
        <c:majorGridlines/>
        <c:minorGridlines/>
        <c:title>
          <c:tx>
            <c:rich>
              <a:bodyPr/>
              <a:lstStyle/>
              <a:p>
                <a:pPr>
                  <a:defRPr/>
                </a:pPr>
                <a:r>
                  <a:rPr lang="en-US"/>
                  <a:t>Frequency</a:t>
                </a:r>
              </a:p>
            </c:rich>
          </c:tx>
          <c:overlay val="0"/>
        </c:title>
        <c:numFmt formatCode="General" sourceLinked="1"/>
        <c:majorTickMark val="out"/>
        <c:minorTickMark val="none"/>
        <c:tickLblPos val="nextTo"/>
        <c:crossAx val="132776320"/>
        <c:crosses val="autoZero"/>
        <c:crossBetween val="between"/>
        <c:minorUnit val="1"/>
      </c:valAx>
    </c:plotArea>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Fixed Direct Area</a:t>
            </a:r>
          </a:p>
        </c:rich>
      </c:tx>
      <c:overlay val="0"/>
    </c:title>
    <c:autoTitleDeleted val="0"/>
    <c:plotArea>
      <c:layout/>
      <c:barChart>
        <c:barDir val="col"/>
        <c:grouping val="clustered"/>
        <c:varyColors val="0"/>
        <c:ser>
          <c:idx val="0"/>
          <c:order val="0"/>
          <c:invertIfNegative val="0"/>
          <c:cat>
            <c:strRef>
              <c:f>SmallLargeComb!$A$315:$A$326</c:f>
              <c:strCache>
                <c:ptCount val="12"/>
                <c:pt idx="0">
                  <c:v>2</c:v>
                </c:pt>
                <c:pt idx="1">
                  <c:v>3</c:v>
                </c:pt>
                <c:pt idx="2">
                  <c:v>4</c:v>
                </c:pt>
                <c:pt idx="3">
                  <c:v>5</c:v>
                </c:pt>
                <c:pt idx="4">
                  <c:v>6</c:v>
                </c:pt>
                <c:pt idx="5">
                  <c:v>7</c:v>
                </c:pt>
                <c:pt idx="6">
                  <c:v>8</c:v>
                </c:pt>
                <c:pt idx="7">
                  <c:v>9</c:v>
                </c:pt>
                <c:pt idx="8">
                  <c:v>10</c:v>
                </c:pt>
                <c:pt idx="9">
                  <c:v>11</c:v>
                </c:pt>
                <c:pt idx="10">
                  <c:v>12</c:v>
                </c:pt>
                <c:pt idx="11">
                  <c:v>More</c:v>
                </c:pt>
              </c:strCache>
            </c:strRef>
          </c:cat>
          <c:val>
            <c:numRef>
              <c:f>SmallLargeComb!$B$315:$B$326</c:f>
              <c:numCache>
                <c:formatCode>General</c:formatCode>
                <c:ptCount val="12"/>
                <c:pt idx="0">
                  <c:v>0</c:v>
                </c:pt>
                <c:pt idx="1">
                  <c:v>4</c:v>
                </c:pt>
                <c:pt idx="2">
                  <c:v>7</c:v>
                </c:pt>
                <c:pt idx="3">
                  <c:v>11</c:v>
                </c:pt>
                <c:pt idx="4">
                  <c:v>11</c:v>
                </c:pt>
                <c:pt idx="5">
                  <c:v>12</c:v>
                </c:pt>
                <c:pt idx="6">
                  <c:v>5</c:v>
                </c:pt>
                <c:pt idx="7">
                  <c:v>1</c:v>
                </c:pt>
                <c:pt idx="8">
                  <c:v>0</c:v>
                </c:pt>
                <c:pt idx="9">
                  <c:v>0</c:v>
                </c:pt>
                <c:pt idx="10">
                  <c:v>1</c:v>
                </c:pt>
                <c:pt idx="11">
                  <c:v>0</c:v>
                </c:pt>
              </c:numCache>
            </c:numRef>
          </c:val>
        </c:ser>
        <c:dLbls>
          <c:showLegendKey val="0"/>
          <c:showVal val="0"/>
          <c:showCatName val="0"/>
          <c:showSerName val="0"/>
          <c:showPercent val="0"/>
          <c:showBubbleSize val="0"/>
        </c:dLbls>
        <c:gapWidth val="150"/>
        <c:axId val="132798720"/>
        <c:axId val="132817280"/>
      </c:barChart>
      <c:catAx>
        <c:axId val="132798720"/>
        <c:scaling>
          <c:orientation val="minMax"/>
        </c:scaling>
        <c:delete val="0"/>
        <c:axPos val="b"/>
        <c:title>
          <c:tx>
            <c:rich>
              <a:bodyPr/>
              <a:lstStyle/>
              <a:p>
                <a:pPr>
                  <a:defRPr/>
                </a:pPr>
                <a:r>
                  <a:rPr lang="en-US"/>
                  <a:t>Direct Area Acres/MW</a:t>
                </a:r>
              </a:p>
            </c:rich>
          </c:tx>
          <c:overlay val="0"/>
        </c:title>
        <c:numFmt formatCode="General" sourceLinked="1"/>
        <c:majorTickMark val="out"/>
        <c:minorTickMark val="none"/>
        <c:tickLblPos val="nextTo"/>
        <c:crossAx val="132817280"/>
        <c:crosses val="autoZero"/>
        <c:auto val="1"/>
        <c:lblAlgn val="ctr"/>
        <c:lblOffset val="100"/>
        <c:noMultiLvlLbl val="0"/>
      </c:catAx>
      <c:valAx>
        <c:axId val="132817280"/>
        <c:scaling>
          <c:orientation val="minMax"/>
        </c:scaling>
        <c:delete val="0"/>
        <c:axPos val="l"/>
        <c:majorGridlines/>
        <c:minorGridlines/>
        <c:title>
          <c:tx>
            <c:rich>
              <a:bodyPr/>
              <a:lstStyle/>
              <a:p>
                <a:pPr>
                  <a:defRPr/>
                </a:pPr>
                <a:r>
                  <a:rPr lang="en-US"/>
                  <a:t>Frequency</a:t>
                </a:r>
              </a:p>
            </c:rich>
          </c:tx>
          <c:overlay val="0"/>
        </c:title>
        <c:numFmt formatCode="General" sourceLinked="1"/>
        <c:majorTickMark val="out"/>
        <c:minorTickMark val="none"/>
        <c:tickLblPos val="nextTo"/>
        <c:crossAx val="132798720"/>
        <c:crosses val="autoZero"/>
        <c:crossBetween val="between"/>
        <c:minorUnit val="1"/>
      </c:valAx>
    </c:plotArea>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spPr>
            <a:ln w="28575">
              <a:noFill/>
            </a:ln>
          </c:spPr>
          <c:marker>
            <c:symbol val="diamond"/>
            <c:size val="6"/>
          </c:marker>
          <c:trendline>
            <c:trendlineType val="linear"/>
            <c:dispRSqr val="1"/>
            <c:dispEq val="0"/>
            <c:trendlineLbl>
              <c:numFmt formatCode="General" sourceLinked="0"/>
            </c:trendlineLbl>
          </c:trendline>
          <c:xVal>
            <c:numRef>
              <c:f>Misc!$K$23:$K$30</c:f>
              <c:numCache>
                <c:formatCode>General</c:formatCode>
                <c:ptCount val="8"/>
                <c:pt idx="0">
                  <c:v>0.5</c:v>
                </c:pt>
                <c:pt idx="1">
                  <c:v>3</c:v>
                </c:pt>
                <c:pt idx="2">
                  <c:v>6</c:v>
                </c:pt>
                <c:pt idx="3">
                  <c:v>7</c:v>
                </c:pt>
                <c:pt idx="4">
                  <c:v>10</c:v>
                </c:pt>
                <c:pt idx="5">
                  <c:v>10</c:v>
                </c:pt>
                <c:pt idx="6">
                  <c:v>10</c:v>
                </c:pt>
                <c:pt idx="7">
                  <c:v>15</c:v>
                </c:pt>
              </c:numCache>
            </c:numRef>
          </c:xVal>
          <c:yVal>
            <c:numRef>
              <c:f>Misc!$E$23:$E$30</c:f>
              <c:numCache>
                <c:formatCode>0.00</c:formatCode>
                <c:ptCount val="8"/>
                <c:pt idx="0">
                  <c:v>6.25</c:v>
                </c:pt>
                <c:pt idx="1">
                  <c:v>13.2</c:v>
                </c:pt>
                <c:pt idx="2">
                  <c:v>6.8571428571428568</c:v>
                </c:pt>
                <c:pt idx="3">
                  <c:v>17.066666666666666</c:v>
                </c:pt>
                <c:pt idx="4">
                  <c:v>16.75</c:v>
                </c:pt>
                <c:pt idx="5">
                  <c:v>17.066666666666666</c:v>
                </c:pt>
                <c:pt idx="6">
                  <c:v>14.545454545454545</c:v>
                </c:pt>
                <c:pt idx="7">
                  <c:v>15</c:v>
                </c:pt>
              </c:numCache>
            </c:numRef>
          </c:yVal>
          <c:smooth val="0"/>
        </c:ser>
        <c:dLbls>
          <c:showLegendKey val="0"/>
          <c:showVal val="0"/>
          <c:showCatName val="0"/>
          <c:showSerName val="0"/>
          <c:showPercent val="0"/>
          <c:showBubbleSize val="0"/>
        </c:dLbls>
        <c:axId val="131582592"/>
        <c:axId val="136282880"/>
      </c:scatterChart>
      <c:valAx>
        <c:axId val="131582592"/>
        <c:scaling>
          <c:orientation val="minMax"/>
          <c:min val="1.0000000000000002E-2"/>
        </c:scaling>
        <c:delete val="0"/>
        <c:axPos val="b"/>
        <c:title>
          <c:tx>
            <c:rich>
              <a:bodyPr/>
              <a:lstStyle/>
              <a:p>
                <a:pPr>
                  <a:defRPr/>
                </a:pPr>
                <a:r>
                  <a:rPr lang="en-US"/>
                  <a:t>Storage (hours)</a:t>
                </a:r>
              </a:p>
            </c:rich>
          </c:tx>
          <c:overlay val="0"/>
        </c:title>
        <c:numFmt formatCode="#,##0" sourceLinked="0"/>
        <c:majorTickMark val="out"/>
        <c:minorTickMark val="none"/>
        <c:tickLblPos val="nextTo"/>
        <c:crossAx val="136282880"/>
        <c:crosses val="autoZero"/>
        <c:crossBetween val="midCat"/>
      </c:valAx>
      <c:valAx>
        <c:axId val="136282880"/>
        <c:scaling>
          <c:orientation val="minMax"/>
        </c:scaling>
        <c:delete val="0"/>
        <c:axPos val="l"/>
        <c:majorGridlines>
          <c:spPr>
            <a:ln>
              <a:noFill/>
            </a:ln>
          </c:spPr>
        </c:majorGridlines>
        <c:title>
          <c:tx>
            <c:rich>
              <a:bodyPr rot="-5400000" vert="horz"/>
              <a:lstStyle/>
              <a:p>
                <a:pPr>
                  <a:defRPr/>
                </a:pPr>
                <a:r>
                  <a:rPr lang="en-US"/>
                  <a:t>Total Area Requirements  (Acres/MW)</a:t>
                </a:r>
              </a:p>
            </c:rich>
          </c:tx>
          <c:overlay val="0"/>
        </c:title>
        <c:numFmt formatCode="0" sourceLinked="0"/>
        <c:majorTickMark val="out"/>
        <c:minorTickMark val="none"/>
        <c:tickLblPos val="nextTo"/>
        <c:crossAx val="131582592"/>
        <c:crosses val="autoZero"/>
        <c:crossBetween val="midCat"/>
        <c:minorUnit val="1"/>
      </c:valAx>
    </c:plotArea>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spPr>
            <a:ln w="28575">
              <a:noFill/>
            </a:ln>
          </c:spPr>
          <c:marker>
            <c:symbol val="diamond"/>
            <c:size val="6"/>
          </c:marker>
          <c:trendline>
            <c:trendlineType val="linear"/>
            <c:dispRSqr val="1"/>
            <c:dispEq val="0"/>
            <c:trendlineLbl>
              <c:numFmt formatCode="General" sourceLinked="0"/>
            </c:trendlineLbl>
          </c:trendline>
          <c:xVal>
            <c:numRef>
              <c:f>Misc!$K$23:$K$30</c:f>
              <c:numCache>
                <c:formatCode>General</c:formatCode>
                <c:ptCount val="8"/>
                <c:pt idx="0">
                  <c:v>0.5</c:v>
                </c:pt>
                <c:pt idx="1">
                  <c:v>3</c:v>
                </c:pt>
                <c:pt idx="2">
                  <c:v>6</c:v>
                </c:pt>
                <c:pt idx="3">
                  <c:v>7</c:v>
                </c:pt>
                <c:pt idx="4">
                  <c:v>10</c:v>
                </c:pt>
                <c:pt idx="5">
                  <c:v>10</c:v>
                </c:pt>
                <c:pt idx="6">
                  <c:v>10</c:v>
                </c:pt>
                <c:pt idx="7">
                  <c:v>15</c:v>
                </c:pt>
              </c:numCache>
            </c:numRef>
          </c:xVal>
          <c:yVal>
            <c:numRef>
              <c:f>Misc!$G$23:$G$30</c:f>
              <c:numCache>
                <c:formatCode>0.00</c:formatCode>
                <c:ptCount val="8"/>
                <c:pt idx="0">
                  <c:v>4.53125</c:v>
                </c:pt>
                <c:pt idx="1">
                  <c:v>11</c:v>
                </c:pt>
                <c:pt idx="3">
                  <c:v>9.4</c:v>
                </c:pt>
                <c:pt idx="6">
                  <c:v>13.881818181818181</c:v>
                </c:pt>
                <c:pt idx="7">
                  <c:v>13.345000000000001</c:v>
                </c:pt>
              </c:numCache>
            </c:numRef>
          </c:yVal>
          <c:smooth val="0"/>
        </c:ser>
        <c:dLbls>
          <c:showLegendKey val="0"/>
          <c:showVal val="0"/>
          <c:showCatName val="0"/>
          <c:showSerName val="0"/>
          <c:showPercent val="0"/>
          <c:showBubbleSize val="0"/>
        </c:dLbls>
        <c:axId val="136054656"/>
        <c:axId val="136065024"/>
      </c:scatterChart>
      <c:valAx>
        <c:axId val="136054656"/>
        <c:scaling>
          <c:orientation val="minMax"/>
          <c:min val="1.0000000000000002E-2"/>
        </c:scaling>
        <c:delete val="0"/>
        <c:axPos val="b"/>
        <c:title>
          <c:tx>
            <c:rich>
              <a:bodyPr/>
              <a:lstStyle/>
              <a:p>
                <a:pPr>
                  <a:defRPr/>
                </a:pPr>
                <a:r>
                  <a:rPr lang="en-US"/>
                  <a:t>Storage (hours)</a:t>
                </a:r>
              </a:p>
            </c:rich>
          </c:tx>
          <c:overlay val="0"/>
        </c:title>
        <c:numFmt formatCode="#,##0" sourceLinked="0"/>
        <c:majorTickMark val="out"/>
        <c:minorTickMark val="none"/>
        <c:tickLblPos val="nextTo"/>
        <c:crossAx val="136065024"/>
        <c:crosses val="autoZero"/>
        <c:crossBetween val="midCat"/>
      </c:valAx>
      <c:valAx>
        <c:axId val="136065024"/>
        <c:scaling>
          <c:orientation val="minMax"/>
        </c:scaling>
        <c:delete val="0"/>
        <c:axPos val="l"/>
        <c:majorGridlines>
          <c:spPr>
            <a:ln>
              <a:noFill/>
            </a:ln>
          </c:spPr>
        </c:majorGridlines>
        <c:title>
          <c:tx>
            <c:rich>
              <a:bodyPr rot="-5400000" vert="horz"/>
              <a:lstStyle/>
              <a:p>
                <a:pPr>
                  <a:defRPr/>
                </a:pPr>
                <a:r>
                  <a:rPr lang="en-US"/>
                  <a:t>Direct Area Requirements  (Acres/MW)</a:t>
                </a:r>
              </a:p>
            </c:rich>
          </c:tx>
          <c:overlay val="0"/>
        </c:title>
        <c:numFmt formatCode="0" sourceLinked="0"/>
        <c:majorTickMark val="out"/>
        <c:minorTickMark val="none"/>
        <c:tickLblPos val="nextTo"/>
        <c:crossAx val="136054656"/>
        <c:crosses val="autoZero"/>
        <c:crossBetween val="midCat"/>
        <c:minorUnit val="1"/>
      </c:valAx>
    </c:plotArea>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41"/>
          <c:y val="3.1974420463629256E-2"/>
        </c:manualLayout>
      </c:layout>
      <c:overlay val="1"/>
    </c:title>
    <c:autoTitleDeleted val="0"/>
    <c:plotArea>
      <c:layout>
        <c:manualLayout>
          <c:layoutTarget val="inner"/>
          <c:xMode val="edge"/>
          <c:yMode val="edge"/>
          <c:x val="9.3434915621423267E-2"/>
          <c:y val="8.5240199813732973E-2"/>
          <c:w val="0.82021206588305007"/>
          <c:h val="0.75802642316769264"/>
        </c:manualLayout>
      </c:layout>
      <c:scatterChart>
        <c:scatterStyle val="lineMarker"/>
        <c:varyColors val="0"/>
        <c:ser>
          <c:idx val="0"/>
          <c:order val="0"/>
          <c:tx>
            <c:v>1 axis</c:v>
          </c:tx>
          <c:spPr>
            <a:ln w="28575">
              <a:noFill/>
            </a:ln>
          </c:spPr>
          <c:xVal>
            <c:numRef>
              <c:f>Data!$F$178:$F$193</c:f>
              <c:numCache>
                <c:formatCode>0</c:formatCode>
                <c:ptCount val="16"/>
                <c:pt idx="0">
                  <c:v>20000</c:v>
                </c:pt>
                <c:pt idx="1">
                  <c:v>23490.50846471421</c:v>
                </c:pt>
                <c:pt idx="2">
                  <c:v>23490.50846471421</c:v>
                </c:pt>
                <c:pt idx="3">
                  <c:v>23490.50846471421</c:v>
                </c:pt>
                <c:pt idx="4" formatCode="General">
                  <c:v>25000</c:v>
                </c:pt>
                <c:pt idx="5">
                  <c:v>29363.135580892762</c:v>
                </c:pt>
                <c:pt idx="6">
                  <c:v>28000</c:v>
                </c:pt>
                <c:pt idx="7">
                  <c:v>30537.661004128473</c:v>
                </c:pt>
                <c:pt idx="8">
                  <c:v>35200</c:v>
                </c:pt>
                <c:pt idx="9" formatCode="General">
                  <c:v>110000</c:v>
                </c:pt>
                <c:pt idx="10" formatCode="General">
                  <c:v>130000</c:v>
                </c:pt>
                <c:pt idx="11">
                  <c:v>176178.81348535657</c:v>
                </c:pt>
                <c:pt idx="12">
                  <c:v>284000</c:v>
                </c:pt>
                <c:pt idx="13">
                  <c:v>293631.35580892762</c:v>
                </c:pt>
                <c:pt idx="14">
                  <c:v>350000</c:v>
                </c:pt>
                <c:pt idx="15">
                  <c:v>352357.62697071314</c:v>
                </c:pt>
              </c:numCache>
            </c:numRef>
          </c:xVal>
          <c:yVal>
            <c:numRef>
              <c:f>Data!$S$178:$S$193</c:f>
              <c:numCache>
                <c:formatCode>0.00</c:formatCode>
                <c:ptCount val="16"/>
                <c:pt idx="0">
                  <c:v>37.272781288362182</c:v>
                </c:pt>
                <c:pt idx="1">
                  <c:v>41.739293036550258</c:v>
                </c:pt>
                <c:pt idx="2">
                  <c:v>29.190385679430307</c:v>
                </c:pt>
                <c:pt idx="3">
                  <c:v>35.299516396625364</c:v>
                </c:pt>
                <c:pt idx="6">
                  <c:v>34.318974274496881</c:v>
                </c:pt>
                <c:pt idx="12">
                  <c:v>29.070189973691477</c:v>
                </c:pt>
                <c:pt idx="14">
                  <c:v>24.817319500728711</c:v>
                </c:pt>
              </c:numCache>
            </c:numRef>
          </c:yVal>
          <c:smooth val="0"/>
        </c:ser>
        <c:ser>
          <c:idx val="1"/>
          <c:order val="1"/>
          <c:tx>
            <c:v>2 axis (CPV)</c:v>
          </c:tx>
          <c:spPr>
            <a:ln w="28575">
              <a:noFill/>
            </a:ln>
          </c:spPr>
          <c:xVal>
            <c:numRef>
              <c:f>Data!$F$194:$F$195</c:f>
              <c:numCache>
                <c:formatCode>General</c:formatCode>
                <c:ptCount val="2"/>
                <c:pt idx="0" formatCode="0">
                  <c:v>37000</c:v>
                </c:pt>
                <c:pt idx="1">
                  <c:v>150000</c:v>
                </c:pt>
              </c:numCache>
            </c:numRef>
          </c:xVal>
          <c:yVal>
            <c:numRef>
              <c:f>Data!$S$194:$S$195</c:f>
              <c:numCache>
                <c:formatCode>General</c:formatCode>
                <c:ptCount val="2"/>
                <c:pt idx="0" formatCode="0.00">
                  <c:v>40.810795730808159</c:v>
                </c:pt>
              </c:numCache>
            </c:numRef>
          </c:yVal>
          <c:smooth val="0"/>
        </c:ser>
        <c:ser>
          <c:idx val="2"/>
          <c:order val="2"/>
          <c:tx>
            <c:v>fixed tilt</c:v>
          </c:tx>
          <c:spPr>
            <a:ln w="28575">
              <a:noFill/>
            </a:ln>
          </c:spPr>
          <c:xVal>
            <c:numRef>
              <c:f>Data!$F$196:$F$209</c:f>
              <c:numCache>
                <c:formatCode>0</c:formatCode>
                <c:ptCount val="14"/>
                <c:pt idx="0">
                  <c:v>20592</c:v>
                </c:pt>
                <c:pt idx="1">
                  <c:v>20000</c:v>
                </c:pt>
                <c:pt idx="2">
                  <c:v>22000</c:v>
                </c:pt>
                <c:pt idx="3">
                  <c:v>25200</c:v>
                </c:pt>
                <c:pt idx="4">
                  <c:v>35235.762697071317</c:v>
                </c:pt>
                <c:pt idx="5">
                  <c:v>37000</c:v>
                </c:pt>
                <c:pt idx="6">
                  <c:v>40000</c:v>
                </c:pt>
                <c:pt idx="7">
                  <c:v>57715</c:v>
                </c:pt>
                <c:pt idx="8">
                  <c:v>58000</c:v>
                </c:pt>
                <c:pt idx="9">
                  <c:v>60000</c:v>
                </c:pt>
                <c:pt idx="10">
                  <c:v>65100</c:v>
                </c:pt>
                <c:pt idx="11">
                  <c:v>340612.37273835606</c:v>
                </c:pt>
                <c:pt idx="12">
                  <c:v>645988.98277964082</c:v>
                </c:pt>
                <c:pt idx="13">
                  <c:v>645988.98277964082</c:v>
                </c:pt>
              </c:numCache>
            </c:numRef>
          </c:xVal>
          <c:yVal>
            <c:numRef>
              <c:f>Data!$S$196:$S$209</c:f>
              <c:numCache>
                <c:formatCode>0.00</c:formatCode>
                <c:ptCount val="14"/>
                <c:pt idx="1">
                  <c:v>57.91326908821349</c:v>
                </c:pt>
                <c:pt idx="3">
                  <c:v>38.608846058808986</c:v>
                </c:pt>
                <c:pt idx="4">
                  <c:v>33.391434429240206</c:v>
                </c:pt>
                <c:pt idx="5">
                  <c:v>40.549188065867085</c:v>
                </c:pt>
                <c:pt idx="7">
                  <c:v>32.229993231701421</c:v>
                </c:pt>
                <c:pt idx="8">
                  <c:v>36.382323648055589</c:v>
                </c:pt>
                <c:pt idx="12">
                  <c:v>45.225669925792893</c:v>
                </c:pt>
              </c:numCache>
            </c:numRef>
          </c:yVal>
          <c:smooth val="0"/>
        </c:ser>
        <c:ser>
          <c:idx val="3"/>
          <c:order val="3"/>
          <c:tx>
            <c:v>unknown</c:v>
          </c:tx>
          <c:spPr>
            <a:ln w="28575">
              <a:noFill/>
            </a:ln>
          </c:spPr>
          <c:xVal>
            <c:numRef>
              <c:f>Data!$F$210:$F$242</c:f>
              <c:numCache>
                <c:formatCode>General</c:formatCode>
                <c:ptCount val="33"/>
                <c:pt idx="0" formatCode="0">
                  <c:v>20000</c:v>
                </c:pt>
                <c:pt idx="1">
                  <c:v>23500</c:v>
                </c:pt>
                <c:pt idx="2" formatCode="0">
                  <c:v>23490.50846471421</c:v>
                </c:pt>
                <c:pt idx="3" formatCode="0">
                  <c:v>23490.50846471421</c:v>
                </c:pt>
                <c:pt idx="4">
                  <c:v>24900</c:v>
                </c:pt>
                <c:pt idx="5">
                  <c:v>28700</c:v>
                </c:pt>
                <c:pt idx="6" formatCode="0">
                  <c:v>34290</c:v>
                </c:pt>
                <c:pt idx="7">
                  <c:v>38000</c:v>
                </c:pt>
                <c:pt idx="8">
                  <c:v>49900</c:v>
                </c:pt>
                <c:pt idx="9">
                  <c:v>50000</c:v>
                </c:pt>
                <c:pt idx="10">
                  <c:v>50000</c:v>
                </c:pt>
                <c:pt idx="11">
                  <c:v>50000</c:v>
                </c:pt>
                <c:pt idx="12" formatCode="0">
                  <c:v>58608.818619461956</c:v>
                </c:pt>
                <c:pt idx="13" formatCode="0">
                  <c:v>58726.271161785524</c:v>
                </c:pt>
                <c:pt idx="14">
                  <c:v>60000</c:v>
                </c:pt>
                <c:pt idx="15" formatCode="0">
                  <c:v>75000</c:v>
                </c:pt>
                <c:pt idx="16">
                  <c:v>75000</c:v>
                </c:pt>
                <c:pt idx="17" formatCode="0">
                  <c:v>82216.779626499731</c:v>
                </c:pt>
                <c:pt idx="18">
                  <c:v>100000</c:v>
                </c:pt>
                <c:pt idx="19">
                  <c:v>100000</c:v>
                </c:pt>
                <c:pt idx="20" formatCode="0">
                  <c:v>170000</c:v>
                </c:pt>
                <c:pt idx="21" formatCode="0">
                  <c:v>182051.44060153511</c:v>
                </c:pt>
                <c:pt idx="22">
                  <c:v>200000</c:v>
                </c:pt>
                <c:pt idx="23" formatCode="0">
                  <c:v>234905.0846471421</c:v>
                </c:pt>
                <c:pt idx="24" formatCode="0">
                  <c:v>234905.0846471421</c:v>
                </c:pt>
                <c:pt idx="25" formatCode="0">
                  <c:v>234905.0846471421</c:v>
                </c:pt>
                <c:pt idx="26" formatCode="0">
                  <c:v>300000</c:v>
                </c:pt>
                <c:pt idx="27" formatCode="0">
                  <c:v>322994.49138982041</c:v>
                </c:pt>
                <c:pt idx="28">
                  <c:v>400000</c:v>
                </c:pt>
                <c:pt idx="29">
                  <c:v>500000</c:v>
                </c:pt>
                <c:pt idx="30" formatCode="0">
                  <c:v>500000</c:v>
                </c:pt>
                <c:pt idx="31" formatCode="0">
                  <c:v>700000</c:v>
                </c:pt>
                <c:pt idx="32">
                  <c:v>720000</c:v>
                </c:pt>
              </c:numCache>
            </c:numRef>
          </c:xVal>
          <c:yVal>
            <c:numRef>
              <c:f>Data!$S$210:$S$242</c:f>
              <c:numCache>
                <c:formatCode>General</c:formatCode>
                <c:ptCount val="33"/>
                <c:pt idx="13" formatCode="0.00">
                  <c:v>44.602277035447216</c:v>
                </c:pt>
                <c:pt idx="17" formatCode="0.00">
                  <c:v>70.312044855066787</c:v>
                </c:pt>
              </c:numCache>
            </c:numRef>
          </c:yVal>
          <c:smooth val="0"/>
        </c:ser>
        <c:dLbls>
          <c:showLegendKey val="0"/>
          <c:showVal val="0"/>
          <c:showCatName val="0"/>
          <c:showSerName val="0"/>
          <c:showPercent val="0"/>
          <c:showBubbleSize val="0"/>
        </c:dLbls>
        <c:axId val="93822976"/>
        <c:axId val="93825280"/>
      </c:scatterChart>
      <c:valAx>
        <c:axId val="93822976"/>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93825280"/>
        <c:crosses val="autoZero"/>
        <c:crossBetween val="midCat"/>
        <c:dispUnits>
          <c:builtInUnit val="thousands"/>
        </c:dispUnits>
      </c:valAx>
      <c:valAx>
        <c:axId val="93825280"/>
        <c:scaling>
          <c:orientation val="minMax"/>
        </c:scaling>
        <c:delete val="0"/>
        <c:axPos val="l"/>
        <c:title>
          <c:tx>
            <c:rich>
              <a:bodyPr rot="-5400000" vert="horz"/>
              <a:lstStyle/>
              <a:p>
                <a:pPr>
                  <a:defRPr/>
                </a:pPr>
                <a:r>
                  <a:rPr lang="en-US"/>
                  <a:t>MW/km2</a:t>
                </a:r>
              </a:p>
            </c:rich>
          </c:tx>
          <c:overlay val="0"/>
        </c:title>
        <c:numFmt formatCode="0" sourceLinked="0"/>
        <c:majorTickMark val="out"/>
        <c:minorTickMark val="none"/>
        <c:tickLblPos val="nextTo"/>
        <c:crossAx val="93822976"/>
        <c:crosses val="autoZero"/>
        <c:crossBetween val="midCat"/>
      </c:valAx>
    </c:plotArea>
    <c:legend>
      <c:legendPos val="r"/>
      <c:layout>
        <c:manualLayout>
          <c:xMode val="edge"/>
          <c:yMode val="edge"/>
          <c:x val="0.70134447867931426"/>
          <c:y val="4.6224186005526288E-2"/>
          <c:w val="0.20665386654054305"/>
          <c:h val="0.31110388620777585"/>
        </c:manualLayout>
      </c:layout>
      <c:overlay val="0"/>
    </c:legend>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0954714899768191"/>
          <c:y val="7.66379022766039E-2"/>
          <c:w val="0.82021206588304985"/>
          <c:h val="0.75802642316769264"/>
        </c:manualLayout>
      </c:layout>
      <c:scatterChart>
        <c:scatterStyle val="lineMarker"/>
        <c:varyColors val="0"/>
        <c:ser>
          <c:idx val="0"/>
          <c:order val="0"/>
          <c:tx>
            <c:v>1 axis</c:v>
          </c:tx>
          <c:spPr>
            <a:ln w="28575">
              <a:noFill/>
            </a:ln>
          </c:spPr>
          <c:xVal>
            <c:numRef>
              <c:f>Data!$F$178:$F$193</c:f>
              <c:numCache>
                <c:formatCode>0</c:formatCode>
                <c:ptCount val="16"/>
                <c:pt idx="0">
                  <c:v>20000</c:v>
                </c:pt>
                <c:pt idx="1">
                  <c:v>23490.50846471421</c:v>
                </c:pt>
                <c:pt idx="2">
                  <c:v>23490.50846471421</c:v>
                </c:pt>
                <c:pt idx="3">
                  <c:v>23490.50846471421</c:v>
                </c:pt>
                <c:pt idx="4" formatCode="General">
                  <c:v>25000</c:v>
                </c:pt>
                <c:pt idx="5">
                  <c:v>29363.135580892762</c:v>
                </c:pt>
                <c:pt idx="6">
                  <c:v>28000</c:v>
                </c:pt>
                <c:pt idx="7">
                  <c:v>30537.661004128473</c:v>
                </c:pt>
                <c:pt idx="8">
                  <c:v>35200</c:v>
                </c:pt>
                <c:pt idx="9" formatCode="General">
                  <c:v>110000</c:v>
                </c:pt>
                <c:pt idx="10" formatCode="General">
                  <c:v>130000</c:v>
                </c:pt>
                <c:pt idx="11">
                  <c:v>176178.81348535657</c:v>
                </c:pt>
                <c:pt idx="12">
                  <c:v>284000</c:v>
                </c:pt>
                <c:pt idx="13">
                  <c:v>293631.35580892762</c:v>
                </c:pt>
                <c:pt idx="14">
                  <c:v>350000</c:v>
                </c:pt>
                <c:pt idx="15">
                  <c:v>352357.62697071314</c:v>
                </c:pt>
              </c:numCache>
            </c:numRef>
          </c:xVal>
          <c:yVal>
            <c:numRef>
              <c:f>Data!$N$178:$N$193</c:f>
              <c:numCache>
                <c:formatCode>0.00</c:formatCode>
                <c:ptCount val="16"/>
                <c:pt idx="0">
                  <c:v>23.917567905246361</c:v>
                </c:pt>
                <c:pt idx="1">
                  <c:v>34.318974274496881</c:v>
                </c:pt>
                <c:pt idx="2">
                  <c:v>23.533010931083577</c:v>
                </c:pt>
                <c:pt idx="3">
                  <c:v>30.88707684704719</c:v>
                </c:pt>
                <c:pt idx="4">
                  <c:v>26.429643560180217</c:v>
                </c:pt>
                <c:pt idx="5">
                  <c:v>40.113086814347</c:v>
                </c:pt>
                <c:pt idx="6">
                  <c:v>26.286873912380592</c:v>
                </c:pt>
                <c:pt idx="7">
                  <c:v>21.415039947286051</c:v>
                </c:pt>
                <c:pt idx="8">
                  <c:v>33.694992924051483</c:v>
                </c:pt>
                <c:pt idx="9">
                  <c:v>22.822283926325245</c:v>
                </c:pt>
                <c:pt idx="10">
                  <c:v>28.91056570409566</c:v>
                </c:pt>
                <c:pt idx="11">
                  <c:v>33.391434429240206</c:v>
                </c:pt>
                <c:pt idx="12">
                  <c:v>27.062962570746109</c:v>
                </c:pt>
                <c:pt idx="13">
                  <c:v>35.604699535501084</c:v>
                </c:pt>
                <c:pt idx="14">
                  <c:v>25.390685158159343</c:v>
                </c:pt>
                <c:pt idx="15">
                  <c:v>36.825128878744792</c:v>
                </c:pt>
              </c:numCache>
            </c:numRef>
          </c:yVal>
          <c:smooth val="0"/>
        </c:ser>
        <c:ser>
          <c:idx val="1"/>
          <c:order val="1"/>
          <c:tx>
            <c:v>2 axis</c:v>
          </c:tx>
          <c:spPr>
            <a:ln w="28575">
              <a:noFill/>
            </a:ln>
          </c:spPr>
          <c:xVal>
            <c:numRef>
              <c:f>Data!$F$194:$F$195</c:f>
              <c:numCache>
                <c:formatCode>General</c:formatCode>
                <c:ptCount val="2"/>
                <c:pt idx="0" formatCode="0">
                  <c:v>37000</c:v>
                </c:pt>
                <c:pt idx="1">
                  <c:v>150000</c:v>
                </c:pt>
              </c:numCache>
            </c:numRef>
          </c:xVal>
          <c:yVal>
            <c:numRef>
              <c:f>Data!$N$194:$N$195</c:f>
              <c:numCache>
                <c:formatCode>0.00</c:formatCode>
                <c:ptCount val="2"/>
                <c:pt idx="0">
                  <c:v>33.736924470801412</c:v>
                </c:pt>
                <c:pt idx="1">
                  <c:v>29.855245421811905</c:v>
                </c:pt>
              </c:numCache>
            </c:numRef>
          </c:yVal>
          <c:smooth val="0"/>
        </c:ser>
        <c:ser>
          <c:idx val="2"/>
          <c:order val="2"/>
          <c:tx>
            <c:v>fixed tilt</c:v>
          </c:tx>
          <c:spPr>
            <a:ln w="28575">
              <a:noFill/>
            </a:ln>
          </c:spPr>
          <c:xVal>
            <c:numRef>
              <c:f>Data!$F$196:$F$209</c:f>
              <c:numCache>
                <c:formatCode>0</c:formatCode>
                <c:ptCount val="14"/>
                <c:pt idx="0">
                  <c:v>20592</c:v>
                </c:pt>
                <c:pt idx="1">
                  <c:v>20000</c:v>
                </c:pt>
                <c:pt idx="2">
                  <c:v>22000</c:v>
                </c:pt>
                <c:pt idx="3">
                  <c:v>25200</c:v>
                </c:pt>
                <c:pt idx="4">
                  <c:v>35235.762697071317</c:v>
                </c:pt>
                <c:pt idx="5">
                  <c:v>37000</c:v>
                </c:pt>
                <c:pt idx="6">
                  <c:v>40000</c:v>
                </c:pt>
                <c:pt idx="7">
                  <c:v>57715</c:v>
                </c:pt>
                <c:pt idx="8">
                  <c:v>58000</c:v>
                </c:pt>
                <c:pt idx="9">
                  <c:v>60000</c:v>
                </c:pt>
                <c:pt idx="10">
                  <c:v>65100</c:v>
                </c:pt>
                <c:pt idx="11">
                  <c:v>340612.37273835606</c:v>
                </c:pt>
                <c:pt idx="12">
                  <c:v>645988.98277964082</c:v>
                </c:pt>
                <c:pt idx="13">
                  <c:v>645988.98277964082</c:v>
                </c:pt>
              </c:numCache>
            </c:numRef>
          </c:xVal>
          <c:yVal>
            <c:numRef>
              <c:f>Data!$N$196:$N$209</c:f>
              <c:numCache>
                <c:formatCode>0.00</c:formatCode>
                <c:ptCount val="14"/>
                <c:pt idx="0">
                  <c:v>24.067467737345552</c:v>
                </c:pt>
                <c:pt idx="1">
                  <c:v>33.19208258190146</c:v>
                </c:pt>
                <c:pt idx="2">
                  <c:v>28.927244876617252</c:v>
                </c:pt>
                <c:pt idx="3">
                  <c:v>27.898004894107142</c:v>
                </c:pt>
                <c:pt idx="4">
                  <c:v>29.651593773165303</c:v>
                </c:pt>
                <c:pt idx="5">
                  <c:v>39.53545836422041</c:v>
                </c:pt>
                <c:pt idx="6">
                  <c:v>60.108560782581293</c:v>
                </c:pt>
                <c:pt idx="7">
                  <c:v>22.238695329873977</c:v>
                </c:pt>
                <c:pt idx="8">
                  <c:v>31.212203971752956</c:v>
                </c:pt>
                <c:pt idx="9">
                  <c:v>35.063327123172428</c:v>
                </c:pt>
                <c:pt idx="10">
                  <c:v>20.756115641215711</c:v>
                </c:pt>
                <c:pt idx="11">
                  <c:v>29.857507618812285</c:v>
                </c:pt>
                <c:pt idx="12">
                  <c:v>32.014873528152563</c:v>
                </c:pt>
                <c:pt idx="13">
                  <c:v>38.829468036287899</c:v>
                </c:pt>
              </c:numCache>
            </c:numRef>
          </c:yVal>
          <c:smooth val="0"/>
        </c:ser>
        <c:ser>
          <c:idx val="3"/>
          <c:order val="3"/>
          <c:tx>
            <c:v>unknown</c:v>
          </c:tx>
          <c:spPr>
            <a:ln w="28575">
              <a:noFill/>
            </a:ln>
          </c:spPr>
          <c:xVal>
            <c:numRef>
              <c:f>Data!$F$210:$F$242</c:f>
              <c:numCache>
                <c:formatCode>General</c:formatCode>
                <c:ptCount val="33"/>
                <c:pt idx="0" formatCode="0">
                  <c:v>20000</c:v>
                </c:pt>
                <c:pt idx="1">
                  <c:v>23500</c:v>
                </c:pt>
                <c:pt idx="2" formatCode="0">
                  <c:v>23490.50846471421</c:v>
                </c:pt>
                <c:pt idx="3" formatCode="0">
                  <c:v>23490.50846471421</c:v>
                </c:pt>
                <c:pt idx="4">
                  <c:v>24900</c:v>
                </c:pt>
                <c:pt idx="5">
                  <c:v>28700</c:v>
                </c:pt>
                <c:pt idx="6" formatCode="0">
                  <c:v>34290</c:v>
                </c:pt>
                <c:pt idx="7">
                  <c:v>38000</c:v>
                </c:pt>
                <c:pt idx="8">
                  <c:v>49900</c:v>
                </c:pt>
                <c:pt idx="9">
                  <c:v>50000</c:v>
                </c:pt>
                <c:pt idx="10">
                  <c:v>50000</c:v>
                </c:pt>
                <c:pt idx="11">
                  <c:v>50000</c:v>
                </c:pt>
                <c:pt idx="12" formatCode="0">
                  <c:v>58608.818619461956</c:v>
                </c:pt>
                <c:pt idx="13" formatCode="0">
                  <c:v>58726.271161785524</c:v>
                </c:pt>
                <c:pt idx="14">
                  <c:v>60000</c:v>
                </c:pt>
                <c:pt idx="15" formatCode="0">
                  <c:v>75000</c:v>
                </c:pt>
                <c:pt idx="16">
                  <c:v>75000</c:v>
                </c:pt>
                <c:pt idx="17" formatCode="0">
                  <c:v>82216.779626499731</c:v>
                </c:pt>
                <c:pt idx="18">
                  <c:v>100000</c:v>
                </c:pt>
                <c:pt idx="19">
                  <c:v>100000</c:v>
                </c:pt>
                <c:pt idx="20" formatCode="0">
                  <c:v>170000</c:v>
                </c:pt>
                <c:pt idx="21" formatCode="0">
                  <c:v>182051.44060153511</c:v>
                </c:pt>
                <c:pt idx="22">
                  <c:v>200000</c:v>
                </c:pt>
                <c:pt idx="23" formatCode="0">
                  <c:v>234905.0846471421</c:v>
                </c:pt>
                <c:pt idx="24" formatCode="0">
                  <c:v>234905.0846471421</c:v>
                </c:pt>
                <c:pt idx="25" formatCode="0">
                  <c:v>234905.0846471421</c:v>
                </c:pt>
                <c:pt idx="26" formatCode="0">
                  <c:v>300000</c:v>
                </c:pt>
                <c:pt idx="27" formatCode="0">
                  <c:v>322994.49138982041</c:v>
                </c:pt>
                <c:pt idx="28">
                  <c:v>400000</c:v>
                </c:pt>
                <c:pt idx="29">
                  <c:v>500000</c:v>
                </c:pt>
                <c:pt idx="30" formatCode="0">
                  <c:v>500000</c:v>
                </c:pt>
                <c:pt idx="31" formatCode="0">
                  <c:v>700000</c:v>
                </c:pt>
                <c:pt idx="32">
                  <c:v>720000</c:v>
                </c:pt>
              </c:numCache>
            </c:numRef>
          </c:xVal>
          <c:yVal>
            <c:numRef>
              <c:f>Data!$N$210:$N$242</c:f>
              <c:numCache>
                <c:formatCode>0.00</c:formatCode>
                <c:ptCount val="33"/>
                <c:pt idx="0">
                  <c:v>23.375551415448282</c:v>
                </c:pt>
                <c:pt idx="1">
                  <c:v>30.88707684704719</c:v>
                </c:pt>
                <c:pt idx="2">
                  <c:v>30.88707684704719</c:v>
                </c:pt>
                <c:pt idx="3">
                  <c:v>18.648801115198303</c:v>
                </c:pt>
                <c:pt idx="4">
                  <c:v>32.892731187764539</c:v>
                </c:pt>
                <c:pt idx="5">
                  <c:v>46.205058047615317</c:v>
                </c:pt>
                <c:pt idx="6">
                  <c:v>19.507627482345598</c:v>
                </c:pt>
                <c:pt idx="7">
                  <c:v>42.751008471033764</c:v>
                </c:pt>
                <c:pt idx="8">
                  <c:v>32.806125439618192</c:v>
                </c:pt>
                <c:pt idx="9">
                  <c:v>35.063327123172421</c:v>
                </c:pt>
                <c:pt idx="10">
                  <c:v>32.871869177974148</c:v>
                </c:pt>
                <c:pt idx="11">
                  <c:v>65.743738355948295</c:v>
                </c:pt>
                <c:pt idx="12">
                  <c:v>29.176812771749262</c:v>
                </c:pt>
                <c:pt idx="13">
                  <c:v>41.182769129396256</c:v>
                </c:pt>
                <c:pt idx="14">
                  <c:v>21.037996273903453</c:v>
                </c:pt>
                <c:pt idx="15">
                  <c:v>39.446243013568981</c:v>
                </c:pt>
                <c:pt idx="16">
                  <c:v>21.236200814841979</c:v>
                </c:pt>
                <c:pt idx="17">
                  <c:v>57.65587678115476</c:v>
                </c:pt>
                <c:pt idx="18">
                  <c:v>33.823145134893011</c:v>
                </c:pt>
                <c:pt idx="19">
                  <c:v>21.037996273903453</c:v>
                </c:pt>
                <c:pt idx="20">
                  <c:v>41.182769129396263</c:v>
                </c:pt>
                <c:pt idx="21">
                  <c:v>40.988843418598584</c:v>
                </c:pt>
                <c:pt idx="22">
                  <c:v>21.037996273903453</c:v>
                </c:pt>
                <c:pt idx="23">
                  <c:v>39.535458364220403</c:v>
                </c:pt>
                <c:pt idx="24">
                  <c:v>39.535458364220403</c:v>
                </c:pt>
                <c:pt idx="25">
                  <c:v>35.299516396625364</c:v>
                </c:pt>
                <c:pt idx="26">
                  <c:v>29.651593773165303</c:v>
                </c:pt>
                <c:pt idx="27">
                  <c:v>32.874489145381631</c:v>
                </c:pt>
                <c:pt idx="28" formatCode="General">
                  <c:v>21.037996273903453</c:v>
                </c:pt>
                <c:pt idx="29">
                  <c:v>18.827632247989488</c:v>
                </c:pt>
                <c:pt idx="30">
                  <c:v>33.066456965208673</c:v>
                </c:pt>
                <c:pt idx="31">
                  <c:v>36.816493479331044</c:v>
                </c:pt>
                <c:pt idx="32">
                  <c:v>27.86489572702444</c:v>
                </c:pt>
              </c:numCache>
            </c:numRef>
          </c:yVal>
          <c:smooth val="0"/>
        </c:ser>
        <c:dLbls>
          <c:showLegendKey val="0"/>
          <c:showVal val="0"/>
          <c:showCatName val="0"/>
          <c:showSerName val="0"/>
          <c:showPercent val="0"/>
          <c:showBubbleSize val="0"/>
        </c:dLbls>
        <c:axId val="95917184"/>
        <c:axId val="95919488"/>
      </c:scatterChart>
      <c:valAx>
        <c:axId val="95917184"/>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95919488"/>
        <c:crosses val="autoZero"/>
        <c:crossBetween val="midCat"/>
        <c:dispUnits>
          <c:builtInUnit val="thousands"/>
        </c:dispUnits>
      </c:valAx>
      <c:valAx>
        <c:axId val="95919488"/>
        <c:scaling>
          <c:orientation val="minMax"/>
        </c:scaling>
        <c:delete val="0"/>
        <c:axPos val="l"/>
        <c:title>
          <c:tx>
            <c:rich>
              <a:bodyPr rot="-5400000" vert="horz"/>
              <a:lstStyle/>
              <a:p>
                <a:pPr>
                  <a:defRPr/>
                </a:pPr>
                <a:r>
                  <a:rPr lang="en-US"/>
                  <a:t>MW/km2</a:t>
                </a:r>
              </a:p>
            </c:rich>
          </c:tx>
          <c:overlay val="0"/>
        </c:title>
        <c:numFmt formatCode="0" sourceLinked="0"/>
        <c:majorTickMark val="out"/>
        <c:minorTickMark val="none"/>
        <c:tickLblPos val="nextTo"/>
        <c:crossAx val="95917184"/>
        <c:crosses val="autoZero"/>
        <c:crossBetween val="midCat"/>
      </c:valAx>
    </c:plotArea>
    <c:legend>
      <c:legendPos val="r"/>
      <c:layout>
        <c:manualLayout>
          <c:xMode val="edge"/>
          <c:yMode val="edge"/>
          <c:x val="0.70134447867931471"/>
          <c:y val="4.6224186005526288E-2"/>
          <c:w val="0.2035094489986099"/>
          <c:h val="0.3131239345795661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1921447451185672"/>
          <c:y val="7.6638041604022794E-2"/>
          <c:w val="0.82021206588304985"/>
          <c:h val="0.75802642316769264"/>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Data!$R$178:$R$193</c:f>
              <c:numCache>
                <c:formatCode>0.00</c:formatCode>
                <c:ptCount val="16"/>
                <c:pt idx="0">
                  <c:v>6.6294117647058828</c:v>
                </c:pt>
                <c:pt idx="1">
                  <c:v>5.92</c:v>
                </c:pt>
                <c:pt idx="2">
                  <c:v>8.4649999999999999</c:v>
                </c:pt>
                <c:pt idx="3">
                  <c:v>7</c:v>
                </c:pt>
                <c:pt idx="6">
                  <c:v>7.2</c:v>
                </c:pt>
                <c:pt idx="12">
                  <c:v>8.5</c:v>
                </c:pt>
                <c:pt idx="14">
                  <c:v>9.956619802115295</c:v>
                </c:pt>
              </c:numCache>
            </c:numRef>
          </c:yVal>
          <c:smooth val="0"/>
        </c:ser>
        <c:ser>
          <c:idx val="1"/>
          <c:order val="1"/>
          <c:tx>
            <c:v>2 Axis</c:v>
          </c:tx>
          <c:spPr>
            <a:ln w="28575">
              <a:noFill/>
            </a:ln>
          </c:spPr>
          <c:xVal>
            <c:numRef>
              <c:f>Data!$AB$194:$AB$195</c:f>
              <c:numCache>
                <c:formatCode>0.0%</c:formatCode>
                <c:ptCount val="2"/>
                <c:pt idx="0">
                  <c:v>0.31</c:v>
                </c:pt>
                <c:pt idx="1">
                  <c:v>0.25</c:v>
                </c:pt>
              </c:numCache>
            </c:numRef>
          </c:xVal>
          <c:yVal>
            <c:numRef>
              <c:f>Data!$R$194:$R$195</c:f>
              <c:numCache>
                <c:formatCode>0.00</c:formatCode>
                <c:ptCount val="2"/>
                <c:pt idx="0">
                  <c:v>6.0546875</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Data!$R$196:$R$209</c:f>
              <c:numCache>
                <c:formatCode>0.00</c:formatCode>
                <c:ptCount val="14"/>
                <c:pt idx="1">
                  <c:v>4.2666666666666666</c:v>
                </c:pt>
                <c:pt idx="3">
                  <c:v>6.4</c:v>
                </c:pt>
                <c:pt idx="4">
                  <c:v>7.4</c:v>
                </c:pt>
                <c:pt idx="5">
                  <c:v>6.09375</c:v>
                </c:pt>
                <c:pt idx="7">
                  <c:v>7.666666666666667</c:v>
                </c:pt>
                <c:pt idx="8">
                  <c:v>6.791666666666667</c:v>
                </c:pt>
                <c:pt idx="12">
                  <c:v>5.4636363636363638</c:v>
                </c:pt>
              </c:numCache>
            </c:numRef>
          </c:yVal>
          <c:smooth val="0"/>
        </c:ser>
        <c:ser>
          <c:idx val="3"/>
          <c:order val="3"/>
          <c:tx>
            <c:v>unknown</c:v>
          </c:tx>
          <c:spPr>
            <a:ln w="28575">
              <a:noFill/>
            </a:ln>
          </c:spPr>
          <c:xVal>
            <c:numRef>
              <c:f>Data!$AB$83:$AB$128</c:f>
              <c:numCache>
                <c:formatCode>0.0%</c:formatCode>
                <c:ptCount val="46"/>
                <c:pt idx="0">
                  <c:v>0.14199999999999999</c:v>
                </c:pt>
                <c:pt idx="2">
                  <c:v>9.9900000000000003E-2</c:v>
                </c:pt>
                <c:pt idx="3">
                  <c:v>0.14399999999999999</c:v>
                </c:pt>
                <c:pt idx="4">
                  <c:v>0.1069</c:v>
                </c:pt>
                <c:pt idx="5">
                  <c:v>0.14499999999999999</c:v>
                </c:pt>
                <c:pt idx="6">
                  <c:v>0.107</c:v>
                </c:pt>
                <c:pt idx="7">
                  <c:v>0.14069999999999999</c:v>
                </c:pt>
                <c:pt idx="8">
                  <c:v>0.13769999999999999</c:v>
                </c:pt>
                <c:pt idx="9">
                  <c:v>0.1</c:v>
                </c:pt>
                <c:pt idx="15">
                  <c:v>0.14499999999999999</c:v>
                </c:pt>
                <c:pt idx="18">
                  <c:v>0.107</c:v>
                </c:pt>
                <c:pt idx="19" formatCode="General">
                  <c:v>0.09</c:v>
                </c:pt>
                <c:pt idx="20">
                  <c:v>0.14899999999999999</c:v>
                </c:pt>
                <c:pt idx="21">
                  <c:v>0.10970000000000001</c:v>
                </c:pt>
                <c:pt idx="22">
                  <c:v>0.14099999999999999</c:v>
                </c:pt>
                <c:pt idx="25">
                  <c:v>0.107</c:v>
                </c:pt>
                <c:pt idx="26">
                  <c:v>0.107</c:v>
                </c:pt>
                <c:pt idx="27">
                  <c:v>0.14399999999999999</c:v>
                </c:pt>
                <c:pt idx="28">
                  <c:v>0.11</c:v>
                </c:pt>
                <c:pt idx="30">
                  <c:v>0.107</c:v>
                </c:pt>
                <c:pt idx="32">
                  <c:v>0.106</c:v>
                </c:pt>
                <c:pt idx="33">
                  <c:v>0.107</c:v>
                </c:pt>
                <c:pt idx="39">
                  <c:v>0.107</c:v>
                </c:pt>
                <c:pt idx="40">
                  <c:v>0.107</c:v>
                </c:pt>
                <c:pt idx="41">
                  <c:v>0.158</c:v>
                </c:pt>
                <c:pt idx="45">
                  <c:v>0.12</c:v>
                </c:pt>
              </c:numCache>
            </c:numRef>
          </c:xVal>
          <c:yVal>
            <c:numRef>
              <c:f>Data!$R$83:$R$128</c:f>
              <c:numCache>
                <c:formatCode>0.00</c:formatCode>
                <c:ptCount val="46"/>
                <c:pt idx="0">
                  <c:v>3.987166666666667</c:v>
                </c:pt>
                <c:pt idx="1">
                  <c:v>5.2119565656084648</c:v>
                </c:pt>
                <c:pt idx="3">
                  <c:v>3.9362473643575164</c:v>
                </c:pt>
                <c:pt idx="4">
                  <c:v>6.2837110143110504</c:v>
                </c:pt>
                <c:pt idx="5">
                  <c:v>4.6981016929428421</c:v>
                </c:pt>
                <c:pt idx="6">
                  <c:v>6.3835456752860864</c:v>
                </c:pt>
                <c:pt idx="7">
                  <c:v>3.1879975773540714</c:v>
                </c:pt>
                <c:pt idx="8">
                  <c:v>4.42</c:v>
                </c:pt>
                <c:pt idx="9">
                  <c:v>5.5117015820979933</c:v>
                </c:pt>
                <c:pt idx="10">
                  <c:v>5.9509288110609333</c:v>
                </c:pt>
                <c:pt idx="11">
                  <c:v>4.3065932185309386</c:v>
                </c:pt>
                <c:pt idx="13">
                  <c:v>4.29704423135016</c:v>
                </c:pt>
                <c:pt idx="14">
                  <c:v>6.1128709527494927</c:v>
                </c:pt>
                <c:pt idx="16">
                  <c:v>5.3793264384195538</c:v>
                </c:pt>
                <c:pt idx="17">
                  <c:v>3.0537661004128474</c:v>
                </c:pt>
                <c:pt idx="18">
                  <c:v>8.0055652847746028</c:v>
                </c:pt>
                <c:pt idx="19">
                  <c:v>7.5</c:v>
                </c:pt>
                <c:pt idx="20">
                  <c:v>2.2320000000000002</c:v>
                </c:pt>
                <c:pt idx="21">
                  <c:v>6.9853493613824194</c:v>
                </c:pt>
                <c:pt idx="22">
                  <c:v>4.6335444445025811</c:v>
                </c:pt>
                <c:pt idx="24">
                  <c:v>3</c:v>
                </c:pt>
                <c:pt idx="25">
                  <c:v>7</c:v>
                </c:pt>
                <c:pt idx="26">
                  <c:v>6.1909999999999998</c:v>
                </c:pt>
                <c:pt idx="27">
                  <c:v>7.8</c:v>
                </c:pt>
                <c:pt idx="28">
                  <c:v>5.5873015873015879</c:v>
                </c:pt>
                <c:pt idx="29">
                  <c:v>5.9428571428571431</c:v>
                </c:pt>
                <c:pt idx="30">
                  <c:v>6.075131499495054</c:v>
                </c:pt>
                <c:pt idx="31">
                  <c:v>4.9741151674032347</c:v>
                </c:pt>
                <c:pt idx="33">
                  <c:v>5.559444444444444</c:v>
                </c:pt>
                <c:pt idx="34">
                  <c:v>4.6393754217810566</c:v>
                </c:pt>
                <c:pt idx="37">
                  <c:v>11.185956411768672</c:v>
                </c:pt>
              </c:numCache>
            </c:numRef>
          </c:yVal>
          <c:smooth val="0"/>
        </c:ser>
        <c:dLbls>
          <c:showLegendKey val="0"/>
          <c:showVal val="0"/>
          <c:showCatName val="0"/>
          <c:showSerName val="0"/>
          <c:showPercent val="0"/>
          <c:showBubbleSize val="0"/>
        </c:dLbls>
        <c:axId val="95968256"/>
        <c:axId val="95970432"/>
      </c:scatterChart>
      <c:valAx>
        <c:axId val="95968256"/>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5970432"/>
        <c:crosses val="autoZero"/>
        <c:crossBetween val="midCat"/>
      </c:valAx>
      <c:valAx>
        <c:axId val="9597043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5968256"/>
        <c:crosses val="autoZero"/>
        <c:crossBetween val="midCat"/>
      </c:valAx>
    </c:plotArea>
    <c:legend>
      <c:legendPos val="r"/>
      <c:layout>
        <c:manualLayout>
          <c:xMode val="edge"/>
          <c:yMode val="edge"/>
          <c:x val="0.76257102382655462"/>
          <c:y val="4.6224124897009236E-2"/>
          <c:w val="0.17715225696739678"/>
          <c:h val="0.3121106949010049"/>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Direct Area Requirements</a:t>
            </a:r>
          </a:p>
        </c:rich>
      </c:tx>
      <c:layout>
        <c:manualLayout>
          <c:xMode val="edge"/>
          <c:yMode val="edge"/>
          <c:x val="0.26766908737634787"/>
          <c:y val="3.1974460639228604E-2"/>
        </c:manualLayout>
      </c:layout>
      <c:overlay val="1"/>
    </c:title>
    <c:autoTitleDeleted val="0"/>
    <c:plotArea>
      <c:layout>
        <c:manualLayout>
          <c:layoutTarget val="inner"/>
          <c:xMode val="edge"/>
          <c:yMode val="edge"/>
          <c:x val="0.10954714899768195"/>
          <c:y val="7.66379022766039E-2"/>
          <c:w val="0.8202120658830494"/>
          <c:h val="0.75802642316769264"/>
        </c:manualLayout>
      </c:layout>
      <c:scatterChart>
        <c:scatterStyle val="lineMarker"/>
        <c:varyColors val="0"/>
        <c:ser>
          <c:idx val="0"/>
          <c:order val="0"/>
          <c:spPr>
            <a:ln w="28575">
              <a:noFill/>
            </a:ln>
          </c:spP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Data!$R$3:$R$57</c:f>
              <c:numCache>
                <c:formatCode>0.00</c:formatCode>
                <c:ptCount val="55"/>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numCache>
            </c:numRef>
          </c:yVal>
          <c:smooth val="0"/>
        </c:ser>
        <c:ser>
          <c:idx val="1"/>
          <c:order val="1"/>
          <c:spPr>
            <a:ln w="28575">
              <a:noFill/>
            </a:ln>
          </c:spPr>
          <c:xVal>
            <c:numRef>
              <c:f>Data!$F$58:$F$65</c:f>
              <c:numCache>
                <c:formatCode>0</c:formatCode>
                <c:ptCount val="8"/>
                <c:pt idx="0">
                  <c:v>1014</c:v>
                </c:pt>
                <c:pt idx="1">
                  <c:v>1037</c:v>
                </c:pt>
                <c:pt idx="2">
                  <c:v>1159</c:v>
                </c:pt>
                <c:pt idx="3">
                  <c:v>2200</c:v>
                </c:pt>
                <c:pt idx="4">
                  <c:v>175</c:v>
                </c:pt>
                <c:pt idx="5">
                  <c:v>1047</c:v>
                </c:pt>
                <c:pt idx="6">
                  <c:v>1174.5254232357104</c:v>
                </c:pt>
                <c:pt idx="7">
                  <c:v>6468</c:v>
                </c:pt>
              </c:numCache>
            </c:numRef>
          </c:xVal>
          <c:yVal>
            <c:numRef>
              <c:f>Data!$R$58:$R$65</c:f>
              <c:numCache>
                <c:formatCode>0.00</c:formatCode>
                <c:ptCount val="8"/>
                <c:pt idx="0">
                  <c:v>6.8340236657699132</c:v>
                </c:pt>
                <c:pt idx="1">
                  <c:v>7.0097761276815929</c:v>
                </c:pt>
                <c:pt idx="2">
                  <c:v>9.1205598007949913</c:v>
                </c:pt>
                <c:pt idx="3">
                  <c:v>11.745254232357103</c:v>
                </c:pt>
                <c:pt idx="4">
                  <c:v>5.7719535084726346</c:v>
                </c:pt>
                <c:pt idx="5">
                  <c:v>7.6282453467075744</c:v>
                </c:pt>
                <c:pt idx="6">
                  <c:v>10.7</c:v>
                </c:pt>
                <c:pt idx="7">
                  <c:v>6.0079365079365079</c:v>
                </c:pt>
              </c:numCache>
            </c:numRef>
          </c:yVal>
          <c:smooth val="0"/>
        </c:ser>
        <c:ser>
          <c:idx val="2"/>
          <c:order val="2"/>
          <c:spPr>
            <a:ln w="28575">
              <a:noFill/>
            </a:ln>
          </c:spP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Data!$R$66:$R$116</c:f>
              <c:numCache>
                <c:formatCode>0.00</c:formatCode>
                <c:ptCount val="51"/>
                <c:pt idx="0">
                  <c:v>6.046848387291849</c:v>
                </c:pt>
                <c:pt idx="2">
                  <c:v>5.0477857046708845</c:v>
                </c:pt>
                <c:pt idx="3">
                  <c:v>2.7777777777777777</c:v>
                </c:pt>
                <c:pt idx="4">
                  <c:v>7.6664477625749097</c:v>
                </c:pt>
                <c:pt idx="5">
                  <c:v>3.3557869235306015</c:v>
                </c:pt>
                <c:pt idx="6">
                  <c:v>2.6874734260478124</c:v>
                </c:pt>
                <c:pt idx="8">
                  <c:v>4.1513487132919158</c:v>
                </c:pt>
                <c:pt idx="9">
                  <c:v>3.4256991511041552</c:v>
                </c:pt>
                <c:pt idx="10">
                  <c:v>5.5386703875051984</c:v>
                </c:pt>
                <c:pt idx="12">
                  <c:v>6.4833803362611224</c:v>
                </c:pt>
                <c:pt idx="13">
                  <c:v>5.4586774124045414</c:v>
                </c:pt>
                <c:pt idx="14">
                  <c:v>4.235409859546956</c:v>
                </c:pt>
                <c:pt idx="15">
                  <c:v>4.0656649265851517</c:v>
                </c:pt>
                <c:pt idx="17">
                  <c:v>3.987166666666667</c:v>
                </c:pt>
                <c:pt idx="18">
                  <c:v>5.2119565656084648</c:v>
                </c:pt>
                <c:pt idx="20">
                  <c:v>3.9362473643575164</c:v>
                </c:pt>
                <c:pt idx="21">
                  <c:v>6.2837110143110504</c:v>
                </c:pt>
                <c:pt idx="22">
                  <c:v>4.6981016929428421</c:v>
                </c:pt>
                <c:pt idx="23">
                  <c:v>6.3835456752860864</c:v>
                </c:pt>
                <c:pt idx="24">
                  <c:v>3.1879975773540714</c:v>
                </c:pt>
                <c:pt idx="25">
                  <c:v>4.42</c:v>
                </c:pt>
                <c:pt idx="26">
                  <c:v>5.5117015820979933</c:v>
                </c:pt>
                <c:pt idx="27">
                  <c:v>5.9509288110609333</c:v>
                </c:pt>
                <c:pt idx="28">
                  <c:v>4.3065932185309386</c:v>
                </c:pt>
                <c:pt idx="30">
                  <c:v>4.29704423135016</c:v>
                </c:pt>
                <c:pt idx="31">
                  <c:v>6.1128709527494927</c:v>
                </c:pt>
                <c:pt idx="33">
                  <c:v>5.3793264384195538</c:v>
                </c:pt>
                <c:pt idx="34">
                  <c:v>3.0537661004128474</c:v>
                </c:pt>
                <c:pt idx="35">
                  <c:v>8.0055652847746028</c:v>
                </c:pt>
                <c:pt idx="36">
                  <c:v>7.5</c:v>
                </c:pt>
                <c:pt idx="37">
                  <c:v>2.2320000000000002</c:v>
                </c:pt>
                <c:pt idx="38">
                  <c:v>6.9853493613824194</c:v>
                </c:pt>
                <c:pt idx="39">
                  <c:v>4.6335444445025811</c:v>
                </c:pt>
                <c:pt idx="41">
                  <c:v>3</c:v>
                </c:pt>
                <c:pt idx="42">
                  <c:v>7</c:v>
                </c:pt>
                <c:pt idx="43">
                  <c:v>6.1909999999999998</c:v>
                </c:pt>
                <c:pt idx="44">
                  <c:v>7.8</c:v>
                </c:pt>
                <c:pt idx="45">
                  <c:v>5.5873015873015879</c:v>
                </c:pt>
                <c:pt idx="46">
                  <c:v>5.9428571428571431</c:v>
                </c:pt>
                <c:pt idx="47">
                  <c:v>6.075131499495054</c:v>
                </c:pt>
                <c:pt idx="48">
                  <c:v>4.9741151674032347</c:v>
                </c:pt>
                <c:pt idx="50">
                  <c:v>5.559444444444444</c:v>
                </c:pt>
              </c:numCache>
            </c:numRef>
          </c:yVal>
          <c:smooth val="0"/>
        </c:ser>
        <c:dLbls>
          <c:showLegendKey val="0"/>
          <c:showVal val="0"/>
          <c:showCatName val="0"/>
          <c:showSerName val="0"/>
          <c:showPercent val="0"/>
          <c:showBubbleSize val="0"/>
        </c:dLbls>
        <c:axId val="95993216"/>
        <c:axId val="96003968"/>
      </c:scatterChart>
      <c:valAx>
        <c:axId val="95993216"/>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96003968"/>
        <c:crosses val="autoZero"/>
        <c:crossBetween val="midCat"/>
        <c:majorUnit val="2000"/>
        <c:dispUnits>
          <c:builtInUnit val="thousands"/>
        </c:dispUnits>
      </c:valAx>
      <c:valAx>
        <c:axId val="96003968"/>
        <c:scaling>
          <c:orientation val="minMax"/>
        </c:scaling>
        <c:delete val="0"/>
        <c:axPos val="l"/>
        <c:title>
          <c:tx>
            <c:rich>
              <a:bodyPr rot="-5400000" vert="horz"/>
              <a:lstStyle/>
              <a:p>
                <a:pPr>
                  <a:defRPr/>
                </a:pPr>
                <a:r>
                  <a:rPr lang="en-US"/>
                  <a:t>Hectares</a:t>
                </a:r>
                <a:r>
                  <a:rPr lang="en-US" baseline="0"/>
                  <a:t> / MW</a:t>
                </a:r>
                <a:endParaRPr lang="en-US"/>
              </a:p>
            </c:rich>
          </c:tx>
          <c:overlay val="0"/>
        </c:title>
        <c:numFmt formatCode="0" sourceLinked="0"/>
        <c:majorTickMark val="out"/>
        <c:minorTickMark val="none"/>
        <c:tickLblPos val="nextTo"/>
        <c:crossAx val="95993216"/>
        <c:crosses val="autoZero"/>
        <c:crossBetween val="midCat"/>
      </c:valAx>
    </c:plotArea>
    <c:legend>
      <c:legendPos val="r"/>
      <c:layout>
        <c:manualLayout>
          <c:xMode val="edge"/>
          <c:yMode val="edge"/>
          <c:x val="0.73525401349373776"/>
          <c:y val="6.5136538783715878E-2"/>
          <c:w val="0.22134217885341023"/>
          <c:h val="0.2517734219392788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0954714899768191"/>
          <c:y val="7.66379022766039E-2"/>
          <c:w val="0.82021206588304985"/>
          <c:h val="0.75802642316769264"/>
        </c:manualLayout>
      </c:layout>
      <c:scatterChart>
        <c:scatterStyle val="lineMarker"/>
        <c:varyColors val="0"/>
        <c:ser>
          <c:idx val="1"/>
          <c:order val="0"/>
          <c:tx>
            <c:v>2 Axis</c:v>
          </c:tx>
          <c:spPr>
            <a:ln w="28575">
              <a:noFill/>
            </a:ln>
          </c:spPr>
          <c:trendline>
            <c:trendlineType val="linear"/>
            <c:dispRSqr val="0"/>
            <c:dispEq val="1"/>
            <c:trendlineLbl>
              <c:numFmt formatCode="General" sourceLinked="0"/>
            </c:trendlineLbl>
          </c:trendline>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Data!$R$58:$R$65</c:f>
              <c:numCache>
                <c:formatCode>0.00</c:formatCode>
                <c:ptCount val="8"/>
                <c:pt idx="0">
                  <c:v>6.8340236657699132</c:v>
                </c:pt>
                <c:pt idx="1">
                  <c:v>7.0097761276815929</c:v>
                </c:pt>
                <c:pt idx="2">
                  <c:v>9.1205598007949913</c:v>
                </c:pt>
                <c:pt idx="3">
                  <c:v>11.745254232357103</c:v>
                </c:pt>
                <c:pt idx="4">
                  <c:v>5.7719535084726346</c:v>
                </c:pt>
                <c:pt idx="5">
                  <c:v>7.6282453467075744</c:v>
                </c:pt>
                <c:pt idx="6">
                  <c:v>10.7</c:v>
                </c:pt>
                <c:pt idx="7">
                  <c:v>6.0079365079365079</c:v>
                </c:pt>
              </c:numCache>
            </c:numRef>
          </c:yVal>
          <c:smooth val="0"/>
        </c:ser>
        <c:dLbls>
          <c:showLegendKey val="0"/>
          <c:showVal val="0"/>
          <c:showCatName val="0"/>
          <c:showSerName val="0"/>
          <c:showPercent val="0"/>
          <c:showBubbleSize val="0"/>
        </c:dLbls>
        <c:axId val="96099328"/>
        <c:axId val="96109696"/>
      </c:scatterChart>
      <c:valAx>
        <c:axId val="96099328"/>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6109696"/>
        <c:crosses val="autoZero"/>
        <c:crossBetween val="midCat"/>
      </c:valAx>
      <c:valAx>
        <c:axId val="96109696"/>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099328"/>
        <c:crosses val="autoZero"/>
        <c:crossBetween val="midCat"/>
      </c:valAx>
    </c:plotArea>
    <c:legend>
      <c:legendPos val="r"/>
      <c:layout>
        <c:manualLayout>
          <c:xMode val="edge"/>
          <c:yMode val="edge"/>
          <c:x val="0.76257102382655462"/>
          <c:y val="4.6224124897009236E-2"/>
          <c:w val="0.17715225696739678"/>
          <c:h val="0.3121106949010049"/>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3611992999449479"/>
          <c:y val="7.66379022766039E-2"/>
          <c:w val="0.79363905875701179"/>
          <c:h val="0.75802642316769264"/>
        </c:manualLayout>
      </c:layout>
      <c:scatterChart>
        <c:scatterStyle val="lineMarker"/>
        <c:varyColors val="0"/>
        <c:ser>
          <c:idx val="2"/>
          <c:order val="0"/>
          <c:tx>
            <c:v>Fixed</c:v>
          </c:tx>
          <c:spPr>
            <a:ln w="28575">
              <a:noFill/>
            </a:ln>
          </c:spPr>
          <c:trendline>
            <c:trendlineType val="linear"/>
            <c:dispRSqr val="0"/>
            <c:dispEq val="1"/>
            <c:trendlineLbl>
              <c:numFmt formatCode="General" sourceLinked="0"/>
            </c:trendlineLbl>
          </c:trendline>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Data!$R$66:$R$116</c:f>
              <c:numCache>
                <c:formatCode>0.00</c:formatCode>
                <c:ptCount val="51"/>
                <c:pt idx="0">
                  <c:v>6.046848387291849</c:v>
                </c:pt>
                <c:pt idx="2">
                  <c:v>5.0477857046708845</c:v>
                </c:pt>
                <c:pt idx="3">
                  <c:v>2.7777777777777777</c:v>
                </c:pt>
                <c:pt idx="4">
                  <c:v>7.6664477625749097</c:v>
                </c:pt>
                <c:pt idx="5">
                  <c:v>3.3557869235306015</c:v>
                </c:pt>
                <c:pt idx="6">
                  <c:v>2.6874734260478124</c:v>
                </c:pt>
                <c:pt idx="8">
                  <c:v>4.1513487132919158</c:v>
                </c:pt>
                <c:pt idx="9">
                  <c:v>3.4256991511041552</c:v>
                </c:pt>
                <c:pt idx="10">
                  <c:v>5.5386703875051984</c:v>
                </c:pt>
                <c:pt idx="12">
                  <c:v>6.4833803362611224</c:v>
                </c:pt>
                <c:pt idx="13">
                  <c:v>5.4586774124045414</c:v>
                </c:pt>
                <c:pt idx="14">
                  <c:v>4.235409859546956</c:v>
                </c:pt>
                <c:pt idx="15">
                  <c:v>4.0656649265851517</c:v>
                </c:pt>
                <c:pt idx="17">
                  <c:v>3.987166666666667</c:v>
                </c:pt>
                <c:pt idx="18">
                  <c:v>5.2119565656084648</c:v>
                </c:pt>
                <c:pt idx="20">
                  <c:v>3.9362473643575164</c:v>
                </c:pt>
                <c:pt idx="21">
                  <c:v>6.2837110143110504</c:v>
                </c:pt>
                <c:pt idx="22">
                  <c:v>4.6981016929428421</c:v>
                </c:pt>
                <c:pt idx="23">
                  <c:v>6.3835456752860864</c:v>
                </c:pt>
                <c:pt idx="24">
                  <c:v>3.1879975773540714</c:v>
                </c:pt>
                <c:pt idx="25">
                  <c:v>4.42</c:v>
                </c:pt>
                <c:pt idx="26">
                  <c:v>5.5117015820979933</c:v>
                </c:pt>
                <c:pt idx="27">
                  <c:v>5.9509288110609333</c:v>
                </c:pt>
                <c:pt idx="28">
                  <c:v>4.3065932185309386</c:v>
                </c:pt>
                <c:pt idx="30">
                  <c:v>4.29704423135016</c:v>
                </c:pt>
                <c:pt idx="31">
                  <c:v>6.1128709527494927</c:v>
                </c:pt>
                <c:pt idx="33">
                  <c:v>5.3793264384195538</c:v>
                </c:pt>
                <c:pt idx="34">
                  <c:v>3.0537661004128474</c:v>
                </c:pt>
                <c:pt idx="35">
                  <c:v>8.0055652847746028</c:v>
                </c:pt>
                <c:pt idx="36">
                  <c:v>7.5</c:v>
                </c:pt>
                <c:pt idx="37">
                  <c:v>2.2320000000000002</c:v>
                </c:pt>
                <c:pt idx="38">
                  <c:v>6.9853493613824194</c:v>
                </c:pt>
                <c:pt idx="39">
                  <c:v>4.6335444445025811</c:v>
                </c:pt>
                <c:pt idx="41">
                  <c:v>3</c:v>
                </c:pt>
                <c:pt idx="42">
                  <c:v>7</c:v>
                </c:pt>
                <c:pt idx="43">
                  <c:v>6.1909999999999998</c:v>
                </c:pt>
                <c:pt idx="44">
                  <c:v>7.8</c:v>
                </c:pt>
                <c:pt idx="45">
                  <c:v>5.5873015873015879</c:v>
                </c:pt>
                <c:pt idx="46">
                  <c:v>5.9428571428571431</c:v>
                </c:pt>
                <c:pt idx="47">
                  <c:v>6.075131499495054</c:v>
                </c:pt>
                <c:pt idx="48">
                  <c:v>4.9741151674032347</c:v>
                </c:pt>
                <c:pt idx="50">
                  <c:v>5.559444444444444</c:v>
                </c:pt>
              </c:numCache>
            </c:numRef>
          </c:yVal>
          <c:smooth val="0"/>
        </c:ser>
        <c:dLbls>
          <c:showLegendKey val="0"/>
          <c:showVal val="0"/>
          <c:showCatName val="0"/>
          <c:showSerName val="0"/>
          <c:showPercent val="0"/>
          <c:showBubbleSize val="0"/>
        </c:dLbls>
        <c:axId val="96135424"/>
        <c:axId val="96158080"/>
      </c:scatterChart>
      <c:valAx>
        <c:axId val="96135424"/>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6158080"/>
        <c:crosses val="autoZero"/>
        <c:crossBetween val="midCat"/>
      </c:valAx>
      <c:valAx>
        <c:axId val="96158080"/>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135424"/>
        <c:crosses val="autoZero"/>
        <c:crossBetween val="midCat"/>
      </c:valAx>
    </c:plotArea>
    <c:legend>
      <c:legendPos val="r"/>
      <c:layout>
        <c:manualLayout>
          <c:xMode val="edge"/>
          <c:yMode val="edge"/>
          <c:x val="0.76257102382655462"/>
          <c:y val="4.6224124897009236E-2"/>
          <c:w val="0.17715225696739678"/>
          <c:h val="0.3121106949010049"/>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4675453049706727"/>
          <c:y val="0.13685310303953938"/>
          <c:w val="0.78300489378059024"/>
          <c:h val="0.69781153162306364"/>
        </c:manualLayout>
      </c:layout>
      <c:scatterChart>
        <c:scatterStyle val="lineMarker"/>
        <c:varyColors val="0"/>
        <c:ser>
          <c:idx val="0"/>
          <c:order val="0"/>
          <c:tx>
            <c:v>1 Axis</c:v>
          </c:tx>
          <c:spPr>
            <a:ln w="28575">
              <a:noFill/>
            </a:ln>
          </c:spPr>
          <c:trendline>
            <c:trendlineType val="linear"/>
            <c:dispRSqr val="0"/>
            <c:dispEq val="1"/>
            <c:trendlineLbl>
              <c:numFmt formatCode="General" sourceLinked="0"/>
            </c:trendlineLbl>
          </c:trendline>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Data!$M$3:$M$57</c:f>
              <c:numCache>
                <c:formatCode>0.00</c:formatCode>
                <c:ptCount val="55"/>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numCache>
            </c:numRef>
          </c:yVal>
          <c:smooth val="0"/>
        </c:ser>
        <c:dLbls>
          <c:showLegendKey val="0"/>
          <c:showVal val="0"/>
          <c:showCatName val="0"/>
          <c:showSerName val="0"/>
          <c:showPercent val="0"/>
          <c:showBubbleSize val="0"/>
        </c:dLbls>
        <c:axId val="96179712"/>
        <c:axId val="96181632"/>
      </c:scatterChart>
      <c:valAx>
        <c:axId val="9617971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6181632"/>
        <c:crosses val="autoZero"/>
        <c:crossBetween val="midCat"/>
      </c:valAx>
      <c:valAx>
        <c:axId val="9618163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179712"/>
        <c:crosses val="autoZero"/>
        <c:crossBetween val="midCat"/>
      </c:valAx>
    </c:plotArea>
    <c:legend>
      <c:legendPos val="r"/>
      <c:layout>
        <c:manualLayout>
          <c:xMode val="edge"/>
          <c:yMode val="edge"/>
          <c:x val="0.74240720306774688"/>
          <c:y val="5.1126293036899813E-2"/>
          <c:w val="0.25295066377573139"/>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0954714899768195"/>
          <c:y val="0.13685310303953938"/>
          <c:w val="0.8202120658830494"/>
          <c:h val="0.69781153162306364"/>
        </c:manualLayout>
      </c:layout>
      <c:scatterChart>
        <c:scatterStyle val="lineMarker"/>
        <c:varyColors val="0"/>
        <c:ser>
          <c:idx val="1"/>
          <c:order val="0"/>
          <c:tx>
            <c:v>2 Axis</c:v>
          </c:tx>
          <c:spPr>
            <a:ln w="28575">
              <a:noFill/>
            </a:ln>
          </c:spPr>
          <c:trendline>
            <c:trendlineType val="linear"/>
            <c:dispRSqr val="0"/>
            <c:dispEq val="1"/>
            <c:trendlineLbl>
              <c:numFmt formatCode="General" sourceLinked="0"/>
            </c:trendlineLbl>
          </c:trendline>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Data!$M$58:$M$65</c:f>
              <c:numCache>
                <c:formatCode>0.00</c:formatCode>
                <c:ptCount val="8"/>
                <c:pt idx="0">
                  <c:v>11.583090958932056</c:v>
                </c:pt>
                <c:pt idx="1">
                  <c:v>13.500828821914748</c:v>
                </c:pt>
                <c:pt idx="2">
                  <c:v>9.6272575675058238</c:v>
                </c:pt>
                <c:pt idx="3">
                  <c:v>14.414630194256446</c:v>
                </c:pt>
                <c:pt idx="4">
                  <c:v>10.973423239945067</c:v>
                </c:pt>
                <c:pt idx="5">
                  <c:v>7.6282453467075744</c:v>
                </c:pt>
                <c:pt idx="6">
                  <c:v>17</c:v>
                </c:pt>
                <c:pt idx="7">
                  <c:v>7.7380952380952381</c:v>
                </c:pt>
              </c:numCache>
            </c:numRef>
          </c:yVal>
          <c:smooth val="0"/>
        </c:ser>
        <c:dLbls>
          <c:showLegendKey val="0"/>
          <c:showVal val="0"/>
          <c:showCatName val="0"/>
          <c:showSerName val="0"/>
          <c:showPercent val="0"/>
          <c:showBubbleSize val="0"/>
        </c:dLbls>
        <c:axId val="96232192"/>
        <c:axId val="96234112"/>
      </c:scatterChart>
      <c:valAx>
        <c:axId val="9623219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6234112"/>
        <c:crosses val="autoZero"/>
        <c:crossBetween val="midCat"/>
      </c:valAx>
      <c:valAx>
        <c:axId val="9623411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232192"/>
        <c:crosses val="autoZero"/>
        <c:crossBetween val="midCat"/>
      </c:valAx>
    </c:plotArea>
    <c:legend>
      <c:legendPos val="r"/>
      <c:layout>
        <c:manualLayout>
          <c:xMode val="edge"/>
          <c:yMode val="edge"/>
          <c:x val="0.74240720306774688"/>
          <c:y val="5.1126293036899813E-2"/>
          <c:w val="0.25295066377573139"/>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41"/>
          <c:y val="3.1974420463629256E-2"/>
        </c:manualLayout>
      </c:layout>
      <c:overlay val="1"/>
    </c:title>
    <c:autoTitleDeleted val="0"/>
    <c:plotArea>
      <c:layout>
        <c:manualLayout>
          <c:layoutTarget val="inner"/>
          <c:xMode val="edge"/>
          <c:yMode val="edge"/>
          <c:x val="0.10954714899768186"/>
          <c:y val="7.66379022766039E-2"/>
          <c:w val="0.82021206588305007"/>
          <c:h val="0.75802642316769264"/>
        </c:manualLayout>
      </c:layout>
      <c:scatterChart>
        <c:scatterStyle val="lineMarker"/>
        <c:varyColors val="0"/>
        <c:ser>
          <c:idx val="2"/>
          <c:order val="0"/>
          <c:tx>
            <c:v>Fixed</c:v>
          </c:tx>
          <c:spPr>
            <a:ln w="28575">
              <a:noFill/>
            </a:ln>
          </c:spP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Data!$N$66:$N$116</c:f>
              <c:numCache>
                <c:formatCode>0.00</c:formatCode>
                <c:ptCount val="51"/>
                <c:pt idx="0">
                  <c:v>21.216875753380204</c:v>
                </c:pt>
                <c:pt idx="1">
                  <c:v>43.377311904955583</c:v>
                </c:pt>
                <c:pt idx="2">
                  <c:v>38.645910551025452</c:v>
                </c:pt>
                <c:pt idx="3">
                  <c:v>40.43399150886178</c:v>
                </c:pt>
                <c:pt idx="4">
                  <c:v>23.735175283378258</c:v>
                </c:pt>
                <c:pt idx="5">
                  <c:v>62.006725859925972</c:v>
                </c:pt>
                <c:pt idx="6">
                  <c:v>62.062089008015192</c:v>
                </c:pt>
                <c:pt idx="7">
                  <c:v>26.633208048877776</c:v>
                </c:pt>
                <c:pt idx="8">
                  <c:v>34.032487418834208</c:v>
                </c:pt>
                <c:pt idx="9">
                  <c:v>58.710687276009651</c:v>
                </c:pt>
                <c:pt idx="10">
                  <c:v>42.075992547806912</c:v>
                </c:pt>
                <c:pt idx="11">
                  <c:v>42.075992547806912</c:v>
                </c:pt>
                <c:pt idx="12">
                  <c:v>30.938229814563904</c:v>
                </c:pt>
                <c:pt idx="13">
                  <c:v>30.177836877343733</c:v>
                </c:pt>
                <c:pt idx="14">
                  <c:v>52.875390482773334</c:v>
                </c:pt>
                <c:pt idx="15">
                  <c:v>49.72617301104453</c:v>
                </c:pt>
                <c:pt idx="16">
                  <c:v>27.454585137444006</c:v>
                </c:pt>
                <c:pt idx="17">
                  <c:v>36.204632201667039</c:v>
                </c:pt>
                <c:pt idx="18">
                  <c:v>37.400882264717254</c:v>
                </c:pt>
                <c:pt idx="19">
                  <c:v>29.347120852672042</c:v>
                </c:pt>
                <c:pt idx="20">
                  <c:v>42.075992547806905</c:v>
                </c:pt>
                <c:pt idx="21">
                  <c:v>33.660794038245527</c:v>
                </c:pt>
                <c:pt idx="22">
                  <c:v>45.884397543955188</c:v>
                </c:pt>
                <c:pt idx="23">
                  <c:v>22.743779755571303</c:v>
                </c:pt>
                <c:pt idx="24">
                  <c:v>55.224740218996565</c:v>
                </c:pt>
                <c:pt idx="25">
                  <c:v>36.072498507500377</c:v>
                </c:pt>
                <c:pt idx="26">
                  <c:v>36.825690988033458</c:v>
                </c:pt>
                <c:pt idx="27">
                  <c:v>27.204305526599295</c:v>
                </c:pt>
                <c:pt idx="28">
                  <c:v>38.250902316188096</c:v>
                </c:pt>
                <c:pt idx="29">
                  <c:v>48.549222170546429</c:v>
                </c:pt>
                <c:pt idx="30">
                  <c:v>30.805637401072918</c:v>
                </c:pt>
                <c:pt idx="31">
                  <c:v>30.855727868391735</c:v>
                </c:pt>
                <c:pt idx="32">
                  <c:v>49.826833280297656</c:v>
                </c:pt>
                <c:pt idx="33">
                  <c:v>42.075992547806912</c:v>
                </c:pt>
                <c:pt idx="34">
                  <c:v>80.915370284244048</c:v>
                </c:pt>
                <c:pt idx="35">
                  <c:v>21.037996273903456</c:v>
                </c:pt>
                <c:pt idx="36" formatCode="General">
                  <c:v>25.369262297369357</c:v>
                </c:pt>
                <c:pt idx="37">
                  <c:v>82.365538258792512</c:v>
                </c:pt>
                <c:pt idx="38">
                  <c:v>18.793462529563342</c:v>
                </c:pt>
                <c:pt idx="39">
                  <c:v>44.49536211930581</c:v>
                </c:pt>
                <c:pt idx="40">
                  <c:v>35.063327123172421</c:v>
                </c:pt>
                <c:pt idx="41">
                  <c:v>54.910358839195013</c:v>
                </c:pt>
                <c:pt idx="42">
                  <c:v>30.88707684704719</c:v>
                </c:pt>
                <c:pt idx="43">
                  <c:v>32.090469451477603</c:v>
                </c:pt>
                <c:pt idx="44">
                  <c:v>25.213940283303831</c:v>
                </c:pt>
                <c:pt idx="45">
                  <c:v>32.431430689399555</c:v>
                </c:pt>
                <c:pt idx="46">
                  <c:v>32.031042656197087</c:v>
                </c:pt>
                <c:pt idx="47">
                  <c:v>27.115639641920005</c:v>
                </c:pt>
                <c:pt idx="48">
                  <c:v>42.075992547806912</c:v>
                </c:pt>
                <c:pt idx="49" formatCode="General">
                  <c:v>21.349147516679022</c:v>
                </c:pt>
                <c:pt idx="50">
                  <c:v>31.952148462462613</c:v>
                </c:pt>
              </c:numCache>
            </c:numRef>
          </c:yVal>
          <c:smooth val="0"/>
        </c:ser>
        <c:ser>
          <c:idx val="0"/>
          <c:order val="1"/>
          <c:tx>
            <c:v>1 axis</c:v>
          </c:tx>
          <c:spPr>
            <a:ln w="28575">
              <a:noFill/>
            </a:ln>
          </c:spP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Data!$N$3:$N$57</c:f>
              <c:numCache>
                <c:formatCode>0.00</c:formatCode>
                <c:ptCount val="55"/>
                <c:pt idx="0">
                  <c:v>22.489314706979144</c:v>
                </c:pt>
                <c:pt idx="1">
                  <c:v>21.942013028234864</c:v>
                </c:pt>
                <c:pt idx="2">
                  <c:v>28.128763052235783</c:v>
                </c:pt>
                <c:pt idx="3">
                  <c:v>30.215139398315145</c:v>
                </c:pt>
                <c:pt idx="4">
                  <c:v>31.290034403451749</c:v>
                </c:pt>
                <c:pt idx="5">
                  <c:v>42.075992547806905</c:v>
                </c:pt>
                <c:pt idx="6">
                  <c:v>22.145259235687849</c:v>
                </c:pt>
                <c:pt idx="7">
                  <c:v>19.635355995622859</c:v>
                </c:pt>
                <c:pt idx="8">
                  <c:v>28.529961630091702</c:v>
                </c:pt>
                <c:pt idx="9">
                  <c:v>25.713106556993111</c:v>
                </c:pt>
                <c:pt idx="10">
                  <c:v>25.372264777750321</c:v>
                </c:pt>
                <c:pt idx="11">
                  <c:v>20.418159295296249</c:v>
                </c:pt>
                <c:pt idx="12">
                  <c:v>23.227081788979486</c:v>
                </c:pt>
                <c:pt idx="13">
                  <c:v>20.279318991136908</c:v>
                </c:pt>
                <c:pt idx="14">
                  <c:v>23.179795007164874</c:v>
                </c:pt>
                <c:pt idx="15">
                  <c:v>26.993294163904036</c:v>
                </c:pt>
                <c:pt idx="16">
                  <c:v>21.675141647050662</c:v>
                </c:pt>
                <c:pt idx="17">
                  <c:v>26.010169976460794</c:v>
                </c:pt>
                <c:pt idx="18">
                  <c:v>30.481132408486005</c:v>
                </c:pt>
                <c:pt idx="19">
                  <c:v>28.05066169853794</c:v>
                </c:pt>
                <c:pt idx="20">
                  <c:v>42.244972437557138</c:v>
                </c:pt>
                <c:pt idx="21">
                  <c:v>32.366148113697619</c:v>
                </c:pt>
                <c:pt idx="22">
                  <c:v>27.225642236816238</c:v>
                </c:pt>
                <c:pt idx="23">
                  <c:v>31.009129924555616</c:v>
                </c:pt>
                <c:pt idx="24">
                  <c:v>28.688176737141074</c:v>
                </c:pt>
                <c:pt idx="25">
                  <c:v>34.502313889201666</c:v>
                </c:pt>
                <c:pt idx="26">
                  <c:v>58.959989557436444</c:v>
                </c:pt>
                <c:pt idx="27">
                  <c:v>29.700700621981351</c:v>
                </c:pt>
                <c:pt idx="28">
                  <c:v>26.297495342379314</c:v>
                </c:pt>
                <c:pt idx="29">
                  <c:v>41.296807500625299</c:v>
                </c:pt>
                <c:pt idx="30">
                  <c:v>35.524159422505541</c:v>
                </c:pt>
                <c:pt idx="31">
                  <c:v>43.048190727591908</c:v>
                </c:pt>
                <c:pt idx="32">
                  <c:v>31.556994410855175</c:v>
                </c:pt>
                <c:pt idx="33">
                  <c:v>29.355343638004818</c:v>
                </c:pt>
                <c:pt idx="34">
                  <c:v>42.777259090270363</c:v>
                </c:pt>
                <c:pt idx="35">
                  <c:v>22.02154760525076</c:v>
                </c:pt>
                <c:pt idx="36">
                  <c:v>46.110676764719905</c:v>
                </c:pt>
                <c:pt idx="37">
                  <c:v>34.362060580708977</c:v>
                </c:pt>
                <c:pt idx="38">
                  <c:v>51.312186033910862</c:v>
                </c:pt>
                <c:pt idx="39">
                  <c:v>35.063327123172421</c:v>
                </c:pt>
                <c:pt idx="40">
                  <c:v>22.510656013076698</c:v>
                </c:pt>
                <c:pt idx="41">
                  <c:v>26.50920076515661</c:v>
                </c:pt>
                <c:pt idx="42">
                  <c:v>31.451701813106965</c:v>
                </c:pt>
                <c:pt idx="43">
                  <c:v>30.88707684704719</c:v>
                </c:pt>
                <c:pt idx="44">
                  <c:v>23.989962599648305</c:v>
                </c:pt>
                <c:pt idx="45">
                  <c:v>24.568100733422849</c:v>
                </c:pt>
                <c:pt idx="46">
                  <c:v>33.660794038245527</c:v>
                </c:pt>
                <c:pt idx="47">
                  <c:v>23.82717356772212</c:v>
                </c:pt>
                <c:pt idx="48">
                  <c:v>34.59352606869286</c:v>
                </c:pt>
                <c:pt idx="49">
                  <c:v>27.51122589664298</c:v>
                </c:pt>
                <c:pt idx="50" formatCode="General">
                  <c:v>30.972250536021253</c:v>
                </c:pt>
                <c:pt idx="51">
                  <c:v>31.785003187082268</c:v>
                </c:pt>
                <c:pt idx="52">
                  <c:v>19.149987645169261</c:v>
                </c:pt>
                <c:pt idx="53">
                  <c:v>20.397126219748145</c:v>
                </c:pt>
                <c:pt idx="54">
                  <c:v>30.674062523964107</c:v>
                </c:pt>
              </c:numCache>
            </c:numRef>
          </c:yVal>
          <c:smooth val="0"/>
        </c:ser>
        <c:ser>
          <c:idx val="1"/>
          <c:order val="2"/>
          <c:tx>
            <c:v>2 axis</c:v>
          </c:tx>
          <c:spPr>
            <a:ln w="28575">
              <a:noFill/>
            </a:ln>
          </c:spPr>
          <c:xVal>
            <c:numRef>
              <c:f>Data!$F$58:$F$65</c:f>
              <c:numCache>
                <c:formatCode>0</c:formatCode>
                <c:ptCount val="8"/>
                <c:pt idx="0">
                  <c:v>1014</c:v>
                </c:pt>
                <c:pt idx="1">
                  <c:v>1037</c:v>
                </c:pt>
                <c:pt idx="2">
                  <c:v>1159</c:v>
                </c:pt>
                <c:pt idx="3">
                  <c:v>2200</c:v>
                </c:pt>
                <c:pt idx="4">
                  <c:v>175</c:v>
                </c:pt>
                <c:pt idx="5">
                  <c:v>1047</c:v>
                </c:pt>
                <c:pt idx="6">
                  <c:v>1174.5254232357104</c:v>
                </c:pt>
                <c:pt idx="7">
                  <c:v>6468</c:v>
                </c:pt>
              </c:numCache>
            </c:numRef>
          </c:xVal>
          <c:yVal>
            <c:numRef>
              <c:f>Data!$N$58:$N$65</c:f>
              <c:numCache>
                <c:formatCode>0.00</c:formatCode>
                <c:ptCount val="8"/>
                <c:pt idx="0">
                  <c:v>21.332528221738102</c:v>
                </c:pt>
                <c:pt idx="1">
                  <c:v>18.302329289242348</c:v>
                </c:pt>
                <c:pt idx="2">
                  <c:v>25.666355454162215</c:v>
                </c:pt>
                <c:pt idx="3">
                  <c:v>17.142071037995407</c:v>
                </c:pt>
                <c:pt idx="4">
                  <c:v>22.517733014881372</c:v>
                </c:pt>
                <c:pt idx="5">
                  <c:v>32.392326615848411</c:v>
                </c:pt>
                <c:pt idx="6">
                  <c:v>14.535094986845738</c:v>
                </c:pt>
                <c:pt idx="7">
                  <c:v>31.932485601870333</c:v>
                </c:pt>
              </c:numCache>
            </c:numRef>
          </c:yVal>
          <c:smooth val="0"/>
        </c:ser>
        <c:ser>
          <c:idx val="3"/>
          <c:order val="3"/>
          <c:tx>
            <c:v>unknown</c:v>
          </c:tx>
          <c:spPr>
            <a:ln w="28575">
              <a:noFill/>
            </a:ln>
          </c:spPr>
          <c:xVal>
            <c:numRef>
              <c:f>Data!$F$83:$F$128</c:f>
              <c:numCache>
                <c:formatCode>0</c:formatCode>
                <c:ptCount val="46"/>
                <c:pt idx="0">
                  <c:v>1400</c:v>
                </c:pt>
                <c:pt idx="1">
                  <c:v>1600</c:v>
                </c:pt>
                <c:pt idx="2">
                  <c:v>1660</c:v>
                </c:pt>
                <c:pt idx="3">
                  <c:v>1850</c:v>
                </c:pt>
                <c:pt idx="4">
                  <c:v>2000</c:v>
                </c:pt>
                <c:pt idx="5">
                  <c:v>2000</c:v>
                </c:pt>
                <c:pt idx="6">
                  <c:v>2000</c:v>
                </c:pt>
                <c:pt idx="7">
                  <c:v>2100</c:v>
                </c:pt>
                <c:pt idx="8">
                  <c:v>2592</c:v>
                </c:pt>
                <c:pt idx="9">
                  <c:v>2151</c:v>
                </c:pt>
                <c:pt idx="10">
                  <c:v>3000</c:v>
                </c:pt>
                <c:pt idx="11">
                  <c:v>3000</c:v>
                </c:pt>
                <c:pt idx="12">
                  <c:v>3000</c:v>
                </c:pt>
                <c:pt idx="13">
                  <c:v>4100</c:v>
                </c:pt>
                <c:pt idx="14">
                  <c:v>4400</c:v>
                </c:pt>
                <c:pt idx="15">
                  <c:v>4500</c:v>
                </c:pt>
                <c:pt idx="16">
                  <c:v>5000</c:v>
                </c:pt>
                <c:pt idx="17">
                  <c:v>5000</c:v>
                </c:pt>
                <c:pt idx="18">
                  <c:v>5000</c:v>
                </c:pt>
                <c:pt idx="19" formatCode="General">
                  <c:v>6200</c:v>
                </c:pt>
                <c:pt idx="20" formatCode="General">
                  <c:v>5742</c:v>
                </c:pt>
                <c:pt idx="21">
                  <c:v>6480</c:v>
                </c:pt>
                <c:pt idx="22">
                  <c:v>6768</c:v>
                </c:pt>
                <c:pt idx="23" formatCode="General">
                  <c:v>10000</c:v>
                </c:pt>
                <c:pt idx="24">
                  <c:v>11745.254232357105</c:v>
                </c:pt>
                <c:pt idx="25">
                  <c:v>12000</c:v>
                </c:pt>
                <c:pt idx="26">
                  <c:v>12600</c:v>
                </c:pt>
                <c:pt idx="27">
                  <c:v>12502</c:v>
                </c:pt>
                <c:pt idx="28">
                  <c:v>15010</c:v>
                </c:pt>
                <c:pt idx="29">
                  <c:v>16100</c:v>
                </c:pt>
                <c:pt idx="30">
                  <c:v>17400</c:v>
                </c:pt>
                <c:pt idx="31" formatCode="General">
                  <c:v>20000</c:v>
                </c:pt>
                <c:pt idx="32">
                  <c:v>20295.799313513078</c:v>
                </c:pt>
                <c:pt idx="33">
                  <c:v>21141.457618242788</c:v>
                </c:pt>
                <c:pt idx="34">
                  <c:v>2000</c:v>
                </c:pt>
                <c:pt idx="35">
                  <c:v>2300</c:v>
                </c:pt>
                <c:pt idx="36">
                  <c:v>3200</c:v>
                </c:pt>
                <c:pt idx="37">
                  <c:v>4200</c:v>
                </c:pt>
                <c:pt idx="38">
                  <c:v>5000</c:v>
                </c:pt>
                <c:pt idx="39">
                  <c:v>5000</c:v>
                </c:pt>
                <c:pt idx="40">
                  <c:v>5000</c:v>
                </c:pt>
                <c:pt idx="41" formatCode="General">
                  <c:v>8000</c:v>
                </c:pt>
                <c:pt idx="42" formatCode="General">
                  <c:v>19880</c:v>
                </c:pt>
                <c:pt idx="43" formatCode="General">
                  <c:v>20000</c:v>
                </c:pt>
                <c:pt idx="44" formatCode="General">
                  <c:v>20000</c:v>
                </c:pt>
                <c:pt idx="45" formatCode="General">
                  <c:v>23000</c:v>
                </c:pt>
              </c:numCache>
            </c:numRef>
          </c:xVal>
          <c:yVal>
            <c:numRef>
              <c:f>Data!$N$83:$N$128</c:f>
              <c:numCache>
                <c:formatCode>0.00</c:formatCode>
                <c:ptCount val="46"/>
                <c:pt idx="0">
                  <c:v>36.204632201667039</c:v>
                </c:pt>
                <c:pt idx="1">
                  <c:v>37.400882264717254</c:v>
                </c:pt>
                <c:pt idx="2">
                  <c:v>29.347120852672042</c:v>
                </c:pt>
                <c:pt idx="3">
                  <c:v>42.075992547806905</c:v>
                </c:pt>
                <c:pt idx="4">
                  <c:v>33.660794038245527</c:v>
                </c:pt>
                <c:pt idx="5">
                  <c:v>45.884397543955188</c:v>
                </c:pt>
                <c:pt idx="6">
                  <c:v>22.743779755571303</c:v>
                </c:pt>
                <c:pt idx="7">
                  <c:v>55.224740218996565</c:v>
                </c:pt>
                <c:pt idx="8">
                  <c:v>36.072498507500377</c:v>
                </c:pt>
                <c:pt idx="9">
                  <c:v>36.825690988033458</c:v>
                </c:pt>
                <c:pt idx="10">
                  <c:v>27.204305526599295</c:v>
                </c:pt>
                <c:pt idx="11">
                  <c:v>38.250902316188096</c:v>
                </c:pt>
                <c:pt idx="12">
                  <c:v>48.549222170546429</c:v>
                </c:pt>
                <c:pt idx="13">
                  <c:v>30.805637401072918</c:v>
                </c:pt>
                <c:pt idx="14">
                  <c:v>30.855727868391735</c:v>
                </c:pt>
                <c:pt idx="15">
                  <c:v>49.826833280297656</c:v>
                </c:pt>
                <c:pt idx="16">
                  <c:v>42.075992547806912</c:v>
                </c:pt>
                <c:pt idx="17">
                  <c:v>80.915370284244048</c:v>
                </c:pt>
                <c:pt idx="18">
                  <c:v>21.037996273903456</c:v>
                </c:pt>
                <c:pt idx="19" formatCode="General">
                  <c:v>25.369262297369357</c:v>
                </c:pt>
                <c:pt idx="20">
                  <c:v>82.365538258792512</c:v>
                </c:pt>
                <c:pt idx="21">
                  <c:v>18.793462529563342</c:v>
                </c:pt>
                <c:pt idx="22">
                  <c:v>44.49536211930581</c:v>
                </c:pt>
                <c:pt idx="23">
                  <c:v>35.063327123172421</c:v>
                </c:pt>
                <c:pt idx="24">
                  <c:v>54.910358839195013</c:v>
                </c:pt>
                <c:pt idx="25">
                  <c:v>30.88707684704719</c:v>
                </c:pt>
                <c:pt idx="26">
                  <c:v>32.090469451477603</c:v>
                </c:pt>
                <c:pt idx="27">
                  <c:v>25.213940283303831</c:v>
                </c:pt>
                <c:pt idx="28">
                  <c:v>32.431430689399555</c:v>
                </c:pt>
                <c:pt idx="29">
                  <c:v>32.031042656197087</c:v>
                </c:pt>
                <c:pt idx="30">
                  <c:v>27.115639641920005</c:v>
                </c:pt>
                <c:pt idx="31">
                  <c:v>42.075992547806912</c:v>
                </c:pt>
                <c:pt idx="32" formatCode="General">
                  <c:v>21.349147516679022</c:v>
                </c:pt>
                <c:pt idx="33">
                  <c:v>31.952148462462613</c:v>
                </c:pt>
                <c:pt idx="34">
                  <c:v>38.250902316188103</c:v>
                </c:pt>
                <c:pt idx="35">
                  <c:v>40.322826191648289</c:v>
                </c:pt>
                <c:pt idx="36">
                  <c:v>67.321588076491054</c:v>
                </c:pt>
                <c:pt idx="37">
                  <c:v>14.251545862966855</c:v>
                </c:pt>
                <c:pt idx="38">
                  <c:v>37.567850489113312</c:v>
                </c:pt>
                <c:pt idx="39">
                  <c:v>21.037996273903456</c:v>
                </c:pt>
                <c:pt idx="40">
                  <c:v>21.037996273903456</c:v>
                </c:pt>
                <c:pt idx="41">
                  <c:v>70.126654246344842</c:v>
                </c:pt>
                <c:pt idx="42">
                  <c:v>44.024775360547437</c:v>
                </c:pt>
                <c:pt idx="43">
                  <c:v>21.037996273903456</c:v>
                </c:pt>
                <c:pt idx="44">
                  <c:v>24.181604912532702</c:v>
                </c:pt>
                <c:pt idx="45">
                  <c:v>30.242119643736213</c:v>
                </c:pt>
              </c:numCache>
            </c:numRef>
          </c:yVal>
          <c:smooth val="0"/>
        </c:ser>
        <c:dLbls>
          <c:showLegendKey val="0"/>
          <c:showVal val="0"/>
          <c:showCatName val="0"/>
          <c:showSerName val="0"/>
          <c:showPercent val="0"/>
          <c:showBubbleSize val="0"/>
        </c:dLbls>
        <c:axId val="92130688"/>
        <c:axId val="92137344"/>
      </c:scatterChart>
      <c:valAx>
        <c:axId val="92130688"/>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92137344"/>
        <c:crosses val="autoZero"/>
        <c:crossBetween val="midCat"/>
        <c:majorUnit val="2000"/>
        <c:dispUnits>
          <c:builtInUnit val="thousands"/>
        </c:dispUnits>
      </c:valAx>
      <c:valAx>
        <c:axId val="92137344"/>
        <c:scaling>
          <c:orientation val="minMax"/>
        </c:scaling>
        <c:delete val="0"/>
        <c:axPos val="l"/>
        <c:title>
          <c:tx>
            <c:rich>
              <a:bodyPr rot="-5400000" vert="horz"/>
              <a:lstStyle/>
              <a:p>
                <a:pPr>
                  <a:defRPr/>
                </a:pPr>
                <a:r>
                  <a:rPr lang="en-US"/>
                  <a:t>MW/km2</a:t>
                </a:r>
              </a:p>
            </c:rich>
          </c:tx>
          <c:overlay val="0"/>
        </c:title>
        <c:numFmt formatCode="0" sourceLinked="0"/>
        <c:majorTickMark val="out"/>
        <c:minorTickMark val="none"/>
        <c:tickLblPos val="nextTo"/>
        <c:crossAx val="92130688"/>
        <c:crosses val="autoZero"/>
        <c:crossBetween val="midCat"/>
      </c:valAx>
    </c:plotArea>
    <c:legend>
      <c:legendPos val="r"/>
      <c:layout>
        <c:manualLayout>
          <c:xMode val="edge"/>
          <c:yMode val="edge"/>
          <c:x val="0.70134447867931426"/>
          <c:y val="4.6224186005526288E-2"/>
          <c:w val="0.2035094489986099"/>
          <c:h val="0.31312393457956605"/>
        </c:manualLayout>
      </c:layout>
      <c:overlay val="0"/>
    </c:legend>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8329137274389376"/>
          <c:y val="0.13685310303953938"/>
          <c:w val="0.74646788410442411"/>
          <c:h val="0.69781153162306364"/>
        </c:manualLayout>
      </c:layout>
      <c:scatterChart>
        <c:scatterStyle val="lineMarker"/>
        <c:varyColors val="0"/>
        <c:ser>
          <c:idx val="2"/>
          <c:order val="0"/>
          <c:tx>
            <c:v>Fixed</c:v>
          </c:tx>
          <c:spPr>
            <a:ln w="28575">
              <a:noFill/>
            </a:ln>
          </c:spPr>
          <c:trendline>
            <c:trendlineType val="linear"/>
            <c:dispRSqr val="0"/>
            <c:dispEq val="1"/>
            <c:trendlineLbl>
              <c:numFmt formatCode="General" sourceLinked="0"/>
            </c:trendlineLbl>
          </c:trendline>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Data!$M$66:$M$116</c:f>
              <c:numCache>
                <c:formatCode>0.00</c:formatCode>
                <c:ptCount val="51"/>
                <c:pt idx="0">
                  <c:v>11.6462299939241</c:v>
                </c:pt>
                <c:pt idx="1">
                  <c:v>5.6964483026931951</c:v>
                </c:pt>
                <c:pt idx="2">
                  <c:v>6.3938618925831197</c:v>
                </c:pt>
                <c:pt idx="3">
                  <c:v>6.1111111111111107</c:v>
                </c:pt>
                <c:pt idx="4">
                  <c:v>10.410566251407433</c:v>
                </c:pt>
                <c:pt idx="5">
                  <c:v>3.9849969716925888</c:v>
                </c:pt>
                <c:pt idx="6">
                  <c:v>3.9814421126634252</c:v>
                </c:pt>
                <c:pt idx="7">
                  <c:v>9.2777638474081332</c:v>
                </c:pt>
                <c:pt idx="8">
                  <c:v>7.260609891230863</c:v>
                </c:pt>
                <c:pt idx="9">
                  <c:v>4.2087160999279618</c:v>
                </c:pt>
                <c:pt idx="10">
                  <c:v>5.8726271161785517</c:v>
                </c:pt>
                <c:pt idx="11">
                  <c:v>5.8726271161785517</c:v>
                </c:pt>
                <c:pt idx="12">
                  <c:v>7.9867728780028315</c:v>
                </c:pt>
                <c:pt idx="13">
                  <c:v>8.1880161186068126</c:v>
                </c:pt>
                <c:pt idx="14">
                  <c:v>4.6731875172984489</c:v>
                </c:pt>
                <c:pt idx="15">
                  <c:v>4.9691460213818521</c:v>
                </c:pt>
                <c:pt idx="16">
                  <c:v>9.0001948140667469</c:v>
                </c:pt>
                <c:pt idx="17">
                  <c:v>6.8250000000000002</c:v>
                </c:pt>
                <c:pt idx="18">
                  <c:v>6.6067055057008712</c:v>
                </c:pt>
                <c:pt idx="19">
                  <c:v>8.4197906846415407</c:v>
                </c:pt>
                <c:pt idx="20">
                  <c:v>5.8726271161785526</c:v>
                </c:pt>
                <c:pt idx="21">
                  <c:v>7.3407838952231907</c:v>
                </c:pt>
                <c:pt idx="22">
                  <c:v>5.3851990655357325</c:v>
                </c:pt>
                <c:pt idx="23">
                  <c:v>10.864360164930321</c:v>
                </c:pt>
                <c:pt idx="24">
                  <c:v>4.4743825647074686</c:v>
                </c:pt>
                <c:pt idx="25">
                  <c:v>6.85</c:v>
                </c:pt>
                <c:pt idx="26">
                  <c:v>6.7098975782062533</c:v>
                </c:pt>
                <c:pt idx="27">
                  <c:v>9.0829966063561614</c:v>
                </c:pt>
                <c:pt idx="28">
                  <c:v>6.4598898277964079</c:v>
                </c:pt>
                <c:pt idx="29">
                  <c:v>5.0896101673547456</c:v>
                </c:pt>
                <c:pt idx="30">
                  <c:v>8.0211492318536326</c:v>
                </c:pt>
                <c:pt idx="31">
                  <c:v>8.0081278856980251</c:v>
                </c:pt>
                <c:pt idx="32">
                  <c:v>4.9591073425507775</c:v>
                </c:pt>
                <c:pt idx="33">
                  <c:v>5.8726271161785526</c:v>
                </c:pt>
                <c:pt idx="34">
                  <c:v>3.0537661004128474</c:v>
                </c:pt>
                <c:pt idx="35">
                  <c:v>11.745254232357105</c:v>
                </c:pt>
                <c:pt idx="36">
                  <c:v>9.74</c:v>
                </c:pt>
                <c:pt idx="37">
                  <c:v>3</c:v>
                </c:pt>
                <c:pt idx="38">
                  <c:v>13.14800901577761</c:v>
                </c:pt>
                <c:pt idx="39">
                  <c:v>5.5533116937858651</c:v>
                </c:pt>
                <c:pt idx="40">
                  <c:v>7.0471525394142631</c:v>
                </c:pt>
                <c:pt idx="41">
                  <c:v>4.5</c:v>
                </c:pt>
                <c:pt idx="42">
                  <c:v>8</c:v>
                </c:pt>
                <c:pt idx="43">
                  <c:v>7.7</c:v>
                </c:pt>
                <c:pt idx="44">
                  <c:v>9.8000000000000007</c:v>
                </c:pt>
                <c:pt idx="45">
                  <c:v>7.6190476190476195</c:v>
                </c:pt>
                <c:pt idx="46">
                  <c:v>7.7142857142857144</c:v>
                </c:pt>
                <c:pt idx="47">
                  <c:v>9.1126972492425811</c:v>
                </c:pt>
                <c:pt idx="48">
                  <c:v>5.8726271161785526</c:v>
                </c:pt>
                <c:pt idx="49">
                  <c:v>11.574074074074073</c:v>
                </c:pt>
                <c:pt idx="50">
                  <c:v>7.7333333333333325</c:v>
                </c:pt>
              </c:numCache>
            </c:numRef>
          </c:yVal>
          <c:smooth val="0"/>
        </c:ser>
        <c:dLbls>
          <c:showLegendKey val="0"/>
          <c:showVal val="0"/>
          <c:showCatName val="0"/>
          <c:showSerName val="0"/>
          <c:showPercent val="0"/>
          <c:showBubbleSize val="0"/>
        </c:dLbls>
        <c:axId val="96268672"/>
        <c:axId val="96270592"/>
      </c:scatterChart>
      <c:valAx>
        <c:axId val="9626867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6270592"/>
        <c:crosses val="autoZero"/>
        <c:crossBetween val="midCat"/>
      </c:valAx>
      <c:valAx>
        <c:axId val="9627059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268672"/>
        <c:crosses val="autoZero"/>
        <c:crossBetween val="midCat"/>
      </c:valAx>
    </c:plotArea>
    <c:legend>
      <c:legendPos val="r"/>
      <c:layout>
        <c:manualLayout>
          <c:xMode val="edge"/>
          <c:yMode val="edge"/>
          <c:x val="0.74240720306774688"/>
          <c:y val="5.1126293036899813E-2"/>
          <c:w val="0.25295066377573139"/>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5018053082621849"/>
          <c:y val="7.66379022766039E-2"/>
          <c:w val="0.7795785534391042"/>
          <c:h val="0.75802642316769264"/>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Data!$R$3:$R$57</c:f>
              <c:numCache>
                <c:formatCode>0.00</c:formatCode>
                <c:ptCount val="55"/>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Data!$R$58:$R$65</c:f>
              <c:numCache>
                <c:formatCode>0.00</c:formatCode>
                <c:ptCount val="8"/>
                <c:pt idx="0">
                  <c:v>6.8340236657699132</c:v>
                </c:pt>
                <c:pt idx="1">
                  <c:v>7.0097761276815929</c:v>
                </c:pt>
                <c:pt idx="2">
                  <c:v>9.1205598007949913</c:v>
                </c:pt>
                <c:pt idx="3">
                  <c:v>11.745254232357103</c:v>
                </c:pt>
                <c:pt idx="4">
                  <c:v>5.7719535084726346</c:v>
                </c:pt>
                <c:pt idx="5">
                  <c:v>7.6282453467075744</c:v>
                </c:pt>
                <c:pt idx="6">
                  <c:v>10.7</c:v>
                </c:pt>
                <c:pt idx="7">
                  <c:v>6.0079365079365079</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Data!$R$66:$R$116</c:f>
              <c:numCache>
                <c:formatCode>0.00</c:formatCode>
                <c:ptCount val="51"/>
                <c:pt idx="0">
                  <c:v>6.046848387291849</c:v>
                </c:pt>
                <c:pt idx="2">
                  <c:v>5.0477857046708845</c:v>
                </c:pt>
                <c:pt idx="3">
                  <c:v>2.7777777777777777</c:v>
                </c:pt>
                <c:pt idx="4">
                  <c:v>7.6664477625749097</c:v>
                </c:pt>
                <c:pt idx="5">
                  <c:v>3.3557869235306015</c:v>
                </c:pt>
                <c:pt idx="6">
                  <c:v>2.6874734260478124</c:v>
                </c:pt>
                <c:pt idx="8">
                  <c:v>4.1513487132919158</c:v>
                </c:pt>
                <c:pt idx="9">
                  <c:v>3.4256991511041552</c:v>
                </c:pt>
                <c:pt idx="10">
                  <c:v>5.5386703875051984</c:v>
                </c:pt>
                <c:pt idx="12">
                  <c:v>6.4833803362611224</c:v>
                </c:pt>
                <c:pt idx="13">
                  <c:v>5.4586774124045414</c:v>
                </c:pt>
                <c:pt idx="14">
                  <c:v>4.235409859546956</c:v>
                </c:pt>
                <c:pt idx="15">
                  <c:v>4.0656649265851517</c:v>
                </c:pt>
                <c:pt idx="17">
                  <c:v>3.987166666666667</c:v>
                </c:pt>
                <c:pt idx="18">
                  <c:v>5.2119565656084648</c:v>
                </c:pt>
                <c:pt idx="20">
                  <c:v>3.9362473643575164</c:v>
                </c:pt>
                <c:pt idx="21">
                  <c:v>6.2837110143110504</c:v>
                </c:pt>
                <c:pt idx="22">
                  <c:v>4.6981016929428421</c:v>
                </c:pt>
                <c:pt idx="23">
                  <c:v>6.3835456752860864</c:v>
                </c:pt>
                <c:pt idx="24">
                  <c:v>3.1879975773540714</c:v>
                </c:pt>
                <c:pt idx="25">
                  <c:v>4.42</c:v>
                </c:pt>
                <c:pt idx="26">
                  <c:v>5.5117015820979933</c:v>
                </c:pt>
                <c:pt idx="27">
                  <c:v>5.9509288110609333</c:v>
                </c:pt>
                <c:pt idx="28">
                  <c:v>4.3065932185309386</c:v>
                </c:pt>
                <c:pt idx="30">
                  <c:v>4.29704423135016</c:v>
                </c:pt>
                <c:pt idx="31">
                  <c:v>6.1128709527494927</c:v>
                </c:pt>
                <c:pt idx="33">
                  <c:v>5.3793264384195538</c:v>
                </c:pt>
                <c:pt idx="34">
                  <c:v>3.0537661004128474</c:v>
                </c:pt>
                <c:pt idx="35">
                  <c:v>8.0055652847746028</c:v>
                </c:pt>
                <c:pt idx="36">
                  <c:v>7.5</c:v>
                </c:pt>
                <c:pt idx="37">
                  <c:v>2.2320000000000002</c:v>
                </c:pt>
                <c:pt idx="38">
                  <c:v>6.9853493613824194</c:v>
                </c:pt>
                <c:pt idx="39">
                  <c:v>4.6335444445025811</c:v>
                </c:pt>
                <c:pt idx="41">
                  <c:v>3</c:v>
                </c:pt>
                <c:pt idx="42">
                  <c:v>7</c:v>
                </c:pt>
                <c:pt idx="43">
                  <c:v>6.1909999999999998</c:v>
                </c:pt>
                <c:pt idx="44">
                  <c:v>7.8</c:v>
                </c:pt>
                <c:pt idx="45">
                  <c:v>5.5873015873015879</c:v>
                </c:pt>
                <c:pt idx="46">
                  <c:v>5.9428571428571431</c:v>
                </c:pt>
                <c:pt idx="47">
                  <c:v>6.075131499495054</c:v>
                </c:pt>
                <c:pt idx="48">
                  <c:v>4.9741151674032347</c:v>
                </c:pt>
                <c:pt idx="50">
                  <c:v>5.559444444444444</c:v>
                </c:pt>
              </c:numCache>
            </c:numRef>
          </c:yVal>
          <c:smooth val="0"/>
        </c:ser>
        <c:dLbls>
          <c:showLegendKey val="0"/>
          <c:showVal val="0"/>
          <c:showCatName val="0"/>
          <c:showSerName val="0"/>
          <c:showPercent val="0"/>
          <c:showBubbleSize val="0"/>
        </c:dLbls>
        <c:axId val="96383360"/>
        <c:axId val="96385280"/>
      </c:scatterChart>
      <c:valAx>
        <c:axId val="96383360"/>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6385280"/>
        <c:crosses val="autoZero"/>
        <c:crossBetween val="midCat"/>
      </c:valAx>
      <c:valAx>
        <c:axId val="96385280"/>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383360"/>
        <c:crosses val="autoZero"/>
        <c:crossBetween val="midCat"/>
      </c:valAx>
    </c:plotArea>
    <c:legend>
      <c:legendPos val="r"/>
      <c:layout>
        <c:manualLayout>
          <c:xMode val="edge"/>
          <c:yMode val="edge"/>
          <c:x val="0.76257102382655462"/>
          <c:y val="4.6224124897009236E-2"/>
          <c:w val="0.14685094198844564"/>
          <c:h val="0.2340830211757510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All</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0954714899768195"/>
          <c:y val="0.13685310303953938"/>
          <c:w val="0.79079014369492362"/>
          <c:h val="0.69781153162306364"/>
        </c:manualLayout>
      </c:layout>
      <c:scatterChart>
        <c:scatterStyle val="lineMarker"/>
        <c:varyColors val="0"/>
        <c:ser>
          <c:idx val="0"/>
          <c:order val="0"/>
          <c:tx>
            <c:v>1 Axis Small</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Data!$M$3:$M$57</c:f>
              <c:numCache>
                <c:formatCode>0.00</c:formatCode>
                <c:ptCount val="55"/>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numCache>
            </c:numRef>
          </c:yVal>
          <c:smooth val="0"/>
        </c:ser>
        <c:ser>
          <c:idx val="1"/>
          <c:order val="1"/>
          <c:tx>
            <c:v>2 Axis Small</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Data!$M$58:$M$65</c:f>
              <c:numCache>
                <c:formatCode>0.00</c:formatCode>
                <c:ptCount val="8"/>
                <c:pt idx="0">
                  <c:v>11.583090958932056</c:v>
                </c:pt>
                <c:pt idx="1">
                  <c:v>13.500828821914748</c:v>
                </c:pt>
                <c:pt idx="2">
                  <c:v>9.6272575675058238</c:v>
                </c:pt>
                <c:pt idx="3">
                  <c:v>14.414630194256446</c:v>
                </c:pt>
                <c:pt idx="4">
                  <c:v>10.973423239945067</c:v>
                </c:pt>
                <c:pt idx="5">
                  <c:v>7.6282453467075744</c:v>
                </c:pt>
                <c:pt idx="6">
                  <c:v>17</c:v>
                </c:pt>
                <c:pt idx="7">
                  <c:v>7.7380952380952381</c:v>
                </c:pt>
              </c:numCache>
            </c:numRef>
          </c:yVal>
          <c:smooth val="0"/>
        </c:ser>
        <c:ser>
          <c:idx val="2"/>
          <c:order val="2"/>
          <c:tx>
            <c:v>Fixed Small</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Data!$M$66:$M$116</c:f>
              <c:numCache>
                <c:formatCode>0.00</c:formatCode>
                <c:ptCount val="51"/>
                <c:pt idx="0">
                  <c:v>11.6462299939241</c:v>
                </c:pt>
                <c:pt idx="1">
                  <c:v>5.6964483026931951</c:v>
                </c:pt>
                <c:pt idx="2">
                  <c:v>6.3938618925831197</c:v>
                </c:pt>
                <c:pt idx="3">
                  <c:v>6.1111111111111107</c:v>
                </c:pt>
                <c:pt idx="4">
                  <c:v>10.410566251407433</c:v>
                </c:pt>
                <c:pt idx="5">
                  <c:v>3.9849969716925888</c:v>
                </c:pt>
                <c:pt idx="6">
                  <c:v>3.9814421126634252</c:v>
                </c:pt>
                <c:pt idx="7">
                  <c:v>9.2777638474081332</c:v>
                </c:pt>
                <c:pt idx="8">
                  <c:v>7.260609891230863</c:v>
                </c:pt>
                <c:pt idx="9">
                  <c:v>4.2087160999279618</c:v>
                </c:pt>
                <c:pt idx="10">
                  <c:v>5.8726271161785517</c:v>
                </c:pt>
                <c:pt idx="11">
                  <c:v>5.8726271161785517</c:v>
                </c:pt>
                <c:pt idx="12">
                  <c:v>7.9867728780028315</c:v>
                </c:pt>
                <c:pt idx="13">
                  <c:v>8.1880161186068126</c:v>
                </c:pt>
                <c:pt idx="14">
                  <c:v>4.6731875172984489</c:v>
                </c:pt>
                <c:pt idx="15">
                  <c:v>4.9691460213818521</c:v>
                </c:pt>
                <c:pt idx="16">
                  <c:v>9.0001948140667469</c:v>
                </c:pt>
                <c:pt idx="17">
                  <c:v>6.8250000000000002</c:v>
                </c:pt>
                <c:pt idx="18">
                  <c:v>6.6067055057008712</c:v>
                </c:pt>
                <c:pt idx="19">
                  <c:v>8.4197906846415407</c:v>
                </c:pt>
                <c:pt idx="20">
                  <c:v>5.8726271161785526</c:v>
                </c:pt>
                <c:pt idx="21">
                  <c:v>7.3407838952231907</c:v>
                </c:pt>
                <c:pt idx="22">
                  <c:v>5.3851990655357325</c:v>
                </c:pt>
                <c:pt idx="23">
                  <c:v>10.864360164930321</c:v>
                </c:pt>
                <c:pt idx="24">
                  <c:v>4.4743825647074686</c:v>
                </c:pt>
                <c:pt idx="25">
                  <c:v>6.85</c:v>
                </c:pt>
                <c:pt idx="26">
                  <c:v>6.7098975782062533</c:v>
                </c:pt>
                <c:pt idx="27">
                  <c:v>9.0829966063561614</c:v>
                </c:pt>
                <c:pt idx="28">
                  <c:v>6.4598898277964079</c:v>
                </c:pt>
                <c:pt idx="29">
                  <c:v>5.0896101673547456</c:v>
                </c:pt>
                <c:pt idx="30">
                  <c:v>8.0211492318536326</c:v>
                </c:pt>
                <c:pt idx="31">
                  <c:v>8.0081278856980251</c:v>
                </c:pt>
                <c:pt idx="32">
                  <c:v>4.9591073425507775</c:v>
                </c:pt>
                <c:pt idx="33">
                  <c:v>5.8726271161785526</c:v>
                </c:pt>
                <c:pt idx="34">
                  <c:v>3.0537661004128474</c:v>
                </c:pt>
                <c:pt idx="35">
                  <c:v>11.745254232357105</c:v>
                </c:pt>
                <c:pt idx="36">
                  <c:v>9.74</c:v>
                </c:pt>
                <c:pt idx="37">
                  <c:v>3</c:v>
                </c:pt>
                <c:pt idx="38">
                  <c:v>13.14800901577761</c:v>
                </c:pt>
                <c:pt idx="39">
                  <c:v>5.5533116937858651</c:v>
                </c:pt>
                <c:pt idx="40">
                  <c:v>7.0471525394142631</c:v>
                </c:pt>
                <c:pt idx="41">
                  <c:v>4.5</c:v>
                </c:pt>
                <c:pt idx="42">
                  <c:v>8</c:v>
                </c:pt>
                <c:pt idx="43">
                  <c:v>7.7</c:v>
                </c:pt>
                <c:pt idx="44">
                  <c:v>9.8000000000000007</c:v>
                </c:pt>
                <c:pt idx="45">
                  <c:v>7.6190476190476195</c:v>
                </c:pt>
                <c:pt idx="46">
                  <c:v>7.7142857142857144</c:v>
                </c:pt>
                <c:pt idx="47">
                  <c:v>9.1126972492425811</c:v>
                </c:pt>
                <c:pt idx="48">
                  <c:v>5.8726271161785526</c:v>
                </c:pt>
                <c:pt idx="49">
                  <c:v>11.574074074074073</c:v>
                </c:pt>
                <c:pt idx="50">
                  <c:v>7.7333333333333325</c:v>
                </c:pt>
              </c:numCache>
            </c:numRef>
          </c:yVal>
          <c:smooth val="0"/>
        </c:ser>
        <c:ser>
          <c:idx val="3"/>
          <c:order val="3"/>
          <c:tx>
            <c:v>1 Axis Large</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Data!$M$178:$M$193</c:f>
              <c:numCache>
                <c:formatCode>0.00</c:formatCode>
                <c:ptCount val="16"/>
                <c:pt idx="0">
                  <c:v>10.331176470588234</c:v>
                </c:pt>
                <c:pt idx="1">
                  <c:v>7.2</c:v>
                </c:pt>
                <c:pt idx="2">
                  <c:v>10.5</c:v>
                </c:pt>
                <c:pt idx="3">
                  <c:v>8</c:v>
                </c:pt>
                <c:pt idx="4">
                  <c:v>9.349222368956255</c:v>
                </c:pt>
                <c:pt idx="5">
                  <c:v>6.16</c:v>
                </c:pt>
                <c:pt idx="6">
                  <c:v>9.4</c:v>
                </c:pt>
                <c:pt idx="7">
                  <c:v>11.538461538461538</c:v>
                </c:pt>
                <c:pt idx="8">
                  <c:v>7.333333333333333</c:v>
                </c:pt>
                <c:pt idx="9">
                  <c:v>10.826988901463732</c:v>
                </c:pt>
                <c:pt idx="10">
                  <c:v>8.5469311567767843</c:v>
                </c:pt>
                <c:pt idx="11">
                  <c:v>7.4</c:v>
                </c:pt>
                <c:pt idx="12">
                  <c:v>9.1304347826086953</c:v>
                </c:pt>
                <c:pt idx="13">
                  <c:v>6.94</c:v>
                </c:pt>
                <c:pt idx="14">
                  <c:v>9.7317820782387443</c:v>
                </c:pt>
                <c:pt idx="15">
                  <c:v>6.71</c:v>
                </c:pt>
              </c:numCache>
            </c:numRef>
          </c:yVal>
          <c:smooth val="0"/>
        </c:ser>
        <c:ser>
          <c:idx val="4"/>
          <c:order val="4"/>
          <c:tx>
            <c:v>2 Axisl Large</c:v>
          </c:tx>
          <c:spPr>
            <a:ln w="28575">
              <a:noFill/>
            </a:ln>
          </c:spPr>
          <c:xVal>
            <c:numRef>
              <c:f>Data!$AB$194:$AB$195</c:f>
              <c:numCache>
                <c:formatCode>0.0%</c:formatCode>
                <c:ptCount val="2"/>
                <c:pt idx="0">
                  <c:v>0.31</c:v>
                </c:pt>
                <c:pt idx="1">
                  <c:v>0.25</c:v>
                </c:pt>
              </c:numCache>
            </c:numRef>
          </c:xVal>
          <c:yVal>
            <c:numRef>
              <c:f>Data!$M$194:$M$195</c:f>
              <c:numCache>
                <c:formatCode>0.00</c:formatCode>
                <c:ptCount val="2"/>
                <c:pt idx="0">
                  <c:v>7.32421875</c:v>
                </c:pt>
                <c:pt idx="1">
                  <c:v>8.2764891490676398</c:v>
                </c:pt>
              </c:numCache>
            </c:numRef>
          </c:yVal>
          <c:smooth val="0"/>
        </c:ser>
        <c:ser>
          <c:idx val="5"/>
          <c:order val="5"/>
          <c:tx>
            <c:v>Fixed Large</c:v>
          </c:tx>
          <c:spPr>
            <a:ln w="28575">
              <a:noFill/>
            </a:ln>
          </c:spPr>
          <c:marker>
            <c:symbol val="dot"/>
            <c:size val="7"/>
          </c:marke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Data!$M$196:$M$209</c:f>
              <c:numCache>
                <c:formatCode>0.00</c:formatCode>
                <c:ptCount val="14"/>
                <c:pt idx="0">
                  <c:v>10.266830622689778</c:v>
                </c:pt>
                <c:pt idx="1">
                  <c:v>7.4444444444444446</c:v>
                </c:pt>
                <c:pt idx="2">
                  <c:v>8.5420030780778937</c:v>
                </c:pt>
                <c:pt idx="3">
                  <c:v>8.8571428571428577</c:v>
                </c:pt>
                <c:pt idx="4">
                  <c:v>8.3333333333333339</c:v>
                </c:pt>
                <c:pt idx="5">
                  <c:v>6.25</c:v>
                </c:pt>
                <c:pt idx="6">
                  <c:v>4.1108389813249868</c:v>
                </c:pt>
                <c:pt idx="7">
                  <c:v>11.111111111111111</c:v>
                </c:pt>
                <c:pt idx="8">
                  <c:v>7.916666666666667</c:v>
                </c:pt>
                <c:pt idx="9">
                  <c:v>7.0471525394142631</c:v>
                </c:pt>
                <c:pt idx="10">
                  <c:v>11.904761904761905</c:v>
                </c:pt>
                <c:pt idx="11">
                  <c:v>8.2758620689655178</c:v>
                </c:pt>
                <c:pt idx="12">
                  <c:v>7.7181818181818178</c:v>
                </c:pt>
                <c:pt idx="13">
                  <c:v>6.3636363636363633</c:v>
                </c:pt>
              </c:numCache>
            </c:numRef>
          </c:yVal>
          <c:smooth val="0"/>
        </c:ser>
        <c:dLbls>
          <c:showLegendKey val="0"/>
          <c:showVal val="0"/>
          <c:showCatName val="0"/>
          <c:showSerName val="0"/>
          <c:showPercent val="0"/>
          <c:showBubbleSize val="0"/>
        </c:dLbls>
        <c:axId val="96430720"/>
        <c:axId val="96436992"/>
      </c:scatterChart>
      <c:valAx>
        <c:axId val="96430720"/>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6436992"/>
        <c:crosses val="autoZero"/>
        <c:crossBetween val="midCat"/>
      </c:valAx>
      <c:valAx>
        <c:axId val="9643699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6430720"/>
        <c:crosses val="autoZero"/>
        <c:crossBetween val="midCat"/>
      </c:valAx>
    </c:plotArea>
    <c:legend>
      <c:legendPos val="r"/>
      <c:layout>
        <c:manualLayout>
          <c:xMode val="edge"/>
          <c:yMode val="edge"/>
          <c:x val="0.88330811170425039"/>
          <c:y val="2.8055964787670831E-2"/>
          <c:w val="0.11465077842785662"/>
          <c:h val="0.7691031319009796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8536568125787561"/>
          <c:y val="7.66379022766039E-2"/>
          <c:w val="0.74439373431692724"/>
          <c:h val="0.7364513416405476"/>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Data!$AM$3:$AM$57</c:f>
              <c:numCache>
                <c:formatCode>General</c:formatCode>
                <c:ptCount val="55"/>
                <c:pt idx="0">
                  <c:v>4.5867904804598716</c:v>
                </c:pt>
                <c:pt idx="1">
                  <c:v>5.0871380563316118</c:v>
                </c:pt>
                <c:pt idx="2">
                  <c:v>3.6963947289277348</c:v>
                </c:pt>
                <c:pt idx="3">
                  <c:v>3.6655300418737524</c:v>
                </c:pt>
                <c:pt idx="4">
                  <c:v>3.0411462393460944</c:v>
                </c:pt>
                <c:pt idx="5">
                  <c:v>2.6177118489531841</c:v>
                </c:pt>
                <c:pt idx="6">
                  <c:v>4.5075326999322334</c:v>
                </c:pt>
                <c:pt idx="7">
                  <c:v>5.0858890872032445</c:v>
                </c:pt>
                <c:pt idx="8">
                  <c:v>3.8619963025608528</c:v>
                </c:pt>
                <c:pt idx="9">
                  <c:v>3.7871695847554165</c:v>
                </c:pt>
                <c:pt idx="10">
                  <c:v>3.5420301786826274</c:v>
                </c:pt>
                <c:pt idx="11">
                  <c:v>4.6602946687957942</c:v>
                </c:pt>
                <c:pt idx="12">
                  <c:v>5.4884398637681411</c:v>
                </c:pt>
                <c:pt idx="13">
                  <c:v>4.6446594977047893</c:v>
                </c:pt>
                <c:pt idx="14">
                  <c:v>4.7720089889249993</c:v>
                </c:pt>
                <c:pt idx="15">
                  <c:v>3.5343765806045586</c:v>
                </c:pt>
                <c:pt idx="16">
                  <c:v>5.239115049128193</c:v>
                </c:pt>
                <c:pt idx="17">
                  <c:v>4.8864291004855565</c:v>
                </c:pt>
                <c:pt idx="18">
                  <c:v>3.4696577819775949</c:v>
                </c:pt>
                <c:pt idx="19">
                  <c:v>4.1154427899927253</c:v>
                </c:pt>
                <c:pt idx="20">
                  <c:v>2.5780750210304295</c:v>
                </c:pt>
                <c:pt idx="21">
                  <c:v>4.1996948323745737</c:v>
                </c:pt>
                <c:pt idx="22">
                  <c:v>4.7511219783996745</c:v>
                </c:pt>
                <c:pt idx="23">
                  <c:v>2.9844836685461118</c:v>
                </c:pt>
                <c:pt idx="24">
                  <c:v>3.2132280947353431</c:v>
                </c:pt>
                <c:pt idx="25">
                  <c:v>4.0301514797548732</c:v>
                </c:pt>
                <c:pt idx="26">
                  <c:v>2.3312808438507013</c:v>
                </c:pt>
                <c:pt idx="27">
                  <c:v>4.7292502039330753</c:v>
                </c:pt>
                <c:pt idx="29">
                  <c:v>3.3556718719235641</c:v>
                </c:pt>
                <c:pt idx="30">
                  <c:v>3.3512405348712657</c:v>
                </c:pt>
                <c:pt idx="31">
                  <c:v>3.0137086993274282</c:v>
                </c:pt>
                <c:pt idx="32">
                  <c:v>3.5432234437024617</c:v>
                </c:pt>
                <c:pt idx="33">
                  <c:v>3.6227070134347565</c:v>
                </c:pt>
                <c:pt idx="34">
                  <c:v>3.2326482698913708</c:v>
                </c:pt>
                <c:pt idx="35">
                  <c:v>4.3440978287931147</c:v>
                </c:pt>
                <c:pt idx="36">
                  <c:v>2.0845819352592625</c:v>
                </c:pt>
                <c:pt idx="37">
                  <c:v>3.9029824628312308</c:v>
                </c:pt>
                <c:pt idx="38">
                  <c:v>2.7882151312113379</c:v>
                </c:pt>
                <c:pt idx="39">
                  <c:v>2.5552140319491881</c:v>
                </c:pt>
                <c:pt idx="40">
                  <c:v>4.4668827961180089</c:v>
                </c:pt>
                <c:pt idx="41">
                  <c:v>3.799021124982537</c:v>
                </c:pt>
                <c:pt idx="42">
                  <c:v>3.5533648031060592</c:v>
                </c:pt>
                <c:pt idx="43">
                  <c:v>2.9962659036176169</c:v>
                </c:pt>
                <c:pt idx="44">
                  <c:v>5.6204606595037623</c:v>
                </c:pt>
                <c:pt idx="45">
                  <c:v>3.6644452788258262</c:v>
                </c:pt>
                <c:pt idx="47">
                  <c:v>3.8203611605711441</c:v>
                </c:pt>
                <c:pt idx="48">
                  <c:v>2.7623180046782618</c:v>
                </c:pt>
                <c:pt idx="49">
                  <c:v>3.4512078914316997</c:v>
                </c:pt>
                <c:pt idx="50">
                  <c:v>3.5778512263266706</c:v>
                </c:pt>
                <c:pt idx="51">
                  <c:v>3.4862706232145988</c:v>
                </c:pt>
                <c:pt idx="52">
                  <c:v>6.6074496020911253</c:v>
                </c:pt>
                <c:pt idx="53">
                  <c:v>4.4974163721866613</c:v>
                </c:pt>
                <c:pt idx="54">
                  <c:v>3.108716756026193</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Data!$AM$58:$AM$65</c:f>
              <c:numCache>
                <c:formatCode>General</c:formatCode>
                <c:ptCount val="8"/>
                <c:pt idx="0">
                  <c:v>4.7656450660890401</c:v>
                </c:pt>
                <c:pt idx="1">
                  <c:v>4.4611224889270993</c:v>
                </c:pt>
                <c:pt idx="2">
                  <c:v>3.7987537357183871</c:v>
                </c:pt>
                <c:pt idx="3">
                  <c:v>7.106964754790579</c:v>
                </c:pt>
                <c:pt idx="4">
                  <c:v>3.5565757456739888</c:v>
                </c:pt>
                <c:pt idx="5">
                  <c:v>3.0593871583296535</c:v>
                </c:pt>
                <c:pt idx="6">
                  <c:v>5.661476979435518</c:v>
                </c:pt>
                <c:pt idx="7">
                  <c:v>2.5724537536137038</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Data!$AM$66:$AM$116</c:f>
              <c:numCache>
                <c:formatCode>General</c:formatCode>
                <c:ptCount val="51"/>
                <c:pt idx="0">
                  <c:v>5.4329731920415476</c:v>
                </c:pt>
                <c:pt idx="1">
                  <c:v>3.5159354532787681</c:v>
                </c:pt>
                <c:pt idx="2">
                  <c:v>3.4547036598729823</c:v>
                </c:pt>
                <c:pt idx="3">
                  <c:v>3.5167004909313881</c:v>
                </c:pt>
                <c:pt idx="4">
                  <c:v>6.9300286581421302</c:v>
                </c:pt>
                <c:pt idx="5">
                  <c:v>2.0453503385956049</c:v>
                </c:pt>
                <c:pt idx="7">
                  <c:v>6.3511526885324026</c:v>
                </c:pt>
                <c:pt idx="8">
                  <c:v>3.4845630942004955</c:v>
                </c:pt>
                <c:pt idx="9">
                  <c:v>2.0821828031108502</c:v>
                </c:pt>
                <c:pt idx="10">
                  <c:v>3.647549170928654</c:v>
                </c:pt>
                <c:pt idx="11">
                  <c:v>3.6569754190429808</c:v>
                </c:pt>
                <c:pt idx="12">
                  <c:v>4.4132644154912537</c:v>
                </c:pt>
                <c:pt idx="13">
                  <c:v>3.8127775846589613</c:v>
                </c:pt>
                <c:pt idx="14">
                  <c:v>2.5351876860347571</c:v>
                </c:pt>
                <c:pt idx="15">
                  <c:v>3.1563560507529247</c:v>
                </c:pt>
                <c:pt idx="16">
                  <c:v>5.4591631975851289</c:v>
                </c:pt>
                <c:pt idx="17">
                  <c:v>3.5731861826330067</c:v>
                </c:pt>
                <c:pt idx="18">
                  <c:v>3.4257194516638698</c:v>
                </c:pt>
                <c:pt idx="19">
                  <c:v>5.7638216625421288</c:v>
                </c:pt>
                <c:pt idx="20">
                  <c:v>3.9086745179096631</c:v>
                </c:pt>
                <c:pt idx="21">
                  <c:v>3.718697832455188</c:v>
                </c:pt>
                <c:pt idx="22">
                  <c:v>3.5593326187627934</c:v>
                </c:pt>
                <c:pt idx="23">
                  <c:v>5.081053855762681</c:v>
                </c:pt>
                <c:pt idx="24">
                  <c:v>2.8619746606460761</c:v>
                </c:pt>
                <c:pt idx="25">
                  <c:v>3.7094398475068227</c:v>
                </c:pt>
                <c:pt idx="26">
                  <c:v>4.3865861105921997</c:v>
                </c:pt>
                <c:pt idx="27">
                  <c:v>6.1444252368382628</c:v>
                </c:pt>
                <c:pt idx="28">
                  <c:v>4.1032628659788024</c:v>
                </c:pt>
                <c:pt idx="29">
                  <c:v>3.7620002715313361</c:v>
                </c:pt>
                <c:pt idx="30">
                  <c:v>5.1290711648444445</c:v>
                </c:pt>
                <c:pt idx="31">
                  <c:v>4.1523872141380229</c:v>
                </c:pt>
                <c:pt idx="32">
                  <c:v>3.2592470458090621</c:v>
                </c:pt>
                <c:pt idx="33">
                  <c:v>3.6006076702034644</c:v>
                </c:pt>
                <c:pt idx="34">
                  <c:v>1.7513038867775303</c:v>
                </c:pt>
                <c:pt idx="35">
                  <c:v>5.4075258203686456</c:v>
                </c:pt>
                <c:pt idx="36">
                  <c:v>5.1886892965969871</c:v>
                </c:pt>
                <c:pt idx="37">
                  <c:v>2.1936238666276688</c:v>
                </c:pt>
                <c:pt idx="38">
                  <c:v>6.1746294735402225</c:v>
                </c:pt>
                <c:pt idx="39">
                  <c:v>2.9941832607892733</c:v>
                </c:pt>
                <c:pt idx="40">
                  <c:v>4.6400698855739311</c:v>
                </c:pt>
                <c:pt idx="41">
                  <c:v>2.5128574539728277</c:v>
                </c:pt>
                <c:pt idx="42">
                  <c:v>3.7653614982373398</c:v>
                </c:pt>
                <c:pt idx="43">
                  <c:v>5.2975576195390435</c:v>
                </c:pt>
                <c:pt idx="44">
                  <c:v>6.0890366274193051</c:v>
                </c:pt>
                <c:pt idx="45">
                  <c:v>4.4798953496446323</c:v>
                </c:pt>
                <c:pt idx="46">
                  <c:v>4.7103525698898565</c:v>
                </c:pt>
                <c:pt idx="47">
                  <c:v>5.9056013695142004</c:v>
                </c:pt>
                <c:pt idx="48">
                  <c:v>4.0362253200583877</c:v>
                </c:pt>
                <c:pt idx="49">
                  <c:v>5.4866433155127146</c:v>
                </c:pt>
                <c:pt idx="50">
                  <c:v>4.2841578490573005</c:v>
                </c:pt>
              </c:numCache>
            </c:numRef>
          </c:yVal>
          <c:smooth val="0"/>
        </c:ser>
        <c:dLbls>
          <c:showLegendKey val="0"/>
          <c:showVal val="0"/>
          <c:showCatName val="0"/>
          <c:showSerName val="0"/>
          <c:showPercent val="0"/>
          <c:showBubbleSize val="0"/>
        </c:dLbls>
        <c:axId val="96488064"/>
        <c:axId val="96490240"/>
      </c:scatterChart>
      <c:valAx>
        <c:axId val="96488064"/>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6490240"/>
        <c:crosses val="autoZero"/>
        <c:crossBetween val="midCat"/>
      </c:valAx>
      <c:valAx>
        <c:axId val="96490240"/>
        <c:scaling>
          <c:orientation val="minMax"/>
        </c:scaling>
        <c:delete val="0"/>
        <c:axPos val="l"/>
        <c:title>
          <c:tx>
            <c:rich>
              <a:bodyPr rot="-5400000" vert="horz"/>
              <a:lstStyle/>
              <a:p>
                <a:pPr>
                  <a:defRPr/>
                </a:pPr>
                <a:r>
                  <a:rPr lang="en-US"/>
                  <a:t>Hectares/(Wh/Wdc)</a:t>
                </a:r>
              </a:p>
            </c:rich>
          </c:tx>
          <c:overlay val="0"/>
        </c:title>
        <c:numFmt formatCode="General" sourceLinked="0"/>
        <c:majorTickMark val="out"/>
        <c:minorTickMark val="none"/>
        <c:tickLblPos val="nextTo"/>
        <c:crossAx val="96488064"/>
        <c:crosses val="autoZero"/>
        <c:crossBetween val="midCat"/>
      </c:valAx>
    </c:plotArea>
    <c:legend>
      <c:legendPos val="r"/>
      <c:layout>
        <c:manualLayout>
          <c:xMode val="edge"/>
          <c:yMode val="edge"/>
          <c:x val="0.86265138612812453"/>
          <c:y val="3.3279141078239052E-2"/>
          <c:w val="0.12323372900605629"/>
          <c:h val="0.2340830211757510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MW built</a:t>
            </a:r>
          </a:p>
        </c:rich>
      </c:tx>
      <c:overlay val="1"/>
    </c:title>
    <c:autoTitleDeleted val="0"/>
    <c:plotArea>
      <c:layout>
        <c:manualLayout>
          <c:layoutTarget val="inner"/>
          <c:xMode val="edge"/>
          <c:yMode val="edge"/>
          <c:x val="0.20165406534635266"/>
          <c:y val="5.0317046424132504E-2"/>
          <c:w val="0.60025732979817792"/>
          <c:h val="0.74004584139079355"/>
        </c:manualLayout>
      </c:layout>
      <c:barChart>
        <c:barDir val="col"/>
        <c:grouping val="clustered"/>
        <c:varyColors val="0"/>
        <c:ser>
          <c:idx val="1"/>
          <c:order val="0"/>
          <c:tx>
            <c:v>2 Axis</c:v>
          </c:tx>
          <c:invertIfNegative val="0"/>
          <c:cat>
            <c:strRef>
              <c:f>Data!$BK$288:$BN$288</c:f>
              <c:strCache>
                <c:ptCount val="4"/>
                <c:pt idx="0">
                  <c:v>&lt;2008</c:v>
                </c:pt>
                <c:pt idx="1">
                  <c:v>2008-2009</c:v>
                </c:pt>
                <c:pt idx="2">
                  <c:v>2010-2011</c:v>
                </c:pt>
                <c:pt idx="3">
                  <c:v>&gt;=2012</c:v>
                </c:pt>
              </c:strCache>
            </c:strRef>
          </c:cat>
          <c:val>
            <c:numRef>
              <c:f>Data!$BK$290:$BN$290</c:f>
              <c:numCache>
                <c:formatCode>0.0%</c:formatCode>
                <c:ptCount val="4"/>
                <c:pt idx="0" formatCode="0%">
                  <c:v>2.1881354393245622E-2</c:v>
                </c:pt>
                <c:pt idx="1">
                  <c:v>9.9953256252585023E-3</c:v>
                </c:pt>
                <c:pt idx="2">
                  <c:v>4.9589976950384753E-3</c:v>
                </c:pt>
                <c:pt idx="3">
                  <c:v>1.8902946207728689E-2</c:v>
                </c:pt>
              </c:numCache>
            </c:numRef>
          </c:val>
        </c:ser>
        <c:ser>
          <c:idx val="0"/>
          <c:order val="1"/>
          <c:tx>
            <c:v>1 Axis</c:v>
          </c:tx>
          <c:invertIfNegative val="0"/>
          <c:cat>
            <c:strRef>
              <c:f>Data!$BK$288:$BN$288</c:f>
              <c:strCache>
                <c:ptCount val="4"/>
                <c:pt idx="0">
                  <c:v>&lt;2008</c:v>
                </c:pt>
                <c:pt idx="1">
                  <c:v>2008-2009</c:v>
                </c:pt>
                <c:pt idx="2">
                  <c:v>2010-2011</c:v>
                </c:pt>
                <c:pt idx="3">
                  <c:v>&gt;=2012</c:v>
                </c:pt>
              </c:strCache>
            </c:strRef>
          </c:cat>
          <c:val>
            <c:numRef>
              <c:f>Data!$BK$289:$BN$289</c:f>
              <c:numCache>
                <c:formatCode>0.0%</c:formatCode>
                <c:ptCount val="4"/>
                <c:pt idx="0" formatCode="0%">
                  <c:v>0.78149030269832309</c:v>
                </c:pt>
                <c:pt idx="1">
                  <c:v>0.45657525042792574</c:v>
                </c:pt>
                <c:pt idx="2">
                  <c:v>0.34593192912518606</c:v>
                </c:pt>
                <c:pt idx="3">
                  <c:v>0.19911668428110113</c:v>
                </c:pt>
              </c:numCache>
            </c:numRef>
          </c:val>
        </c:ser>
        <c:ser>
          <c:idx val="2"/>
          <c:order val="2"/>
          <c:tx>
            <c:v>Fixed</c:v>
          </c:tx>
          <c:invertIfNegative val="0"/>
          <c:cat>
            <c:strRef>
              <c:f>Data!$BK$288:$BN$288</c:f>
              <c:strCache>
                <c:ptCount val="4"/>
                <c:pt idx="0">
                  <c:v>&lt;2008</c:v>
                </c:pt>
                <c:pt idx="1">
                  <c:v>2008-2009</c:v>
                </c:pt>
                <c:pt idx="2">
                  <c:v>2010-2011</c:v>
                </c:pt>
                <c:pt idx="3">
                  <c:v>&gt;=2012</c:v>
                </c:pt>
              </c:strCache>
            </c:strRef>
          </c:cat>
          <c:val>
            <c:numRef>
              <c:f>Data!$BK$291:$BN$291</c:f>
              <c:numCache>
                <c:formatCode>0.0%</c:formatCode>
                <c:ptCount val="4"/>
                <c:pt idx="0" formatCode="0%">
                  <c:v>0.19662834290843129</c:v>
                </c:pt>
                <c:pt idx="1">
                  <c:v>0.53342942394681581</c:v>
                </c:pt>
                <c:pt idx="2">
                  <c:v>0.63478865709109644</c:v>
                </c:pt>
                <c:pt idx="3">
                  <c:v>0.18792952884281647</c:v>
                </c:pt>
              </c:numCache>
            </c:numRef>
          </c:val>
        </c:ser>
        <c:ser>
          <c:idx val="3"/>
          <c:order val="3"/>
          <c:tx>
            <c:v>Unknown</c:v>
          </c:tx>
          <c:invertIfNegative val="0"/>
          <c:cat>
            <c:strRef>
              <c:f>Data!$BK$288:$BN$288</c:f>
              <c:strCache>
                <c:ptCount val="4"/>
                <c:pt idx="0">
                  <c:v>&lt;2008</c:v>
                </c:pt>
                <c:pt idx="1">
                  <c:v>2008-2009</c:v>
                </c:pt>
                <c:pt idx="2">
                  <c:v>2010-2011</c:v>
                </c:pt>
                <c:pt idx="3">
                  <c:v>&gt;=2012</c:v>
                </c:pt>
              </c:strCache>
            </c:strRef>
          </c:cat>
          <c:val>
            <c:numRef>
              <c:f>Data!$BK$292:$BN$292</c:f>
              <c:numCache>
                <c:formatCode>0.0%</c:formatCode>
                <c:ptCount val="4"/>
                <c:pt idx="0" formatCode="0%">
                  <c:v>0</c:v>
                </c:pt>
                <c:pt idx="1">
                  <c:v>0</c:v>
                </c:pt>
                <c:pt idx="2">
                  <c:v>1.4320416088679132E-2</c:v>
                </c:pt>
                <c:pt idx="3">
                  <c:v>0.59405084066835379</c:v>
                </c:pt>
              </c:numCache>
            </c:numRef>
          </c:val>
        </c:ser>
        <c:dLbls>
          <c:showLegendKey val="0"/>
          <c:showVal val="0"/>
          <c:showCatName val="0"/>
          <c:showSerName val="0"/>
          <c:showPercent val="0"/>
          <c:showBubbleSize val="0"/>
        </c:dLbls>
        <c:gapWidth val="150"/>
        <c:axId val="96524928"/>
        <c:axId val="99025664"/>
      </c:barChart>
      <c:catAx>
        <c:axId val="96524928"/>
        <c:scaling>
          <c:orientation val="minMax"/>
        </c:scaling>
        <c:delete val="0"/>
        <c:axPos val="b"/>
        <c:title>
          <c:tx>
            <c:rich>
              <a:bodyPr/>
              <a:lstStyle/>
              <a:p>
                <a:pPr>
                  <a:defRPr/>
                </a:pPr>
                <a:r>
                  <a:rPr lang="en-US"/>
                  <a:t>Projects built</a:t>
                </a:r>
                <a:r>
                  <a:rPr lang="en-US" baseline="0"/>
                  <a:t> diring time frame</a:t>
                </a:r>
                <a:endParaRPr lang="en-US"/>
              </a:p>
            </c:rich>
          </c:tx>
          <c:overlay val="0"/>
        </c:title>
        <c:majorTickMark val="out"/>
        <c:minorTickMark val="none"/>
        <c:tickLblPos val="nextTo"/>
        <c:crossAx val="99025664"/>
        <c:crosses val="autoZero"/>
        <c:auto val="1"/>
        <c:lblAlgn val="ctr"/>
        <c:lblOffset val="100"/>
        <c:noMultiLvlLbl val="0"/>
      </c:catAx>
      <c:valAx>
        <c:axId val="99025664"/>
        <c:scaling>
          <c:orientation val="minMax"/>
        </c:scaling>
        <c:delete val="0"/>
        <c:axPos val="l"/>
        <c:title>
          <c:tx>
            <c:rich>
              <a:bodyPr rot="-5400000" vert="horz"/>
              <a:lstStyle/>
              <a:p>
                <a:pPr>
                  <a:defRPr/>
                </a:pPr>
                <a:r>
                  <a:rPr lang="en-US"/>
                  <a:t>Percentage of projects</a:t>
                </a:r>
              </a:p>
            </c:rich>
          </c:tx>
          <c:overlay val="0"/>
        </c:title>
        <c:numFmt formatCode="0%" sourceLinked="1"/>
        <c:majorTickMark val="out"/>
        <c:minorTickMark val="none"/>
        <c:tickLblPos val="nextTo"/>
        <c:crossAx val="96524928"/>
        <c:crosses val="autoZero"/>
        <c:crossBetween val="between"/>
      </c:valAx>
    </c:plotArea>
    <c:legend>
      <c:legendPos val="r"/>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MW of</a:t>
            </a:r>
            <a:r>
              <a:rPr lang="en-US" baseline="0"/>
              <a:t> Projects</a:t>
            </a:r>
            <a:endParaRPr lang="en-US"/>
          </a:p>
        </c:rich>
      </c:tx>
      <c:layout>
        <c:manualLayout>
          <c:xMode val="edge"/>
          <c:yMode val="edge"/>
          <c:x val="0.39468044619422987"/>
          <c:y val="2.7755103824850264E-2"/>
        </c:manualLayout>
      </c:layout>
      <c:overlay val="1"/>
    </c:title>
    <c:autoTitleDeleted val="0"/>
    <c:plotArea>
      <c:layout/>
      <c:barChart>
        <c:barDir val="col"/>
        <c:grouping val="clustered"/>
        <c:varyColors val="0"/>
        <c:ser>
          <c:idx val="1"/>
          <c:order val="0"/>
          <c:tx>
            <c:v>2 Axis</c:v>
          </c:tx>
          <c:invertIfNegative val="0"/>
          <c:cat>
            <c:strRef>
              <c:f>Data!$BO$288:$BQ$288</c:f>
              <c:strCache>
                <c:ptCount val="3"/>
                <c:pt idx="0">
                  <c:v>&lt;2008</c:v>
                </c:pt>
                <c:pt idx="1">
                  <c:v>2008-2009</c:v>
                </c:pt>
                <c:pt idx="2">
                  <c:v>2010-2011</c:v>
                </c:pt>
              </c:strCache>
            </c:strRef>
          </c:cat>
          <c:val>
            <c:numRef>
              <c:f>Data!$BO$290:$BQ$290</c:f>
              <c:numCache>
                <c:formatCode>0.0</c:formatCode>
                <c:ptCount val="3"/>
                <c:pt idx="0">
                  <c:v>0.88290979444545314</c:v>
                </c:pt>
                <c:pt idx="1">
                  <c:v>0.86332741713374106</c:v>
                </c:pt>
                <c:pt idx="2">
                  <c:v>2.859878495219168</c:v>
                </c:pt>
              </c:numCache>
            </c:numRef>
          </c:val>
        </c:ser>
        <c:ser>
          <c:idx val="0"/>
          <c:order val="1"/>
          <c:tx>
            <c:v>1 Axis</c:v>
          </c:tx>
          <c:invertIfNegative val="0"/>
          <c:cat>
            <c:strRef>
              <c:f>Data!$BO$288:$BQ$288</c:f>
              <c:strCache>
                <c:ptCount val="3"/>
                <c:pt idx="0">
                  <c:v>&lt;2008</c:v>
                </c:pt>
                <c:pt idx="1">
                  <c:v>2008-2009</c:v>
                </c:pt>
                <c:pt idx="2">
                  <c:v>2010-2011</c:v>
                </c:pt>
              </c:strCache>
            </c:strRef>
          </c:cat>
          <c:val>
            <c:numRef>
              <c:f>Data!$BO$289:$BQ$289</c:f>
              <c:numCache>
                <c:formatCode>0.0</c:formatCode>
                <c:ptCount val="3"/>
                <c:pt idx="0">
                  <c:v>31.533031736347976</c:v>
                </c:pt>
                <c:pt idx="1">
                  <c:v>39.435826951254313</c:v>
                </c:pt>
                <c:pt idx="2">
                  <c:v>199.50065431662296</c:v>
                </c:pt>
              </c:numCache>
            </c:numRef>
          </c:val>
        </c:ser>
        <c:ser>
          <c:idx val="2"/>
          <c:order val="2"/>
          <c:tx>
            <c:v>Fixed</c:v>
          </c:tx>
          <c:invertIfNegative val="0"/>
          <c:cat>
            <c:strRef>
              <c:f>Data!$BO$288:$BQ$288</c:f>
              <c:strCache>
                <c:ptCount val="3"/>
                <c:pt idx="0">
                  <c:v>&lt;2008</c:v>
                </c:pt>
                <c:pt idx="1">
                  <c:v>2008-2009</c:v>
                </c:pt>
                <c:pt idx="2">
                  <c:v>2010-2011</c:v>
                </c:pt>
              </c:strCache>
            </c:strRef>
          </c:cat>
          <c:val>
            <c:numRef>
              <c:f>Data!$BO$291:$BQ$291</c:f>
              <c:numCache>
                <c:formatCode>0.0</c:formatCode>
                <c:ptCount val="3"/>
                <c:pt idx="0">
                  <c:v>7.9339279781064143</c:v>
                </c:pt>
                <c:pt idx="1">
                  <c:v>46.073961376044075</c:v>
                </c:pt>
                <c:pt idx="2">
                  <c:v>366.08575786196167</c:v>
                </c:pt>
              </c:numCache>
            </c:numRef>
          </c:val>
        </c:ser>
        <c:dLbls>
          <c:showLegendKey val="0"/>
          <c:showVal val="0"/>
          <c:showCatName val="0"/>
          <c:showSerName val="0"/>
          <c:showPercent val="0"/>
          <c:showBubbleSize val="0"/>
        </c:dLbls>
        <c:gapWidth val="150"/>
        <c:axId val="99048064"/>
        <c:axId val="99054336"/>
      </c:barChart>
      <c:catAx>
        <c:axId val="99048064"/>
        <c:scaling>
          <c:orientation val="minMax"/>
        </c:scaling>
        <c:delete val="0"/>
        <c:axPos val="b"/>
        <c:title>
          <c:tx>
            <c:rich>
              <a:bodyPr/>
              <a:lstStyle/>
              <a:p>
                <a:pPr>
                  <a:defRPr/>
                </a:pPr>
                <a:r>
                  <a:rPr lang="en-US"/>
                  <a:t>Built during Years</a:t>
                </a:r>
              </a:p>
            </c:rich>
          </c:tx>
          <c:overlay val="0"/>
        </c:title>
        <c:majorTickMark val="out"/>
        <c:minorTickMark val="none"/>
        <c:tickLblPos val="nextTo"/>
        <c:crossAx val="99054336"/>
        <c:crosses val="autoZero"/>
        <c:auto val="1"/>
        <c:lblAlgn val="ctr"/>
        <c:lblOffset val="100"/>
        <c:noMultiLvlLbl val="0"/>
      </c:catAx>
      <c:valAx>
        <c:axId val="99054336"/>
        <c:scaling>
          <c:orientation val="minMax"/>
        </c:scaling>
        <c:delete val="0"/>
        <c:axPos val="l"/>
        <c:title>
          <c:tx>
            <c:rich>
              <a:bodyPr rot="-5400000" vert="horz"/>
              <a:lstStyle/>
              <a:p>
                <a:pPr>
                  <a:defRPr/>
                </a:pPr>
                <a:r>
                  <a:rPr lang="en-US"/>
                  <a:t>MW  DC</a:t>
                </a:r>
              </a:p>
            </c:rich>
          </c:tx>
          <c:overlay val="0"/>
        </c:title>
        <c:numFmt formatCode="0.0" sourceLinked="1"/>
        <c:majorTickMark val="out"/>
        <c:minorTickMark val="none"/>
        <c:tickLblPos val="nextTo"/>
        <c:crossAx val="99048064"/>
        <c:crosses val="autoZero"/>
        <c:crossBetween val="between"/>
      </c:valAx>
    </c:plotArea>
    <c:legend>
      <c:legendPos val="r"/>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09547148997682"/>
          <c:y val="0.13685310303953938"/>
          <c:w val="0.82021206588304918"/>
          <c:h val="0.69781153162306364"/>
        </c:manualLayout>
      </c:layout>
      <c:scatterChart>
        <c:scatterStyle val="lineMarker"/>
        <c:varyColors val="0"/>
        <c:ser>
          <c:idx val="0"/>
          <c:order val="0"/>
          <c:tx>
            <c:v>1 Axis</c:v>
          </c:tx>
          <c:spPr>
            <a:ln w="28575">
              <a:noFill/>
            </a:ln>
          </c:spPr>
          <c:trendline>
            <c:trendlineType val="linear"/>
            <c:dispRSqr val="1"/>
            <c:dispEq val="1"/>
            <c:trendlineLbl>
              <c:numFmt formatCode="General" sourceLinked="0"/>
            </c:trendlineLbl>
          </c:trendline>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Data!$M$3:$M$57</c:f>
              <c:numCache>
                <c:formatCode>0.00</c:formatCode>
                <c:ptCount val="55"/>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numCache>
            </c:numRef>
          </c:yVal>
          <c:smooth val="0"/>
        </c:ser>
        <c:ser>
          <c:idx val="1"/>
          <c:order val="1"/>
          <c:tx>
            <c:v>1 axis Large</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Data!$M$178:$M$193</c:f>
              <c:numCache>
                <c:formatCode>0.00</c:formatCode>
                <c:ptCount val="16"/>
                <c:pt idx="0">
                  <c:v>10.331176470588234</c:v>
                </c:pt>
                <c:pt idx="1">
                  <c:v>7.2</c:v>
                </c:pt>
                <c:pt idx="2">
                  <c:v>10.5</c:v>
                </c:pt>
                <c:pt idx="3">
                  <c:v>8</c:v>
                </c:pt>
                <c:pt idx="4">
                  <c:v>9.349222368956255</c:v>
                </c:pt>
                <c:pt idx="5">
                  <c:v>6.16</c:v>
                </c:pt>
                <c:pt idx="6">
                  <c:v>9.4</c:v>
                </c:pt>
                <c:pt idx="7">
                  <c:v>11.538461538461538</c:v>
                </c:pt>
                <c:pt idx="8">
                  <c:v>7.333333333333333</c:v>
                </c:pt>
                <c:pt idx="9">
                  <c:v>10.826988901463732</c:v>
                </c:pt>
                <c:pt idx="10">
                  <c:v>8.5469311567767843</c:v>
                </c:pt>
                <c:pt idx="11">
                  <c:v>7.4</c:v>
                </c:pt>
                <c:pt idx="12">
                  <c:v>9.1304347826086953</c:v>
                </c:pt>
                <c:pt idx="13">
                  <c:v>6.94</c:v>
                </c:pt>
                <c:pt idx="14">
                  <c:v>9.7317820782387443</c:v>
                </c:pt>
                <c:pt idx="15">
                  <c:v>6.71</c:v>
                </c:pt>
              </c:numCache>
            </c:numRef>
          </c:yVal>
          <c:smooth val="0"/>
        </c:ser>
        <c:dLbls>
          <c:showLegendKey val="0"/>
          <c:showVal val="0"/>
          <c:showCatName val="0"/>
          <c:showSerName val="0"/>
          <c:showPercent val="0"/>
          <c:showBubbleSize val="0"/>
        </c:dLbls>
        <c:axId val="99080832"/>
        <c:axId val="99087104"/>
      </c:scatterChart>
      <c:valAx>
        <c:axId val="9908083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9087104"/>
        <c:crosses val="autoZero"/>
        <c:crossBetween val="midCat"/>
      </c:valAx>
      <c:valAx>
        <c:axId val="99087104"/>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9080832"/>
        <c:crosses val="autoZero"/>
        <c:crossBetween val="midCat"/>
      </c:valAx>
    </c:plotArea>
    <c:legend>
      <c:legendPos val="r"/>
      <c:layout>
        <c:manualLayout>
          <c:xMode val="edge"/>
          <c:yMode val="edge"/>
          <c:x val="0.74240720306774688"/>
          <c:y val="5.1126293036899813E-2"/>
          <c:w val="0.25759279693225567"/>
          <c:h val="0.2659251968503936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09547148997682"/>
          <c:y val="0.13685310303953938"/>
          <c:w val="0.82021206588304918"/>
          <c:h val="0.69781153162306364"/>
        </c:manualLayout>
      </c:layout>
      <c:scatterChart>
        <c:scatterStyle val="lineMarker"/>
        <c:varyColors val="0"/>
        <c:ser>
          <c:idx val="1"/>
          <c:order val="0"/>
          <c:tx>
            <c:v>2 Axis</c:v>
          </c:tx>
          <c:spPr>
            <a:ln w="28575">
              <a:noFill/>
            </a:ln>
          </c:spPr>
          <c:trendline>
            <c:trendlineType val="linear"/>
            <c:dispRSqr val="1"/>
            <c:dispEq val="1"/>
            <c:trendlineLbl>
              <c:numFmt formatCode="General" sourceLinked="0"/>
            </c:trendlineLbl>
          </c:trendline>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Data!$M$58:$M$65</c:f>
              <c:numCache>
                <c:formatCode>0.00</c:formatCode>
                <c:ptCount val="8"/>
                <c:pt idx="0">
                  <c:v>11.583090958932056</c:v>
                </c:pt>
                <c:pt idx="1">
                  <c:v>13.500828821914748</c:v>
                </c:pt>
                <c:pt idx="2">
                  <c:v>9.6272575675058238</c:v>
                </c:pt>
                <c:pt idx="3">
                  <c:v>14.414630194256446</c:v>
                </c:pt>
                <c:pt idx="4">
                  <c:v>10.973423239945067</c:v>
                </c:pt>
                <c:pt idx="5">
                  <c:v>7.6282453467075744</c:v>
                </c:pt>
                <c:pt idx="6">
                  <c:v>17</c:v>
                </c:pt>
                <c:pt idx="7">
                  <c:v>7.7380952380952381</c:v>
                </c:pt>
              </c:numCache>
            </c:numRef>
          </c:yVal>
          <c:smooth val="0"/>
        </c:ser>
        <c:ser>
          <c:idx val="0"/>
          <c:order val="1"/>
          <c:tx>
            <c:v>2 axis Large</c:v>
          </c:tx>
          <c:spPr>
            <a:ln w="28575">
              <a:noFill/>
            </a:ln>
          </c:spPr>
          <c:xVal>
            <c:numRef>
              <c:f>Data!$AB$194</c:f>
              <c:numCache>
                <c:formatCode>0.0%</c:formatCode>
                <c:ptCount val="1"/>
                <c:pt idx="0">
                  <c:v>0.31</c:v>
                </c:pt>
              </c:numCache>
            </c:numRef>
          </c:xVal>
          <c:yVal>
            <c:numRef>
              <c:f>Data!$M$194</c:f>
              <c:numCache>
                <c:formatCode>0.00</c:formatCode>
                <c:ptCount val="1"/>
                <c:pt idx="0">
                  <c:v>7.32421875</c:v>
                </c:pt>
              </c:numCache>
            </c:numRef>
          </c:yVal>
          <c:smooth val="0"/>
        </c:ser>
        <c:dLbls>
          <c:showLegendKey val="0"/>
          <c:showVal val="0"/>
          <c:showCatName val="0"/>
          <c:showSerName val="0"/>
          <c:showPercent val="0"/>
          <c:showBubbleSize val="0"/>
        </c:dLbls>
        <c:axId val="99142272"/>
        <c:axId val="99148544"/>
      </c:scatterChart>
      <c:valAx>
        <c:axId val="9914227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9148544"/>
        <c:crosses val="autoZero"/>
        <c:crossBetween val="midCat"/>
      </c:valAx>
      <c:valAx>
        <c:axId val="99148544"/>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9142272"/>
        <c:crosses val="autoZero"/>
        <c:crossBetween val="midCat"/>
      </c:valAx>
    </c:plotArea>
    <c:legend>
      <c:legendPos val="r"/>
      <c:layout>
        <c:manualLayout>
          <c:xMode val="edge"/>
          <c:yMode val="edge"/>
          <c:x val="0.74240720306774688"/>
          <c:y val="5.1126293036899813E-2"/>
          <c:w val="0.25759284078851824"/>
          <c:h val="0.2659251968503936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09547148997682"/>
          <c:y val="0.13685310303953938"/>
          <c:w val="0.82021206588304918"/>
          <c:h val="0.69781153162306364"/>
        </c:manualLayout>
      </c:layout>
      <c:scatterChart>
        <c:scatterStyle val="lineMarker"/>
        <c:varyColors val="0"/>
        <c:ser>
          <c:idx val="2"/>
          <c:order val="0"/>
          <c:tx>
            <c:v>Fixed small</c:v>
          </c:tx>
          <c:spPr>
            <a:ln w="28575">
              <a:noFill/>
            </a:ln>
          </c:spPr>
          <c:trendline>
            <c:trendlineType val="linear"/>
            <c:dispRSqr val="1"/>
            <c:dispEq val="1"/>
            <c:trendlineLbl>
              <c:numFmt formatCode="General" sourceLinked="0"/>
            </c:trendlineLbl>
          </c:trendline>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Data!$M$66:$M$116</c:f>
              <c:numCache>
                <c:formatCode>0.00</c:formatCode>
                <c:ptCount val="51"/>
                <c:pt idx="0">
                  <c:v>11.6462299939241</c:v>
                </c:pt>
                <c:pt idx="1">
                  <c:v>5.6964483026931951</c:v>
                </c:pt>
                <c:pt idx="2">
                  <c:v>6.3938618925831197</c:v>
                </c:pt>
                <c:pt idx="3">
                  <c:v>6.1111111111111107</c:v>
                </c:pt>
                <c:pt idx="4">
                  <c:v>10.410566251407433</c:v>
                </c:pt>
                <c:pt idx="5">
                  <c:v>3.9849969716925888</c:v>
                </c:pt>
                <c:pt idx="6">
                  <c:v>3.9814421126634252</c:v>
                </c:pt>
                <c:pt idx="7">
                  <c:v>9.2777638474081332</c:v>
                </c:pt>
                <c:pt idx="8">
                  <c:v>7.260609891230863</c:v>
                </c:pt>
                <c:pt idx="9">
                  <c:v>4.2087160999279618</c:v>
                </c:pt>
                <c:pt idx="10">
                  <c:v>5.8726271161785517</c:v>
                </c:pt>
                <c:pt idx="11">
                  <c:v>5.8726271161785517</c:v>
                </c:pt>
                <c:pt idx="12">
                  <c:v>7.9867728780028315</c:v>
                </c:pt>
                <c:pt idx="13">
                  <c:v>8.1880161186068126</c:v>
                </c:pt>
                <c:pt idx="14">
                  <c:v>4.6731875172984489</c:v>
                </c:pt>
                <c:pt idx="15">
                  <c:v>4.9691460213818521</c:v>
                </c:pt>
                <c:pt idx="16">
                  <c:v>9.0001948140667469</c:v>
                </c:pt>
                <c:pt idx="17">
                  <c:v>6.8250000000000002</c:v>
                </c:pt>
                <c:pt idx="18">
                  <c:v>6.6067055057008712</c:v>
                </c:pt>
                <c:pt idx="19">
                  <c:v>8.4197906846415407</c:v>
                </c:pt>
                <c:pt idx="20">
                  <c:v>5.8726271161785526</c:v>
                </c:pt>
                <c:pt idx="21">
                  <c:v>7.3407838952231907</c:v>
                </c:pt>
                <c:pt idx="22">
                  <c:v>5.3851990655357325</c:v>
                </c:pt>
                <c:pt idx="23">
                  <c:v>10.864360164930321</c:v>
                </c:pt>
                <c:pt idx="24">
                  <c:v>4.4743825647074686</c:v>
                </c:pt>
                <c:pt idx="25">
                  <c:v>6.85</c:v>
                </c:pt>
                <c:pt idx="26">
                  <c:v>6.7098975782062533</c:v>
                </c:pt>
                <c:pt idx="27">
                  <c:v>9.0829966063561614</c:v>
                </c:pt>
                <c:pt idx="28">
                  <c:v>6.4598898277964079</c:v>
                </c:pt>
                <c:pt idx="29">
                  <c:v>5.0896101673547456</c:v>
                </c:pt>
                <c:pt idx="30">
                  <c:v>8.0211492318536326</c:v>
                </c:pt>
                <c:pt idx="31">
                  <c:v>8.0081278856980251</c:v>
                </c:pt>
                <c:pt idx="32">
                  <c:v>4.9591073425507775</c:v>
                </c:pt>
                <c:pt idx="33">
                  <c:v>5.8726271161785526</c:v>
                </c:pt>
                <c:pt idx="34">
                  <c:v>3.0537661004128474</c:v>
                </c:pt>
                <c:pt idx="35">
                  <c:v>11.745254232357105</c:v>
                </c:pt>
                <c:pt idx="36">
                  <c:v>9.74</c:v>
                </c:pt>
                <c:pt idx="37">
                  <c:v>3</c:v>
                </c:pt>
                <c:pt idx="38">
                  <c:v>13.14800901577761</c:v>
                </c:pt>
                <c:pt idx="39">
                  <c:v>5.5533116937858651</c:v>
                </c:pt>
                <c:pt idx="40">
                  <c:v>7.0471525394142631</c:v>
                </c:pt>
                <c:pt idx="41">
                  <c:v>4.5</c:v>
                </c:pt>
                <c:pt idx="42">
                  <c:v>8</c:v>
                </c:pt>
                <c:pt idx="43">
                  <c:v>7.7</c:v>
                </c:pt>
                <c:pt idx="44">
                  <c:v>9.8000000000000007</c:v>
                </c:pt>
                <c:pt idx="45">
                  <c:v>7.6190476190476195</c:v>
                </c:pt>
                <c:pt idx="46">
                  <c:v>7.7142857142857144</c:v>
                </c:pt>
                <c:pt idx="47">
                  <c:v>9.1126972492425811</c:v>
                </c:pt>
                <c:pt idx="48">
                  <c:v>5.8726271161785526</c:v>
                </c:pt>
                <c:pt idx="49">
                  <c:v>11.574074074074073</c:v>
                </c:pt>
                <c:pt idx="50">
                  <c:v>7.7333333333333325</c:v>
                </c:pt>
              </c:numCache>
            </c:numRef>
          </c:yVal>
          <c:smooth val="0"/>
        </c:ser>
        <c:ser>
          <c:idx val="0"/>
          <c:order val="1"/>
          <c:tx>
            <c:v>fixed large</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Data!$M$196:$M$209</c:f>
              <c:numCache>
                <c:formatCode>0.00</c:formatCode>
                <c:ptCount val="14"/>
                <c:pt idx="0">
                  <c:v>10.266830622689778</c:v>
                </c:pt>
                <c:pt idx="1">
                  <c:v>7.4444444444444446</c:v>
                </c:pt>
                <c:pt idx="2">
                  <c:v>8.5420030780778937</c:v>
                </c:pt>
                <c:pt idx="3">
                  <c:v>8.8571428571428577</c:v>
                </c:pt>
                <c:pt idx="4">
                  <c:v>8.3333333333333339</c:v>
                </c:pt>
                <c:pt idx="5">
                  <c:v>6.25</c:v>
                </c:pt>
                <c:pt idx="6">
                  <c:v>4.1108389813249868</c:v>
                </c:pt>
                <c:pt idx="7">
                  <c:v>11.111111111111111</c:v>
                </c:pt>
                <c:pt idx="8">
                  <c:v>7.916666666666667</c:v>
                </c:pt>
                <c:pt idx="9">
                  <c:v>7.0471525394142631</c:v>
                </c:pt>
                <c:pt idx="10">
                  <c:v>11.904761904761905</c:v>
                </c:pt>
                <c:pt idx="11">
                  <c:v>8.2758620689655178</c:v>
                </c:pt>
                <c:pt idx="12">
                  <c:v>7.7181818181818178</c:v>
                </c:pt>
                <c:pt idx="13">
                  <c:v>6.3636363636363633</c:v>
                </c:pt>
              </c:numCache>
            </c:numRef>
          </c:yVal>
          <c:smooth val="0"/>
        </c:ser>
        <c:dLbls>
          <c:showLegendKey val="0"/>
          <c:showVal val="0"/>
          <c:showCatName val="0"/>
          <c:showSerName val="0"/>
          <c:showPercent val="0"/>
          <c:showBubbleSize val="0"/>
        </c:dLbls>
        <c:axId val="99183232"/>
        <c:axId val="99197696"/>
      </c:scatterChart>
      <c:valAx>
        <c:axId val="9918323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9197696"/>
        <c:crosses val="autoZero"/>
        <c:crossBetween val="midCat"/>
      </c:valAx>
      <c:valAx>
        <c:axId val="99197696"/>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9183232"/>
        <c:crosses val="autoZero"/>
        <c:crossBetween val="midCat"/>
      </c:valAx>
    </c:plotArea>
    <c:legend>
      <c:legendPos val="r"/>
      <c:layout>
        <c:manualLayout>
          <c:xMode val="edge"/>
          <c:yMode val="edge"/>
          <c:x val="0.74240720306774688"/>
          <c:y val="5.1126293036899813E-2"/>
          <c:w val="0.25759289581398731"/>
          <c:h val="0.2659251968503936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r>
              <a:rPr lang="en-US" baseline="0"/>
              <a:t> in CO springs</a:t>
            </a:r>
          </a:p>
          <a:p>
            <a:pPr>
              <a:defRPr/>
            </a:pPr>
            <a:endParaRPr lang="en-US"/>
          </a:p>
        </c:rich>
      </c:tx>
      <c:layout>
        <c:manualLayout>
          <c:xMode val="edge"/>
          <c:yMode val="edge"/>
          <c:x val="0.39036840503633685"/>
          <c:y val="3.1974420463629256E-2"/>
        </c:manualLayout>
      </c:layout>
      <c:overlay val="1"/>
    </c:title>
    <c:autoTitleDeleted val="0"/>
    <c:plotArea>
      <c:layout>
        <c:manualLayout>
          <c:layoutTarget val="inner"/>
          <c:xMode val="edge"/>
          <c:yMode val="edge"/>
          <c:x val="0.19461232180743682"/>
          <c:y val="0.15704314395609187"/>
          <c:w val="0.73514695896177162"/>
          <c:h val="0.6560458398127007"/>
        </c:manualLayout>
      </c:layout>
      <c:scatterChart>
        <c:scatterStyle val="lineMarker"/>
        <c:varyColors val="0"/>
        <c:ser>
          <c:idx val="0"/>
          <c:order val="0"/>
          <c:tx>
            <c:v>1 Axis</c:v>
          </c:tx>
          <c:spPr>
            <a:ln w="28575">
              <a:noFill/>
            </a:ln>
          </c:spPr>
          <c:xVal>
            <c:numRef>
              <c:f>Data!$AB$7:$AB$57</c:f>
              <c:numCache>
                <c:formatCode>0.0%</c:formatCode>
                <c:ptCount val="51"/>
                <c:pt idx="0">
                  <c:v>0.13769999999999999</c:v>
                </c:pt>
                <c:pt idx="2">
                  <c:v>0.19600000000000001</c:v>
                </c:pt>
                <c:pt idx="3">
                  <c:v>0.19600000000000001</c:v>
                </c:pt>
                <c:pt idx="4">
                  <c:v>0.14799999999999999</c:v>
                </c:pt>
                <c:pt idx="6">
                  <c:v>0.14799999999999999</c:v>
                </c:pt>
                <c:pt idx="7">
                  <c:v>0.19</c:v>
                </c:pt>
                <c:pt idx="8">
                  <c:v>0.19</c:v>
                </c:pt>
                <c:pt idx="9">
                  <c:v>0.12720000000000001</c:v>
                </c:pt>
                <c:pt idx="10">
                  <c:v>0.1305</c:v>
                </c:pt>
                <c:pt idx="11">
                  <c:v>0.13900000000000001</c:v>
                </c:pt>
                <c:pt idx="12">
                  <c:v>0.13600000000000001</c:v>
                </c:pt>
                <c:pt idx="13">
                  <c:v>0.13800000000000001</c:v>
                </c:pt>
                <c:pt idx="14">
                  <c:v>0.13919999999999999</c:v>
                </c:pt>
                <c:pt idx="18">
                  <c:v>0.1547</c:v>
                </c:pt>
                <c:pt idx="22">
                  <c:v>0.14399999999999999</c:v>
                </c:pt>
                <c:pt idx="24">
                  <c:v>0.19</c:v>
                </c:pt>
                <c:pt idx="25">
                  <c:v>0.19</c:v>
                </c:pt>
                <c:pt idx="27">
                  <c:v>0.19</c:v>
                </c:pt>
                <c:pt idx="30">
                  <c:v>0.14610000000000001</c:v>
                </c:pt>
                <c:pt idx="31">
                  <c:v>0.13919999999999999</c:v>
                </c:pt>
                <c:pt idx="32">
                  <c:v>0.14400000000000002</c:v>
                </c:pt>
                <c:pt idx="33">
                  <c:v>0.185</c:v>
                </c:pt>
                <c:pt idx="35">
                  <c:v>0.14299999999999999</c:v>
                </c:pt>
                <c:pt idx="38">
                  <c:v>0.14699999999999999</c:v>
                </c:pt>
                <c:pt idx="40">
                  <c:v>0.20100000000000001</c:v>
                </c:pt>
                <c:pt idx="41">
                  <c:v>0.20100000000000001</c:v>
                </c:pt>
                <c:pt idx="44">
                  <c:v>0.185</c:v>
                </c:pt>
                <c:pt idx="45">
                  <c:v>0.14000000000000001</c:v>
                </c:pt>
                <c:pt idx="46">
                  <c:v>0.14699999999999999</c:v>
                </c:pt>
                <c:pt idx="47">
                  <c:v>0.14699999999999999</c:v>
                </c:pt>
              </c:numCache>
            </c:numRef>
          </c:xVal>
          <c:yVal>
            <c:numRef>
              <c:f>Data!$AP$7:$AP$57</c:f>
              <c:numCache>
                <c:formatCode>General</c:formatCode>
                <c:ptCount val="51"/>
                <c:pt idx="0">
                  <c:v>2.9554214777425392</c:v>
                </c:pt>
                <c:pt idx="1">
                  <c:v>2.1977901380128264</c:v>
                </c:pt>
                <c:pt idx="2">
                  <c:v>3.8594277336443739</c:v>
                </c:pt>
                <c:pt idx="3">
                  <c:v>4.3552624947814609</c:v>
                </c:pt>
                <c:pt idx="4">
                  <c:v>3.2411678628552805</c:v>
                </c:pt>
                <c:pt idx="5">
                  <c:v>3.5963838622028064</c:v>
                </c:pt>
                <c:pt idx="6">
                  <c:v>3.6444781479779631</c:v>
                </c:pt>
                <c:pt idx="7">
                  <c:v>4.1858830870541421</c:v>
                </c:pt>
                <c:pt idx="8">
                  <c:v>3.9841723176838766</c:v>
                </c:pt>
                <c:pt idx="9">
                  <c:v>4.5598714093497037</c:v>
                </c:pt>
                <c:pt idx="10">
                  <c:v>3.9916572117562916</c:v>
                </c:pt>
                <c:pt idx="11">
                  <c:v>3.4263726638793539</c:v>
                </c:pt>
                <c:pt idx="12">
                  <c:v>4.2666586822761507</c:v>
                </c:pt>
                <c:pt idx="13">
                  <c:v>3.5551364236824479</c:v>
                </c:pt>
                <c:pt idx="14">
                  <c:v>3.0338518423783682</c:v>
                </c:pt>
                <c:pt idx="15">
                  <c:v>3.2966852070192396</c:v>
                </c:pt>
                <c:pt idx="16">
                  <c:v>2.1889989774607752</c:v>
                </c:pt>
                <c:pt idx="17">
                  <c:v>2.8571271794166737</c:v>
                </c:pt>
                <c:pt idx="18">
                  <c:v>3.3965847587470952</c:v>
                </c:pt>
                <c:pt idx="19">
                  <c:v>2.9821604699537994</c:v>
                </c:pt>
                <c:pt idx="20">
                  <c:v>3.2234255357521451</c:v>
                </c:pt>
                <c:pt idx="21">
                  <c:v>2.680231875625398</c:v>
                </c:pt>
                <c:pt idx="22">
                  <c:v>1.5684229621273351</c:v>
                </c:pt>
                <c:pt idx="23">
                  <c:v>3.1135360288515037</c:v>
                </c:pt>
                <c:pt idx="24">
                  <c:v>3.5164642208205219</c:v>
                </c:pt>
                <c:pt idx="25">
                  <c:v>2.2392578764658979</c:v>
                </c:pt>
                <c:pt idx="26">
                  <c:v>2.6031355272571548</c:v>
                </c:pt>
                <c:pt idx="27">
                  <c:v>2.1480347727162163</c:v>
                </c:pt>
                <c:pt idx="28">
                  <c:v>2.9303868506837687</c:v>
                </c:pt>
                <c:pt idx="29">
                  <c:v>3.150165864485051</c:v>
                </c:pt>
                <c:pt idx="30">
                  <c:v>2.1617607914880255</c:v>
                </c:pt>
                <c:pt idx="31">
                  <c:v>4.199259885196347</c:v>
                </c:pt>
                <c:pt idx="32">
                  <c:v>2.005483500936704</c:v>
                </c:pt>
                <c:pt idx="33">
                  <c:v>2.4872788831220451</c:v>
                </c:pt>
                <c:pt idx="34">
                  <c:v>1.8021879131705176</c:v>
                </c:pt>
                <c:pt idx="35">
                  <c:v>2.6373481656153919</c:v>
                </c:pt>
                <c:pt idx="36">
                  <c:v>4.1080189495566835</c:v>
                </c:pt>
                <c:pt idx="37">
                  <c:v>3.4883813468348026</c:v>
                </c:pt>
                <c:pt idx="38">
                  <c:v>2.9400100211147255</c:v>
                </c:pt>
                <c:pt idx="39">
                  <c:v>2.9939447467496985</c:v>
                </c:pt>
                <c:pt idx="40">
                  <c:v>3.854703861440238</c:v>
                </c:pt>
                <c:pt idx="41">
                  <c:v>3.7639947211250142</c:v>
                </c:pt>
                <c:pt idx="42">
                  <c:v>2.7472376725160328</c:v>
                </c:pt>
                <c:pt idx="43">
                  <c:v>3.5836266147757536</c:v>
                </c:pt>
                <c:pt idx="44">
                  <c:v>2.6749168234613747</c:v>
                </c:pt>
                <c:pt idx="45">
                  <c:v>3.3613260934313809</c:v>
                </c:pt>
                <c:pt idx="46">
                  <c:v>2.9870752272693228</c:v>
                </c:pt>
                <c:pt idx="47">
                  <c:v>2.9104441291317706</c:v>
                </c:pt>
                <c:pt idx="48">
                  <c:v>4.8306605892125791</c:v>
                </c:pt>
                <c:pt idx="49">
                  <c:v>4.5343665415081684</c:v>
                </c:pt>
                <c:pt idx="50">
                  <c:v>3.0148375751058416</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Data!$AP$58:$AP$65</c:f>
              <c:numCache>
                <c:formatCode>General</c:formatCode>
                <c:ptCount val="8"/>
                <c:pt idx="0">
                  <c:v>3.6764131080672415</c:v>
                </c:pt>
                <c:pt idx="1">
                  <c:v>4.2850931782060044</c:v>
                </c:pt>
                <c:pt idx="2">
                  <c:v>3.0556417144099863</c:v>
                </c:pt>
                <c:pt idx="3">
                  <c:v>4.5751290033029521</c:v>
                </c:pt>
                <c:pt idx="4">
                  <c:v>3.4829077301334852</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Data!$AP$66:$AP$116</c:f>
              <c:numCache>
                <c:formatCode>General</c:formatCode>
                <c:ptCount val="51"/>
                <c:pt idx="0">
                  <c:v>5.2823598219854047</c:v>
                </c:pt>
                <c:pt idx="1">
                  <c:v>2.5867549599907345</c:v>
                </c:pt>
                <c:pt idx="2">
                  <c:v>3.0153894259049521</c:v>
                </c:pt>
                <c:pt idx="3">
                  <c:v>2.799961105994818</c:v>
                </c:pt>
                <c:pt idx="4">
                  <c:v>4.7237231674028344</c:v>
                </c:pt>
                <c:pt idx="5">
                  <c:v>1.8084358817969963</c:v>
                </c:pt>
                <c:pt idx="6">
                  <c:v>1.8668639664758708</c:v>
                </c:pt>
                <c:pt idx="7">
                  <c:v>4.2377376753549649</c:v>
                </c:pt>
                <c:pt idx="8">
                  <c:v>3.4191872300933204</c:v>
                </c:pt>
                <c:pt idx="9">
                  <c:v>1.909095737892351</c:v>
                </c:pt>
                <c:pt idx="10">
                  <c:v>2.6638545179893276</c:v>
                </c:pt>
                <c:pt idx="11">
                  <c:v>2.6640357810836242</c:v>
                </c:pt>
                <c:pt idx="12">
                  <c:v>3.6228421444654861</c:v>
                </c:pt>
                <c:pt idx="13">
                  <c:v>3.7181749367016081</c:v>
                </c:pt>
                <c:pt idx="14">
                  <c:v>2.1215049765969436</c:v>
                </c:pt>
                <c:pt idx="15">
                  <c:v>2.2558624011503028</c:v>
                </c:pt>
                <c:pt idx="16">
                  <c:v>4.0843883597754305</c:v>
                </c:pt>
                <c:pt idx="17">
                  <c:v>3.101934334436244</c:v>
                </c:pt>
                <c:pt idx="18">
                  <c:v>2.9977473946979529</c:v>
                </c:pt>
                <c:pt idx="19">
                  <c:v>3.8458474250641932</c:v>
                </c:pt>
                <c:pt idx="20">
                  <c:v>2.6706870264395941</c:v>
                </c:pt>
                <c:pt idx="21">
                  <c:v>3.3298181474866602</c:v>
                </c:pt>
                <c:pt idx="22">
                  <c:v>2.4490200032451077</c:v>
                </c:pt>
                <c:pt idx="23">
                  <c:v>4.9303672987939171</c:v>
                </c:pt>
                <c:pt idx="24">
                  <c:v>2.0312527248452943</c:v>
                </c:pt>
                <c:pt idx="25">
                  <c:v>3.108972904279943</c:v>
                </c:pt>
                <c:pt idx="26">
                  <c:v>3.0517706353357013</c:v>
                </c:pt>
                <c:pt idx="27">
                  <c:v>4.1265527876190475</c:v>
                </c:pt>
                <c:pt idx="28">
                  <c:v>2.9326211214953939</c:v>
                </c:pt>
                <c:pt idx="29">
                  <c:v>2.6859235046095593</c:v>
                </c:pt>
                <c:pt idx="30">
                  <c:v>3.7057061693725375</c:v>
                </c:pt>
                <c:pt idx="31">
                  <c:v>3.6336332056944882</c:v>
                </c:pt>
                <c:pt idx="32">
                  <c:v>2.2552468223267685</c:v>
                </c:pt>
                <c:pt idx="33">
                  <c:v>2.6650634047534685</c:v>
                </c:pt>
                <c:pt idx="34">
                  <c:v>1.3850912581133592</c:v>
                </c:pt>
                <c:pt idx="35">
                  <c:v>5.4441708688037007</c:v>
                </c:pt>
                <c:pt idx="36">
                  <c:v>4.4195184812102406</c:v>
                </c:pt>
                <c:pt idx="37">
                  <c:v>1.567398119122257</c:v>
                </c:pt>
                <c:pt idx="38">
                  <c:v>5.9712921361286586</c:v>
                </c:pt>
                <c:pt idx="39">
                  <c:v>2.5655851561005409</c:v>
                </c:pt>
                <c:pt idx="40">
                  <c:v>3.1975972210111498</c:v>
                </c:pt>
                <c:pt idx="41">
                  <c:v>2.0619501466275656</c:v>
                </c:pt>
                <c:pt idx="42">
                  <c:v>3.630752473450122</c:v>
                </c:pt>
                <c:pt idx="43">
                  <c:v>3.4966146412791255</c:v>
                </c:pt>
                <c:pt idx="44">
                  <c:v>4.4477928962393456</c:v>
                </c:pt>
                <c:pt idx="45">
                  <c:v>3.477413439029315</c:v>
                </c:pt>
                <c:pt idx="46">
                  <c:v>3.6327480124159255</c:v>
                </c:pt>
                <c:pt idx="47">
                  <c:v>4.1589030542425967</c:v>
                </c:pt>
                <c:pt idx="48">
                  <c:v>2.6660192013594486</c:v>
                </c:pt>
                <c:pt idx="49">
                  <c:v>5.2604406279737264</c:v>
                </c:pt>
                <c:pt idx="50">
                  <c:v>3.6420093216600651</c:v>
                </c:pt>
              </c:numCache>
            </c:numRef>
          </c:yVal>
          <c:smooth val="0"/>
        </c:ser>
        <c:dLbls>
          <c:showLegendKey val="0"/>
          <c:showVal val="0"/>
          <c:showCatName val="0"/>
          <c:showSerName val="0"/>
          <c:showPercent val="0"/>
          <c:showBubbleSize val="0"/>
        </c:dLbls>
        <c:axId val="99220096"/>
        <c:axId val="101532416"/>
      </c:scatterChart>
      <c:valAx>
        <c:axId val="99220096"/>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1532416"/>
        <c:crosses val="autoZero"/>
        <c:crossBetween val="midCat"/>
      </c:valAx>
      <c:valAx>
        <c:axId val="101532416"/>
        <c:scaling>
          <c:orientation val="minMax"/>
        </c:scaling>
        <c:delete val="0"/>
        <c:axPos val="l"/>
        <c:title>
          <c:tx>
            <c:rich>
              <a:bodyPr rot="-5400000" vert="horz"/>
              <a:lstStyle/>
              <a:p>
                <a:pPr>
                  <a:defRPr/>
                </a:pPr>
                <a:r>
                  <a:rPr lang="en-US"/>
                  <a:t>Hectares/(GWh ac)</a:t>
                </a:r>
              </a:p>
            </c:rich>
          </c:tx>
          <c:overlay val="0"/>
        </c:title>
        <c:numFmt formatCode="General" sourceLinked="0"/>
        <c:majorTickMark val="out"/>
        <c:minorTickMark val="none"/>
        <c:tickLblPos val="nextTo"/>
        <c:crossAx val="99220096"/>
        <c:crosses val="autoZero"/>
        <c:crossBetween val="midCat"/>
      </c:valAx>
    </c:plotArea>
    <c:legend>
      <c:legendPos val="r"/>
      <c:layout>
        <c:manualLayout>
          <c:xMode val="edge"/>
          <c:yMode val="edge"/>
          <c:x val="0.68139554774591249"/>
          <c:y val="7.1567425658935424E-2"/>
          <c:w val="7.6792425427459593E-2"/>
          <c:h val="0.113644914879182"/>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41"/>
          <c:y val="3.1974420463629256E-2"/>
        </c:manualLayout>
      </c:layout>
      <c:overlay val="1"/>
    </c:title>
    <c:autoTitleDeleted val="0"/>
    <c:plotArea>
      <c:layout>
        <c:manualLayout>
          <c:layoutTarget val="inner"/>
          <c:xMode val="edge"/>
          <c:yMode val="edge"/>
          <c:x val="0.15476424808666808"/>
          <c:y val="7.66379022766039E-2"/>
          <c:w val="0.6845607305127841"/>
          <c:h val="0.75802642316769264"/>
        </c:manualLayout>
      </c:layout>
      <c:scatterChart>
        <c:scatterStyle val="lineMarker"/>
        <c:varyColors val="0"/>
        <c:ser>
          <c:idx val="0"/>
          <c:order val="0"/>
          <c:tx>
            <c:v>1 Axis</c:v>
          </c:tx>
          <c:spPr>
            <a:ln w="28575">
              <a:noFill/>
            </a:ln>
          </c:spPr>
          <c:trendline>
            <c:trendlineType val="linear"/>
            <c:dispRSqr val="0"/>
            <c:dispEq val="1"/>
            <c:trendlineLbl>
              <c:numFmt formatCode="General" sourceLinked="0"/>
            </c:trendlineLbl>
          </c:trendline>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Data!$R$3:$R$57</c:f>
              <c:numCache>
                <c:formatCode>0.00</c:formatCode>
                <c:ptCount val="55"/>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numCache>
            </c:numRef>
          </c:yVal>
          <c:smooth val="0"/>
        </c:ser>
        <c:dLbls>
          <c:showLegendKey val="0"/>
          <c:showVal val="0"/>
          <c:showCatName val="0"/>
          <c:showSerName val="0"/>
          <c:showPercent val="0"/>
          <c:showBubbleSize val="0"/>
        </c:dLbls>
        <c:axId val="92239744"/>
        <c:axId val="92241920"/>
      </c:scatterChart>
      <c:valAx>
        <c:axId val="92239744"/>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2241920"/>
        <c:crosses val="autoZero"/>
        <c:crossBetween val="midCat"/>
      </c:valAx>
      <c:valAx>
        <c:axId val="92241920"/>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2239744"/>
        <c:crosses val="autoZero"/>
        <c:crossBetween val="midCat"/>
      </c:valAx>
    </c:plotArea>
    <c:legend>
      <c:legendPos val="r"/>
      <c:layout>
        <c:manualLayout>
          <c:xMode val="edge"/>
          <c:yMode val="edge"/>
          <c:x val="0.76257102382655462"/>
          <c:y val="4.6224124897009236E-2"/>
          <c:w val="0.17715225696739673"/>
          <c:h val="0.31211069490100474"/>
        </c:manualLayout>
      </c:layout>
      <c:overlay val="0"/>
    </c:legend>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8536568125787567"/>
          <c:y val="7.66379022766039E-2"/>
          <c:w val="0.74439373431692724"/>
          <c:h val="0.7364513416405476"/>
        </c:manualLayout>
      </c:layout>
      <c:scatterChart>
        <c:scatterStyle val="lineMarker"/>
        <c:varyColors val="0"/>
        <c:ser>
          <c:idx val="0"/>
          <c:order val="0"/>
          <c:tx>
            <c:v>1 Axis</c:v>
          </c:tx>
          <c:spPr>
            <a:ln w="28575">
              <a:noFill/>
            </a:ln>
          </c:spPr>
          <c:trendline>
            <c:trendlineType val="linear"/>
            <c:dispRSqr val="0"/>
            <c:dispEq val="1"/>
            <c:trendlineLbl>
              <c:layout>
                <c:manualLayout>
                  <c:x val="-0.21806051933767628"/>
                  <c:y val="0.34661233147881398"/>
                </c:manualLayout>
              </c:layout>
              <c:numFmt formatCode="General" sourceLinked="0"/>
            </c:trendlineLbl>
          </c:trendline>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Data!$AM$3:$AM$57</c:f>
              <c:numCache>
                <c:formatCode>General</c:formatCode>
                <c:ptCount val="55"/>
                <c:pt idx="0">
                  <c:v>4.5867904804598716</c:v>
                </c:pt>
                <c:pt idx="1">
                  <c:v>5.0871380563316118</c:v>
                </c:pt>
                <c:pt idx="2">
                  <c:v>3.6963947289277348</c:v>
                </c:pt>
                <c:pt idx="3">
                  <c:v>3.6655300418737524</c:v>
                </c:pt>
                <c:pt idx="4">
                  <c:v>3.0411462393460944</c:v>
                </c:pt>
                <c:pt idx="5">
                  <c:v>2.6177118489531841</c:v>
                </c:pt>
                <c:pt idx="6">
                  <c:v>4.5075326999322334</c:v>
                </c:pt>
                <c:pt idx="7">
                  <c:v>5.0858890872032445</c:v>
                </c:pt>
                <c:pt idx="8">
                  <c:v>3.8619963025608528</c:v>
                </c:pt>
                <c:pt idx="9">
                  <c:v>3.7871695847554165</c:v>
                </c:pt>
                <c:pt idx="10">
                  <c:v>3.5420301786826274</c:v>
                </c:pt>
                <c:pt idx="11">
                  <c:v>4.6602946687957942</c:v>
                </c:pt>
                <c:pt idx="12">
                  <c:v>5.4884398637681411</c:v>
                </c:pt>
                <c:pt idx="13">
                  <c:v>4.6446594977047893</c:v>
                </c:pt>
                <c:pt idx="14">
                  <c:v>4.7720089889249993</c:v>
                </c:pt>
                <c:pt idx="15">
                  <c:v>3.5343765806045586</c:v>
                </c:pt>
                <c:pt idx="16">
                  <c:v>5.239115049128193</c:v>
                </c:pt>
                <c:pt idx="17">
                  <c:v>4.8864291004855565</c:v>
                </c:pt>
                <c:pt idx="18">
                  <c:v>3.4696577819775949</c:v>
                </c:pt>
                <c:pt idx="19">
                  <c:v>4.1154427899927253</c:v>
                </c:pt>
                <c:pt idx="20">
                  <c:v>2.5780750210304295</c:v>
                </c:pt>
                <c:pt idx="21">
                  <c:v>4.1996948323745737</c:v>
                </c:pt>
                <c:pt idx="22">
                  <c:v>4.7511219783996745</c:v>
                </c:pt>
                <c:pt idx="23">
                  <c:v>2.9844836685461118</c:v>
                </c:pt>
                <c:pt idx="24">
                  <c:v>3.2132280947353431</c:v>
                </c:pt>
                <c:pt idx="25">
                  <c:v>4.0301514797548732</c:v>
                </c:pt>
                <c:pt idx="26">
                  <c:v>2.3312808438507013</c:v>
                </c:pt>
                <c:pt idx="27">
                  <c:v>4.7292502039330753</c:v>
                </c:pt>
                <c:pt idx="29">
                  <c:v>3.3556718719235641</c:v>
                </c:pt>
                <c:pt idx="30">
                  <c:v>3.3512405348712657</c:v>
                </c:pt>
                <c:pt idx="31">
                  <c:v>3.0137086993274282</c:v>
                </c:pt>
                <c:pt idx="32">
                  <c:v>3.5432234437024617</c:v>
                </c:pt>
                <c:pt idx="33">
                  <c:v>3.6227070134347565</c:v>
                </c:pt>
                <c:pt idx="34">
                  <c:v>3.2326482698913708</c:v>
                </c:pt>
                <c:pt idx="35">
                  <c:v>4.3440978287931147</c:v>
                </c:pt>
                <c:pt idx="36">
                  <c:v>2.0845819352592625</c:v>
                </c:pt>
                <c:pt idx="37">
                  <c:v>3.9029824628312308</c:v>
                </c:pt>
                <c:pt idx="38">
                  <c:v>2.7882151312113379</c:v>
                </c:pt>
                <c:pt idx="39">
                  <c:v>2.5552140319491881</c:v>
                </c:pt>
                <c:pt idx="40">
                  <c:v>4.4668827961180089</c:v>
                </c:pt>
                <c:pt idx="41">
                  <c:v>3.799021124982537</c:v>
                </c:pt>
                <c:pt idx="42">
                  <c:v>3.5533648031060592</c:v>
                </c:pt>
                <c:pt idx="43">
                  <c:v>2.9962659036176169</c:v>
                </c:pt>
                <c:pt idx="44">
                  <c:v>5.6204606595037623</c:v>
                </c:pt>
                <c:pt idx="45">
                  <c:v>3.6644452788258262</c:v>
                </c:pt>
                <c:pt idx="47">
                  <c:v>3.8203611605711441</c:v>
                </c:pt>
                <c:pt idx="48">
                  <c:v>2.7623180046782618</c:v>
                </c:pt>
                <c:pt idx="49">
                  <c:v>3.4512078914316997</c:v>
                </c:pt>
                <c:pt idx="50">
                  <c:v>3.5778512263266706</c:v>
                </c:pt>
                <c:pt idx="51">
                  <c:v>3.4862706232145988</c:v>
                </c:pt>
                <c:pt idx="52">
                  <c:v>6.6074496020911253</c:v>
                </c:pt>
                <c:pt idx="53">
                  <c:v>4.4974163721866613</c:v>
                </c:pt>
                <c:pt idx="54">
                  <c:v>3.108716756026193</c:v>
                </c:pt>
              </c:numCache>
            </c:numRef>
          </c:yVal>
          <c:smooth val="0"/>
        </c:ser>
        <c:dLbls>
          <c:showLegendKey val="0"/>
          <c:showVal val="0"/>
          <c:showCatName val="0"/>
          <c:showSerName val="0"/>
          <c:showPercent val="0"/>
          <c:showBubbleSize val="0"/>
        </c:dLbls>
        <c:axId val="101558144"/>
        <c:axId val="101572608"/>
      </c:scatterChart>
      <c:valAx>
        <c:axId val="101558144"/>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1572608"/>
        <c:crosses val="autoZero"/>
        <c:crossBetween val="midCat"/>
      </c:valAx>
      <c:valAx>
        <c:axId val="101572608"/>
        <c:scaling>
          <c:orientation val="minMax"/>
        </c:scaling>
        <c:delete val="0"/>
        <c:axPos val="l"/>
        <c:title>
          <c:tx>
            <c:rich>
              <a:bodyPr rot="-5400000" vert="horz"/>
              <a:lstStyle/>
              <a:p>
                <a:pPr>
                  <a:defRPr/>
                </a:pPr>
                <a:r>
                  <a:rPr lang="en-US"/>
                  <a:t>Hectares/(Wh/Wdc)</a:t>
                </a:r>
              </a:p>
            </c:rich>
          </c:tx>
          <c:overlay val="0"/>
        </c:title>
        <c:numFmt formatCode="General" sourceLinked="0"/>
        <c:majorTickMark val="out"/>
        <c:minorTickMark val="none"/>
        <c:tickLblPos val="nextTo"/>
        <c:crossAx val="101558144"/>
        <c:crosses val="autoZero"/>
        <c:crossBetween val="midCat"/>
      </c:valAx>
    </c:plotArea>
    <c:legend>
      <c:legendPos val="r"/>
      <c:layout>
        <c:manualLayout>
          <c:xMode val="edge"/>
          <c:yMode val="edge"/>
          <c:x val="0.86265138612812486"/>
          <c:y val="3.3279141078239052E-2"/>
          <c:w val="0.12323372900605635"/>
          <c:h val="0.2340830211757510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a:t>
            </a:r>
          </a:p>
        </c:rich>
      </c:tx>
      <c:layout>
        <c:manualLayout>
          <c:xMode val="edge"/>
          <c:yMode val="edge"/>
          <c:x val="0.42740555157877991"/>
          <c:y val="3.1974430615527911E-2"/>
        </c:manualLayout>
      </c:layout>
      <c:overlay val="1"/>
    </c:title>
    <c:autoTitleDeleted val="0"/>
    <c:plotArea>
      <c:layout>
        <c:manualLayout>
          <c:layoutTarget val="inner"/>
          <c:xMode val="edge"/>
          <c:yMode val="edge"/>
          <c:x val="0.16159905011873521"/>
          <c:y val="7.6637879942426823E-2"/>
          <c:w val="0.76815997099461664"/>
          <c:h val="0.75802642316769264"/>
        </c:manualLayout>
      </c:layout>
      <c:scatterChart>
        <c:scatterStyle val="lineMarker"/>
        <c:varyColors val="0"/>
        <c:ser>
          <c:idx val="0"/>
          <c:order val="0"/>
          <c:tx>
            <c:v>1 Axis</c:v>
          </c:tx>
          <c:spPr>
            <a:ln w="28575">
              <a:noFill/>
            </a:ln>
          </c:spPr>
          <c:xVal>
            <c:numRef>
              <c:f>Data!$F$178:$F$193</c:f>
              <c:numCache>
                <c:formatCode>0</c:formatCode>
                <c:ptCount val="16"/>
                <c:pt idx="0">
                  <c:v>20000</c:v>
                </c:pt>
                <c:pt idx="1">
                  <c:v>23490.50846471421</c:v>
                </c:pt>
                <c:pt idx="2">
                  <c:v>23490.50846471421</c:v>
                </c:pt>
                <c:pt idx="3">
                  <c:v>23490.50846471421</c:v>
                </c:pt>
                <c:pt idx="4" formatCode="General">
                  <c:v>25000</c:v>
                </c:pt>
                <c:pt idx="5">
                  <c:v>29363.135580892762</c:v>
                </c:pt>
                <c:pt idx="6">
                  <c:v>28000</c:v>
                </c:pt>
                <c:pt idx="7">
                  <c:v>30537.661004128473</c:v>
                </c:pt>
                <c:pt idx="8">
                  <c:v>35200</c:v>
                </c:pt>
                <c:pt idx="9" formatCode="General">
                  <c:v>110000</c:v>
                </c:pt>
                <c:pt idx="10" formatCode="General">
                  <c:v>130000</c:v>
                </c:pt>
                <c:pt idx="11">
                  <c:v>176178.81348535657</c:v>
                </c:pt>
                <c:pt idx="12">
                  <c:v>284000</c:v>
                </c:pt>
                <c:pt idx="13">
                  <c:v>293631.35580892762</c:v>
                </c:pt>
                <c:pt idx="14">
                  <c:v>350000</c:v>
                </c:pt>
                <c:pt idx="15">
                  <c:v>352357.62697071314</c:v>
                </c:pt>
              </c:numCache>
            </c:numRef>
          </c:xVal>
          <c:yVal>
            <c:numRef>
              <c:f>Data!$J$178:$J$193</c:f>
              <c:numCache>
                <c:formatCode>General</c:formatCode>
                <c:ptCount val="16"/>
                <c:pt idx="0">
                  <c:v>175.63</c:v>
                </c:pt>
                <c:pt idx="1">
                  <c:v>144</c:v>
                </c:pt>
                <c:pt idx="2">
                  <c:v>210</c:v>
                </c:pt>
                <c:pt idx="3">
                  <c:v>160</c:v>
                </c:pt>
                <c:pt idx="4">
                  <c:v>199</c:v>
                </c:pt>
                <c:pt idx="5">
                  <c:v>154</c:v>
                </c:pt>
                <c:pt idx="6">
                  <c:v>235</c:v>
                </c:pt>
                <c:pt idx="7">
                  <c:v>300</c:v>
                </c:pt>
                <c:pt idx="8">
                  <c:v>220</c:v>
                </c:pt>
                <c:pt idx="9">
                  <c:v>1014</c:v>
                </c:pt>
                <c:pt idx="10">
                  <c:v>946</c:v>
                </c:pt>
                <c:pt idx="11">
                  <c:v>1110</c:v>
                </c:pt>
                <c:pt idx="12">
                  <c:v>2100</c:v>
                </c:pt>
                <c:pt idx="13">
                  <c:v>1735</c:v>
                </c:pt>
                <c:pt idx="14">
                  <c:v>2900</c:v>
                </c:pt>
                <c:pt idx="15">
                  <c:v>2013</c:v>
                </c:pt>
              </c:numCache>
            </c:numRef>
          </c:yVal>
          <c:smooth val="0"/>
        </c:ser>
        <c:ser>
          <c:idx val="1"/>
          <c:order val="1"/>
          <c:tx>
            <c:strRef>
              <c:f>Data!$Y$59</c:f>
              <c:strCache>
                <c:ptCount val="1"/>
                <c:pt idx="0">
                  <c:v>2 axis</c:v>
                </c:pt>
              </c:strCache>
            </c:strRef>
          </c:tx>
          <c:spPr>
            <a:ln w="28575">
              <a:noFill/>
            </a:ln>
          </c:spPr>
          <c:xVal>
            <c:numRef>
              <c:f>Data!$F$194:$F$195</c:f>
              <c:numCache>
                <c:formatCode>General</c:formatCode>
                <c:ptCount val="2"/>
                <c:pt idx="0" formatCode="0">
                  <c:v>37000</c:v>
                </c:pt>
                <c:pt idx="1">
                  <c:v>150000</c:v>
                </c:pt>
              </c:numCache>
            </c:numRef>
          </c:xVal>
          <c:yVal>
            <c:numRef>
              <c:f>Data!$J$194:$J$195</c:f>
              <c:numCache>
                <c:formatCode>General</c:formatCode>
                <c:ptCount val="2"/>
                <c:pt idx="0">
                  <c:v>225</c:v>
                </c:pt>
                <c:pt idx="1">
                  <c:v>1057</c:v>
                </c:pt>
              </c:numCache>
            </c:numRef>
          </c:yVal>
          <c:smooth val="0"/>
        </c:ser>
        <c:ser>
          <c:idx val="2"/>
          <c:order val="2"/>
          <c:tx>
            <c:v>fixed</c:v>
          </c:tx>
          <c:spPr>
            <a:ln w="28575">
              <a:noFill/>
            </a:ln>
          </c:spPr>
          <c:xVal>
            <c:numRef>
              <c:f>Data!$F$196:$F$209</c:f>
              <c:numCache>
                <c:formatCode>0</c:formatCode>
                <c:ptCount val="14"/>
                <c:pt idx="0">
                  <c:v>20592</c:v>
                </c:pt>
                <c:pt idx="1">
                  <c:v>20000</c:v>
                </c:pt>
                <c:pt idx="2">
                  <c:v>22000</c:v>
                </c:pt>
                <c:pt idx="3">
                  <c:v>25200</c:v>
                </c:pt>
                <c:pt idx="4">
                  <c:v>35235.762697071317</c:v>
                </c:pt>
                <c:pt idx="5">
                  <c:v>37000</c:v>
                </c:pt>
                <c:pt idx="6">
                  <c:v>40000</c:v>
                </c:pt>
                <c:pt idx="7">
                  <c:v>57715</c:v>
                </c:pt>
                <c:pt idx="8">
                  <c:v>58000</c:v>
                </c:pt>
                <c:pt idx="9">
                  <c:v>60000</c:v>
                </c:pt>
                <c:pt idx="10">
                  <c:v>65100</c:v>
                </c:pt>
                <c:pt idx="11">
                  <c:v>340612.37273835606</c:v>
                </c:pt>
                <c:pt idx="12">
                  <c:v>645988.98277964082</c:v>
                </c:pt>
                <c:pt idx="13">
                  <c:v>645988.98277964082</c:v>
                </c:pt>
              </c:numCache>
            </c:numRef>
          </c:xVal>
          <c:yVal>
            <c:numRef>
              <c:f>Data!$J$196:$J$209</c:f>
              <c:numCache>
                <c:formatCode>General</c:formatCode>
                <c:ptCount val="14"/>
                <c:pt idx="0">
                  <c:v>180</c:v>
                </c:pt>
                <c:pt idx="1">
                  <c:v>134</c:v>
                </c:pt>
                <c:pt idx="2">
                  <c:v>160</c:v>
                </c:pt>
                <c:pt idx="3">
                  <c:v>186</c:v>
                </c:pt>
                <c:pt idx="4">
                  <c:v>250</c:v>
                </c:pt>
                <c:pt idx="5">
                  <c:v>200</c:v>
                </c:pt>
                <c:pt idx="6">
                  <c:v>140</c:v>
                </c:pt>
                <c:pt idx="7">
                  <c:v>500</c:v>
                </c:pt>
                <c:pt idx="8">
                  <c:v>380</c:v>
                </c:pt>
                <c:pt idx="9">
                  <c:v>360</c:v>
                </c:pt>
                <c:pt idx="10">
                  <c:v>600</c:v>
                </c:pt>
                <c:pt idx="11">
                  <c:v>2400</c:v>
                </c:pt>
                <c:pt idx="12">
                  <c:v>4245</c:v>
                </c:pt>
                <c:pt idx="13">
                  <c:v>3500</c:v>
                </c:pt>
              </c:numCache>
            </c:numRef>
          </c:yVal>
          <c:smooth val="0"/>
        </c:ser>
        <c:ser>
          <c:idx val="3"/>
          <c:order val="3"/>
          <c:tx>
            <c:v>unknown</c:v>
          </c:tx>
          <c:spPr>
            <a:ln w="28575">
              <a:noFill/>
            </a:ln>
          </c:spPr>
          <c:xVal>
            <c:numRef>
              <c:f>Data!$F$210:$F$242</c:f>
              <c:numCache>
                <c:formatCode>General</c:formatCode>
                <c:ptCount val="33"/>
                <c:pt idx="0" formatCode="0">
                  <c:v>20000</c:v>
                </c:pt>
                <c:pt idx="1">
                  <c:v>23500</c:v>
                </c:pt>
                <c:pt idx="2" formatCode="0">
                  <c:v>23490.50846471421</c:v>
                </c:pt>
                <c:pt idx="3" formatCode="0">
                  <c:v>23490.50846471421</c:v>
                </c:pt>
                <c:pt idx="4">
                  <c:v>24900</c:v>
                </c:pt>
                <c:pt idx="5">
                  <c:v>28700</c:v>
                </c:pt>
                <c:pt idx="6" formatCode="0">
                  <c:v>34290</c:v>
                </c:pt>
                <c:pt idx="7">
                  <c:v>38000</c:v>
                </c:pt>
                <c:pt idx="8">
                  <c:v>49900</c:v>
                </c:pt>
                <c:pt idx="9">
                  <c:v>50000</c:v>
                </c:pt>
                <c:pt idx="10">
                  <c:v>50000</c:v>
                </c:pt>
                <c:pt idx="11">
                  <c:v>50000</c:v>
                </c:pt>
                <c:pt idx="12" formatCode="0">
                  <c:v>58608.818619461956</c:v>
                </c:pt>
                <c:pt idx="13" formatCode="0">
                  <c:v>58726.271161785524</c:v>
                </c:pt>
                <c:pt idx="14">
                  <c:v>60000</c:v>
                </c:pt>
                <c:pt idx="15" formatCode="0">
                  <c:v>75000</c:v>
                </c:pt>
                <c:pt idx="16">
                  <c:v>75000</c:v>
                </c:pt>
                <c:pt idx="17" formatCode="0">
                  <c:v>82216.779626499731</c:v>
                </c:pt>
                <c:pt idx="18">
                  <c:v>100000</c:v>
                </c:pt>
                <c:pt idx="19">
                  <c:v>100000</c:v>
                </c:pt>
                <c:pt idx="20" formatCode="0">
                  <c:v>170000</c:v>
                </c:pt>
                <c:pt idx="21" formatCode="0">
                  <c:v>182051.44060153511</c:v>
                </c:pt>
                <c:pt idx="22">
                  <c:v>200000</c:v>
                </c:pt>
                <c:pt idx="23" formatCode="0">
                  <c:v>234905.0846471421</c:v>
                </c:pt>
                <c:pt idx="24" formatCode="0">
                  <c:v>234905.0846471421</c:v>
                </c:pt>
                <c:pt idx="25" formatCode="0">
                  <c:v>234905.0846471421</c:v>
                </c:pt>
                <c:pt idx="26" formatCode="0">
                  <c:v>300000</c:v>
                </c:pt>
                <c:pt idx="27" formatCode="0">
                  <c:v>322994.49138982041</c:v>
                </c:pt>
                <c:pt idx="28">
                  <c:v>400000</c:v>
                </c:pt>
                <c:pt idx="29">
                  <c:v>500000</c:v>
                </c:pt>
                <c:pt idx="30" formatCode="0">
                  <c:v>500000</c:v>
                </c:pt>
                <c:pt idx="31" formatCode="0">
                  <c:v>700000</c:v>
                </c:pt>
                <c:pt idx="32">
                  <c:v>720000</c:v>
                </c:pt>
              </c:numCache>
            </c:numRef>
          </c:xVal>
          <c:yVal>
            <c:numRef>
              <c:f>Data!$J$210:$J$242</c:f>
              <c:numCache>
                <c:formatCode>General</c:formatCode>
                <c:ptCount val="33"/>
                <c:pt idx="0">
                  <c:v>180</c:v>
                </c:pt>
                <c:pt idx="1">
                  <c:v>160</c:v>
                </c:pt>
                <c:pt idx="2">
                  <c:v>160</c:v>
                </c:pt>
                <c:pt idx="3">
                  <c:v>265</c:v>
                </c:pt>
                <c:pt idx="4">
                  <c:v>154</c:v>
                </c:pt>
                <c:pt idx="5">
                  <c:v>123</c:v>
                </c:pt>
                <c:pt idx="6">
                  <c:v>380</c:v>
                </c:pt>
                <c:pt idx="7">
                  <c:v>187</c:v>
                </c:pt>
                <c:pt idx="8">
                  <c:v>320</c:v>
                </c:pt>
                <c:pt idx="9">
                  <c:v>300</c:v>
                </c:pt>
                <c:pt idx="10">
                  <c:v>320</c:v>
                </c:pt>
                <c:pt idx="11">
                  <c:v>160</c:v>
                </c:pt>
                <c:pt idx="12">
                  <c:v>422.6</c:v>
                </c:pt>
                <c:pt idx="13">
                  <c:v>300</c:v>
                </c:pt>
                <c:pt idx="14">
                  <c:v>600</c:v>
                </c:pt>
                <c:pt idx="15">
                  <c:v>400</c:v>
                </c:pt>
                <c:pt idx="16">
                  <c:v>743</c:v>
                </c:pt>
                <c:pt idx="17">
                  <c:v>300</c:v>
                </c:pt>
                <c:pt idx="18">
                  <c:v>622</c:v>
                </c:pt>
                <c:pt idx="19">
                  <c:v>1000</c:v>
                </c:pt>
                <c:pt idx="20">
                  <c:v>900</c:v>
                </c:pt>
                <c:pt idx="21">
                  <c:v>934.4</c:v>
                </c:pt>
                <c:pt idx="22">
                  <c:v>2000</c:v>
                </c:pt>
                <c:pt idx="23">
                  <c:v>1250</c:v>
                </c:pt>
                <c:pt idx="24">
                  <c:v>1250</c:v>
                </c:pt>
                <c:pt idx="25">
                  <c:v>1400</c:v>
                </c:pt>
                <c:pt idx="26">
                  <c:v>2500</c:v>
                </c:pt>
                <c:pt idx="27">
                  <c:v>2067</c:v>
                </c:pt>
                <c:pt idx="28">
                  <c:v>4000</c:v>
                </c:pt>
                <c:pt idx="29">
                  <c:v>5587</c:v>
                </c:pt>
                <c:pt idx="30">
                  <c:v>3288</c:v>
                </c:pt>
                <c:pt idx="31">
                  <c:v>4000</c:v>
                </c:pt>
                <c:pt idx="32">
                  <c:v>5436</c:v>
                </c:pt>
              </c:numCache>
            </c:numRef>
          </c:yVal>
          <c:smooth val="0"/>
        </c:ser>
        <c:dLbls>
          <c:showLegendKey val="0"/>
          <c:showVal val="0"/>
          <c:showCatName val="0"/>
          <c:showSerName val="0"/>
          <c:showPercent val="0"/>
          <c:showBubbleSize val="0"/>
        </c:dLbls>
        <c:axId val="101608064"/>
        <c:axId val="101622912"/>
      </c:scatterChart>
      <c:valAx>
        <c:axId val="101608064"/>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101622912"/>
        <c:crosses val="autoZero"/>
        <c:crossBetween val="midCat"/>
        <c:dispUnits>
          <c:builtInUnit val="thousands"/>
        </c:dispUnits>
      </c:valAx>
      <c:valAx>
        <c:axId val="101622912"/>
        <c:scaling>
          <c:orientation val="minMax"/>
        </c:scaling>
        <c:delete val="0"/>
        <c:axPos val="l"/>
        <c:title>
          <c:tx>
            <c:rich>
              <a:bodyPr rot="-5400000" vert="horz"/>
              <a:lstStyle/>
              <a:p>
                <a:pPr>
                  <a:defRPr/>
                </a:pPr>
                <a:r>
                  <a:rPr lang="en-US"/>
                  <a:t>Acres</a:t>
                </a:r>
              </a:p>
            </c:rich>
          </c:tx>
          <c:overlay val="0"/>
        </c:title>
        <c:numFmt formatCode="0" sourceLinked="0"/>
        <c:majorTickMark val="out"/>
        <c:minorTickMark val="none"/>
        <c:tickLblPos val="nextTo"/>
        <c:crossAx val="101608064"/>
        <c:crosses val="autoZero"/>
        <c:crossBetween val="midCat"/>
      </c:valAx>
    </c:plotArea>
    <c:legend>
      <c:legendPos val="r"/>
      <c:layout>
        <c:manualLayout>
          <c:xMode val="edge"/>
          <c:yMode val="edge"/>
          <c:x val="0.17574753155855521"/>
          <c:y val="0.11245745491490983"/>
          <c:w val="0.22751293612897341"/>
          <c:h val="0.3131240413130210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09547148997682"/>
          <c:y val="7.66379022766039E-2"/>
          <c:w val="0.82021206588304918"/>
          <c:h val="0.75802642316769264"/>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Data!$N$178:$N$193</c:f>
              <c:numCache>
                <c:formatCode>0.00</c:formatCode>
                <c:ptCount val="16"/>
                <c:pt idx="0">
                  <c:v>23.917567905246361</c:v>
                </c:pt>
                <c:pt idx="1">
                  <c:v>34.318974274496881</c:v>
                </c:pt>
                <c:pt idx="2">
                  <c:v>23.533010931083577</c:v>
                </c:pt>
                <c:pt idx="3">
                  <c:v>30.88707684704719</c:v>
                </c:pt>
                <c:pt idx="4">
                  <c:v>26.429643560180217</c:v>
                </c:pt>
                <c:pt idx="5">
                  <c:v>40.113086814347</c:v>
                </c:pt>
                <c:pt idx="6">
                  <c:v>26.286873912380592</c:v>
                </c:pt>
                <c:pt idx="7">
                  <c:v>21.415039947286051</c:v>
                </c:pt>
                <c:pt idx="8">
                  <c:v>33.694992924051483</c:v>
                </c:pt>
                <c:pt idx="9">
                  <c:v>22.822283926325245</c:v>
                </c:pt>
                <c:pt idx="10">
                  <c:v>28.91056570409566</c:v>
                </c:pt>
                <c:pt idx="11">
                  <c:v>33.391434429240206</c:v>
                </c:pt>
                <c:pt idx="12">
                  <c:v>27.062962570746109</c:v>
                </c:pt>
                <c:pt idx="13">
                  <c:v>35.604699535501084</c:v>
                </c:pt>
                <c:pt idx="14">
                  <c:v>25.390685158159343</c:v>
                </c:pt>
                <c:pt idx="15">
                  <c:v>36.825128878744792</c:v>
                </c:pt>
              </c:numCache>
            </c:numRef>
          </c:yVal>
          <c:smooth val="0"/>
        </c:ser>
        <c:ser>
          <c:idx val="1"/>
          <c:order val="1"/>
          <c:tx>
            <c:v>2 Axis (CPV)</c:v>
          </c:tx>
          <c:spPr>
            <a:ln w="28575">
              <a:noFill/>
            </a:ln>
          </c:spPr>
          <c:xVal>
            <c:numRef>
              <c:f>Data!$AB$194:$AB$195</c:f>
              <c:numCache>
                <c:formatCode>0.0%</c:formatCode>
                <c:ptCount val="2"/>
                <c:pt idx="0">
                  <c:v>0.31</c:v>
                </c:pt>
                <c:pt idx="1">
                  <c:v>0.25</c:v>
                </c:pt>
              </c:numCache>
            </c:numRef>
          </c:xVal>
          <c:yVal>
            <c:numRef>
              <c:f>Data!$N$194:$N$195</c:f>
              <c:numCache>
                <c:formatCode>0.00</c:formatCode>
                <c:ptCount val="2"/>
                <c:pt idx="0">
                  <c:v>33.736924470801412</c:v>
                </c:pt>
                <c:pt idx="1">
                  <c:v>29.855245421811905</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Data!$N$196:$N$209</c:f>
              <c:numCache>
                <c:formatCode>0.00</c:formatCode>
                <c:ptCount val="14"/>
                <c:pt idx="0">
                  <c:v>24.067467737345552</c:v>
                </c:pt>
                <c:pt idx="1">
                  <c:v>33.19208258190146</c:v>
                </c:pt>
                <c:pt idx="2">
                  <c:v>28.927244876617252</c:v>
                </c:pt>
                <c:pt idx="3">
                  <c:v>27.898004894107142</c:v>
                </c:pt>
                <c:pt idx="4">
                  <c:v>29.651593773165303</c:v>
                </c:pt>
                <c:pt idx="5">
                  <c:v>39.53545836422041</c:v>
                </c:pt>
                <c:pt idx="6">
                  <c:v>60.108560782581293</c:v>
                </c:pt>
                <c:pt idx="7">
                  <c:v>22.238695329873977</c:v>
                </c:pt>
                <c:pt idx="8">
                  <c:v>31.212203971752956</c:v>
                </c:pt>
                <c:pt idx="9">
                  <c:v>35.063327123172428</c:v>
                </c:pt>
                <c:pt idx="10">
                  <c:v>20.756115641215711</c:v>
                </c:pt>
                <c:pt idx="11">
                  <c:v>29.857507618812285</c:v>
                </c:pt>
                <c:pt idx="12">
                  <c:v>32.014873528152563</c:v>
                </c:pt>
                <c:pt idx="13">
                  <c:v>38.829468036287899</c:v>
                </c:pt>
              </c:numCache>
            </c:numRef>
          </c:yVal>
          <c:smooth val="0"/>
        </c:ser>
        <c:dLbls>
          <c:showLegendKey val="0"/>
          <c:showVal val="0"/>
          <c:showCatName val="0"/>
          <c:showSerName val="0"/>
          <c:showPercent val="0"/>
          <c:showBubbleSize val="0"/>
        </c:dLbls>
        <c:axId val="101649408"/>
        <c:axId val="101651584"/>
      </c:scatterChart>
      <c:valAx>
        <c:axId val="101649408"/>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1651584"/>
        <c:crosses val="autoZero"/>
        <c:crossBetween val="midCat"/>
      </c:valAx>
      <c:valAx>
        <c:axId val="101651584"/>
        <c:scaling>
          <c:orientation val="minMax"/>
        </c:scaling>
        <c:delete val="0"/>
        <c:axPos val="l"/>
        <c:title>
          <c:tx>
            <c:rich>
              <a:bodyPr rot="-5400000" vert="horz"/>
              <a:lstStyle/>
              <a:p>
                <a:pPr>
                  <a:defRPr/>
                </a:pPr>
                <a:r>
                  <a:rPr lang="en-US"/>
                  <a:t>MW / km2</a:t>
                </a:r>
              </a:p>
            </c:rich>
          </c:tx>
          <c:overlay val="0"/>
        </c:title>
        <c:numFmt formatCode="0" sourceLinked="0"/>
        <c:majorTickMark val="out"/>
        <c:minorTickMark val="none"/>
        <c:tickLblPos val="nextTo"/>
        <c:crossAx val="101649408"/>
        <c:crosses val="autoZero"/>
        <c:crossBetween val="midCat"/>
      </c:valAx>
    </c:plotArea>
    <c:legend>
      <c:legendPos val="r"/>
      <c:layout>
        <c:manualLayout>
          <c:xMode val="edge"/>
          <c:yMode val="edge"/>
          <c:x val="0.78987563174321562"/>
          <c:y val="3.4354696760827738E-2"/>
          <c:w val="0.17515043013989848"/>
          <c:h val="0.3111151632361753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Capacity vs Efficiency </a:t>
            </a:r>
            <a:r>
              <a:rPr lang="en-US" baseline="0"/>
              <a:t> </a:t>
            </a:r>
            <a:endParaRPr lang="en-US"/>
          </a:p>
        </c:rich>
      </c:tx>
      <c:layout>
        <c:manualLayout>
          <c:xMode val="edge"/>
          <c:yMode val="edge"/>
          <c:x val="0.31284892876763737"/>
          <c:y val="6.4232495131657033E-2"/>
        </c:manualLayout>
      </c:layout>
      <c:overlay val="1"/>
    </c:title>
    <c:autoTitleDeleted val="0"/>
    <c:plotArea>
      <c:layout>
        <c:manualLayout>
          <c:layoutTarget val="inner"/>
          <c:xMode val="edge"/>
          <c:yMode val="edge"/>
          <c:x val="0.16159907939435497"/>
          <c:y val="7.66379022766039E-2"/>
          <c:w val="0.76815997099461664"/>
          <c:h val="0.75802642316769264"/>
        </c:manualLayout>
      </c:layout>
      <c:scatterChart>
        <c:scatterStyle val="lineMarker"/>
        <c:varyColors val="0"/>
        <c:ser>
          <c:idx val="0"/>
          <c:order val="0"/>
          <c:tx>
            <c:v>1 axis</c:v>
          </c:tx>
          <c:spPr>
            <a:ln w="28575">
              <a:noFill/>
            </a:ln>
          </c:spPr>
          <c:xVal>
            <c:numRef>
              <c:f>Data!$F$178:$F$193</c:f>
              <c:numCache>
                <c:formatCode>0</c:formatCode>
                <c:ptCount val="16"/>
                <c:pt idx="0">
                  <c:v>20000</c:v>
                </c:pt>
                <c:pt idx="1">
                  <c:v>23490.50846471421</c:v>
                </c:pt>
                <c:pt idx="2">
                  <c:v>23490.50846471421</c:v>
                </c:pt>
                <c:pt idx="3">
                  <c:v>23490.50846471421</c:v>
                </c:pt>
                <c:pt idx="4" formatCode="General">
                  <c:v>25000</c:v>
                </c:pt>
                <c:pt idx="5">
                  <c:v>29363.135580892762</c:v>
                </c:pt>
                <c:pt idx="6">
                  <c:v>28000</c:v>
                </c:pt>
                <c:pt idx="7">
                  <c:v>30537.661004128473</c:v>
                </c:pt>
                <c:pt idx="8">
                  <c:v>35200</c:v>
                </c:pt>
                <c:pt idx="9" formatCode="General">
                  <c:v>110000</c:v>
                </c:pt>
                <c:pt idx="10" formatCode="General">
                  <c:v>130000</c:v>
                </c:pt>
                <c:pt idx="11">
                  <c:v>176178.81348535657</c:v>
                </c:pt>
                <c:pt idx="12">
                  <c:v>284000</c:v>
                </c:pt>
                <c:pt idx="13">
                  <c:v>293631.35580892762</c:v>
                </c:pt>
                <c:pt idx="14">
                  <c:v>350000</c:v>
                </c:pt>
                <c:pt idx="15">
                  <c:v>352357.62697071314</c:v>
                </c:pt>
              </c:numCache>
            </c:numRef>
          </c:xVal>
          <c:y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yVal>
          <c:smooth val="0"/>
        </c:ser>
        <c:ser>
          <c:idx val="1"/>
          <c:order val="1"/>
          <c:tx>
            <c:v>2 axis</c:v>
          </c:tx>
          <c:spPr>
            <a:ln w="28575">
              <a:noFill/>
            </a:ln>
          </c:spPr>
          <c:xVal>
            <c:numRef>
              <c:f>Data!$F$194:$F$195</c:f>
              <c:numCache>
                <c:formatCode>General</c:formatCode>
                <c:ptCount val="2"/>
                <c:pt idx="0" formatCode="0">
                  <c:v>37000</c:v>
                </c:pt>
                <c:pt idx="1">
                  <c:v>150000</c:v>
                </c:pt>
              </c:numCache>
            </c:numRef>
          </c:xVal>
          <c:yVal>
            <c:numRef>
              <c:f>Data!$AB$194:$AB$195</c:f>
              <c:numCache>
                <c:formatCode>0.0%</c:formatCode>
                <c:ptCount val="2"/>
                <c:pt idx="0">
                  <c:v>0.31</c:v>
                </c:pt>
                <c:pt idx="1">
                  <c:v>0.25</c:v>
                </c:pt>
              </c:numCache>
            </c:numRef>
          </c:yVal>
          <c:smooth val="0"/>
        </c:ser>
        <c:ser>
          <c:idx val="2"/>
          <c:order val="2"/>
          <c:tx>
            <c:v>fixed</c:v>
          </c:tx>
          <c:spPr>
            <a:ln w="28575">
              <a:noFill/>
            </a:ln>
          </c:spPr>
          <c:xVal>
            <c:numRef>
              <c:f>Data!$F$196:$F$209</c:f>
              <c:numCache>
                <c:formatCode>0</c:formatCode>
                <c:ptCount val="14"/>
                <c:pt idx="0">
                  <c:v>20592</c:v>
                </c:pt>
                <c:pt idx="1">
                  <c:v>20000</c:v>
                </c:pt>
                <c:pt idx="2">
                  <c:v>22000</c:v>
                </c:pt>
                <c:pt idx="3">
                  <c:v>25200</c:v>
                </c:pt>
                <c:pt idx="4">
                  <c:v>35235.762697071317</c:v>
                </c:pt>
                <c:pt idx="5">
                  <c:v>37000</c:v>
                </c:pt>
                <c:pt idx="6">
                  <c:v>40000</c:v>
                </c:pt>
                <c:pt idx="7">
                  <c:v>57715</c:v>
                </c:pt>
                <c:pt idx="8">
                  <c:v>58000</c:v>
                </c:pt>
                <c:pt idx="9">
                  <c:v>60000</c:v>
                </c:pt>
                <c:pt idx="10">
                  <c:v>65100</c:v>
                </c:pt>
                <c:pt idx="11">
                  <c:v>340612.37273835606</c:v>
                </c:pt>
                <c:pt idx="12">
                  <c:v>645988.98277964082</c:v>
                </c:pt>
                <c:pt idx="13">
                  <c:v>645988.98277964082</c:v>
                </c:pt>
              </c:numCache>
            </c:numRef>
          </c:xVal>
          <c:y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yVal>
          <c:smooth val="0"/>
        </c:ser>
        <c:dLbls>
          <c:showLegendKey val="0"/>
          <c:showVal val="0"/>
          <c:showCatName val="0"/>
          <c:showSerName val="0"/>
          <c:showPercent val="0"/>
          <c:showBubbleSize val="0"/>
        </c:dLbls>
        <c:axId val="101669888"/>
        <c:axId val="101701120"/>
      </c:scatterChart>
      <c:valAx>
        <c:axId val="101669888"/>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101701120"/>
        <c:crosses val="autoZero"/>
        <c:crossBetween val="midCat"/>
        <c:dispUnits>
          <c:builtInUnit val="thousands"/>
        </c:dispUnits>
      </c:valAx>
      <c:valAx>
        <c:axId val="101701120"/>
        <c:scaling>
          <c:orientation val="minMax"/>
          <c:max val="0.2"/>
          <c:min val="0.05"/>
        </c:scaling>
        <c:delete val="0"/>
        <c:axPos val="l"/>
        <c:title>
          <c:tx>
            <c:rich>
              <a:bodyPr rot="-5400000" vert="horz"/>
              <a:lstStyle/>
              <a:p>
                <a:pPr>
                  <a:defRPr/>
                </a:pPr>
                <a:r>
                  <a:rPr lang="en-US"/>
                  <a:t>Efficiency</a:t>
                </a:r>
              </a:p>
            </c:rich>
          </c:tx>
          <c:overlay val="0"/>
        </c:title>
        <c:numFmt formatCode="0%" sourceLinked="0"/>
        <c:majorTickMark val="out"/>
        <c:minorTickMark val="none"/>
        <c:tickLblPos val="nextTo"/>
        <c:crossAx val="101669888"/>
        <c:crosses val="autoZero"/>
        <c:crossBetween val="midCat"/>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09547148997682"/>
          <c:y val="7.66379022766039E-2"/>
          <c:w val="0.82021206588304918"/>
          <c:h val="0.75802642316769264"/>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Data!$N$178:$N$193</c:f>
              <c:numCache>
                <c:formatCode>0.00</c:formatCode>
                <c:ptCount val="16"/>
                <c:pt idx="0">
                  <c:v>23.917567905246361</c:v>
                </c:pt>
                <c:pt idx="1">
                  <c:v>34.318974274496881</c:v>
                </c:pt>
                <c:pt idx="2">
                  <c:v>23.533010931083577</c:v>
                </c:pt>
                <c:pt idx="3">
                  <c:v>30.88707684704719</c:v>
                </c:pt>
                <c:pt idx="4">
                  <c:v>26.429643560180217</c:v>
                </c:pt>
                <c:pt idx="5">
                  <c:v>40.113086814347</c:v>
                </c:pt>
                <c:pt idx="6">
                  <c:v>26.286873912380592</c:v>
                </c:pt>
                <c:pt idx="7">
                  <c:v>21.415039947286051</c:v>
                </c:pt>
                <c:pt idx="8">
                  <c:v>33.694992924051483</c:v>
                </c:pt>
                <c:pt idx="9">
                  <c:v>22.822283926325245</c:v>
                </c:pt>
                <c:pt idx="10">
                  <c:v>28.91056570409566</c:v>
                </c:pt>
                <c:pt idx="11">
                  <c:v>33.391434429240206</c:v>
                </c:pt>
                <c:pt idx="12">
                  <c:v>27.062962570746109</c:v>
                </c:pt>
                <c:pt idx="13">
                  <c:v>35.604699535501084</c:v>
                </c:pt>
                <c:pt idx="14">
                  <c:v>25.390685158159343</c:v>
                </c:pt>
                <c:pt idx="15">
                  <c:v>36.825128878744792</c:v>
                </c:pt>
              </c:numCache>
            </c:numRef>
          </c:yVal>
          <c:smooth val="0"/>
        </c:ser>
        <c:ser>
          <c:idx val="1"/>
          <c:order val="1"/>
          <c:tx>
            <c:v>2 Axis (CPV)</c:v>
          </c:tx>
          <c:spPr>
            <a:ln w="28575">
              <a:noFill/>
            </a:ln>
          </c:spPr>
          <c:xVal>
            <c:numRef>
              <c:f>Data!$AB$194:$AB$195</c:f>
              <c:numCache>
                <c:formatCode>0.0%</c:formatCode>
                <c:ptCount val="2"/>
                <c:pt idx="0">
                  <c:v>0.31</c:v>
                </c:pt>
                <c:pt idx="1">
                  <c:v>0.25</c:v>
                </c:pt>
              </c:numCache>
            </c:numRef>
          </c:xVal>
          <c:yVal>
            <c:numRef>
              <c:f>Data!$N$194:$N$195</c:f>
              <c:numCache>
                <c:formatCode>0.00</c:formatCode>
                <c:ptCount val="2"/>
                <c:pt idx="0">
                  <c:v>33.736924470801412</c:v>
                </c:pt>
                <c:pt idx="1">
                  <c:v>29.855245421811905</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Data!$N$196:$N$209</c:f>
              <c:numCache>
                <c:formatCode>0.00</c:formatCode>
                <c:ptCount val="14"/>
                <c:pt idx="0">
                  <c:v>24.067467737345552</c:v>
                </c:pt>
                <c:pt idx="1">
                  <c:v>33.19208258190146</c:v>
                </c:pt>
                <c:pt idx="2">
                  <c:v>28.927244876617252</c:v>
                </c:pt>
                <c:pt idx="3">
                  <c:v>27.898004894107142</c:v>
                </c:pt>
                <c:pt idx="4">
                  <c:v>29.651593773165303</c:v>
                </c:pt>
                <c:pt idx="5">
                  <c:v>39.53545836422041</c:v>
                </c:pt>
                <c:pt idx="6">
                  <c:v>60.108560782581293</c:v>
                </c:pt>
                <c:pt idx="7">
                  <c:v>22.238695329873977</c:v>
                </c:pt>
                <c:pt idx="8">
                  <c:v>31.212203971752956</c:v>
                </c:pt>
                <c:pt idx="9">
                  <c:v>35.063327123172428</c:v>
                </c:pt>
                <c:pt idx="10">
                  <c:v>20.756115641215711</c:v>
                </c:pt>
                <c:pt idx="11">
                  <c:v>29.857507618812285</c:v>
                </c:pt>
                <c:pt idx="12">
                  <c:v>32.014873528152563</c:v>
                </c:pt>
                <c:pt idx="13">
                  <c:v>38.829468036287899</c:v>
                </c:pt>
              </c:numCache>
            </c:numRef>
          </c:yVal>
          <c:smooth val="0"/>
        </c:ser>
        <c:dLbls>
          <c:showLegendKey val="0"/>
          <c:showVal val="0"/>
          <c:showCatName val="0"/>
          <c:showSerName val="0"/>
          <c:showPercent val="0"/>
          <c:showBubbleSize val="0"/>
        </c:dLbls>
        <c:axId val="105282560"/>
        <c:axId val="105284736"/>
      </c:scatterChart>
      <c:valAx>
        <c:axId val="105282560"/>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5284736"/>
        <c:crosses val="autoZero"/>
        <c:crossBetween val="midCat"/>
      </c:valAx>
      <c:valAx>
        <c:axId val="105284736"/>
        <c:scaling>
          <c:orientation val="minMax"/>
        </c:scaling>
        <c:delete val="0"/>
        <c:axPos val="l"/>
        <c:title>
          <c:tx>
            <c:rich>
              <a:bodyPr rot="-5400000" vert="horz"/>
              <a:lstStyle/>
              <a:p>
                <a:pPr>
                  <a:defRPr/>
                </a:pPr>
                <a:r>
                  <a:rPr lang="en-US"/>
                  <a:t>MW / km2</a:t>
                </a:r>
              </a:p>
            </c:rich>
          </c:tx>
          <c:overlay val="0"/>
        </c:title>
        <c:numFmt formatCode="0" sourceLinked="0"/>
        <c:majorTickMark val="out"/>
        <c:minorTickMark val="none"/>
        <c:tickLblPos val="nextTo"/>
        <c:crossAx val="105282560"/>
        <c:crosses val="autoZero"/>
        <c:crossBetween val="midCat"/>
      </c:valAx>
    </c:plotArea>
    <c:legend>
      <c:legendPos val="r"/>
      <c:layout>
        <c:manualLayout>
          <c:xMode val="edge"/>
          <c:yMode val="edge"/>
          <c:x val="0.78987563174321562"/>
          <c:y val="3.4354696760827738E-2"/>
          <c:w val="0.17515043013989848"/>
          <c:h val="0.3111151632361753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7400373747534759"/>
          <c:y val="0.13685310303953938"/>
          <c:w val="0.75575534322618043"/>
          <c:h val="0.69781153162306364"/>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Data!$M$178:$M$193</c:f>
              <c:numCache>
                <c:formatCode>0.00</c:formatCode>
                <c:ptCount val="16"/>
                <c:pt idx="0">
                  <c:v>10.331176470588234</c:v>
                </c:pt>
                <c:pt idx="1">
                  <c:v>7.2</c:v>
                </c:pt>
                <c:pt idx="2">
                  <c:v>10.5</c:v>
                </c:pt>
                <c:pt idx="3">
                  <c:v>8</c:v>
                </c:pt>
                <c:pt idx="4">
                  <c:v>9.349222368956255</c:v>
                </c:pt>
                <c:pt idx="5">
                  <c:v>6.16</c:v>
                </c:pt>
                <c:pt idx="6">
                  <c:v>9.4</c:v>
                </c:pt>
                <c:pt idx="7">
                  <c:v>11.538461538461538</c:v>
                </c:pt>
                <c:pt idx="8">
                  <c:v>7.333333333333333</c:v>
                </c:pt>
                <c:pt idx="9">
                  <c:v>10.826988901463732</c:v>
                </c:pt>
                <c:pt idx="10">
                  <c:v>8.5469311567767843</c:v>
                </c:pt>
                <c:pt idx="11">
                  <c:v>7.4</c:v>
                </c:pt>
                <c:pt idx="12">
                  <c:v>9.1304347826086953</c:v>
                </c:pt>
                <c:pt idx="13">
                  <c:v>6.94</c:v>
                </c:pt>
                <c:pt idx="14">
                  <c:v>9.7317820782387443</c:v>
                </c:pt>
                <c:pt idx="15">
                  <c:v>6.71</c:v>
                </c:pt>
              </c:numCache>
            </c:numRef>
          </c:yVal>
          <c:smooth val="0"/>
        </c:ser>
        <c:ser>
          <c:idx val="1"/>
          <c:order val="1"/>
          <c:tx>
            <c:v>2 Axis</c:v>
          </c:tx>
          <c:spPr>
            <a:ln w="28575">
              <a:noFill/>
            </a:ln>
          </c:spPr>
          <c:xVal>
            <c:numRef>
              <c:f>Data!$AB$194:$AB$195</c:f>
              <c:numCache>
                <c:formatCode>0.0%</c:formatCode>
                <c:ptCount val="2"/>
                <c:pt idx="0">
                  <c:v>0.31</c:v>
                </c:pt>
                <c:pt idx="1">
                  <c:v>0.25</c:v>
                </c:pt>
              </c:numCache>
            </c:numRef>
          </c:xVal>
          <c:yVal>
            <c:numRef>
              <c:f>Data!$M$194:$M$195</c:f>
              <c:numCache>
                <c:formatCode>0.00</c:formatCode>
                <c:ptCount val="2"/>
                <c:pt idx="0">
                  <c:v>7.32421875</c:v>
                </c:pt>
                <c:pt idx="1">
                  <c:v>8.2764891490676398</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Data!$M$196:$M$209</c:f>
              <c:numCache>
                <c:formatCode>0.00</c:formatCode>
                <c:ptCount val="14"/>
                <c:pt idx="0">
                  <c:v>10.266830622689778</c:v>
                </c:pt>
                <c:pt idx="1">
                  <c:v>7.4444444444444446</c:v>
                </c:pt>
                <c:pt idx="2">
                  <c:v>8.5420030780778937</c:v>
                </c:pt>
                <c:pt idx="3">
                  <c:v>8.8571428571428577</c:v>
                </c:pt>
                <c:pt idx="4">
                  <c:v>8.3333333333333339</c:v>
                </c:pt>
                <c:pt idx="5">
                  <c:v>6.25</c:v>
                </c:pt>
                <c:pt idx="6">
                  <c:v>4.1108389813249868</c:v>
                </c:pt>
                <c:pt idx="7">
                  <c:v>11.111111111111111</c:v>
                </c:pt>
                <c:pt idx="8">
                  <c:v>7.916666666666667</c:v>
                </c:pt>
                <c:pt idx="9">
                  <c:v>7.0471525394142631</c:v>
                </c:pt>
                <c:pt idx="10">
                  <c:v>11.904761904761905</c:v>
                </c:pt>
                <c:pt idx="11">
                  <c:v>8.2758620689655178</c:v>
                </c:pt>
                <c:pt idx="12">
                  <c:v>7.7181818181818178</c:v>
                </c:pt>
                <c:pt idx="13">
                  <c:v>6.3636363636363633</c:v>
                </c:pt>
              </c:numCache>
            </c:numRef>
          </c:yVal>
          <c:smooth val="0"/>
        </c:ser>
        <c:dLbls>
          <c:showLegendKey val="0"/>
          <c:showVal val="0"/>
          <c:showCatName val="0"/>
          <c:showSerName val="0"/>
          <c:showPercent val="0"/>
          <c:showBubbleSize val="0"/>
        </c:dLbls>
        <c:axId val="105335808"/>
        <c:axId val="105337984"/>
      </c:scatterChart>
      <c:valAx>
        <c:axId val="105335808"/>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05337984"/>
        <c:crosses val="autoZero"/>
        <c:crossBetween val="midCat"/>
      </c:valAx>
      <c:valAx>
        <c:axId val="105337984"/>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5335808"/>
        <c:crosses val="autoZero"/>
        <c:crossBetween val="midCat"/>
      </c:valAx>
    </c:plotArea>
    <c:legend>
      <c:legendPos val="r"/>
      <c:layout>
        <c:manualLayout>
          <c:xMode val="edge"/>
          <c:yMode val="edge"/>
          <c:x val="0.74240720306774688"/>
          <c:y val="5.1126293036899813E-2"/>
          <c:w val="0.25295066377573139"/>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4675453049706738"/>
          <c:y val="0.13685310303953938"/>
          <c:w val="0.78300489378059046"/>
          <c:h val="0.69781153162306364"/>
        </c:manualLayout>
      </c:layout>
      <c:scatterChart>
        <c:scatterStyle val="lineMarker"/>
        <c:varyColors val="0"/>
        <c:ser>
          <c:idx val="0"/>
          <c:order val="0"/>
          <c:tx>
            <c:v>1 Axis</c:v>
          </c:tx>
          <c:spPr>
            <a:ln w="28575">
              <a:noFill/>
            </a:ln>
          </c:spPr>
          <c:trendline>
            <c:trendlineType val="linear"/>
            <c:dispRSqr val="0"/>
            <c:dispEq val="1"/>
            <c:trendlineLbl>
              <c:numFmt formatCode="General" sourceLinked="0"/>
            </c:trendlineLbl>
          </c:trendline>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Data!$M$178:$M$193</c:f>
              <c:numCache>
                <c:formatCode>0.00</c:formatCode>
                <c:ptCount val="16"/>
                <c:pt idx="0">
                  <c:v>10.331176470588234</c:v>
                </c:pt>
                <c:pt idx="1">
                  <c:v>7.2</c:v>
                </c:pt>
                <c:pt idx="2">
                  <c:v>10.5</c:v>
                </c:pt>
                <c:pt idx="3">
                  <c:v>8</c:v>
                </c:pt>
                <c:pt idx="4">
                  <c:v>9.349222368956255</c:v>
                </c:pt>
                <c:pt idx="5">
                  <c:v>6.16</c:v>
                </c:pt>
                <c:pt idx="6">
                  <c:v>9.4</c:v>
                </c:pt>
                <c:pt idx="7">
                  <c:v>11.538461538461538</c:v>
                </c:pt>
                <c:pt idx="8">
                  <c:v>7.333333333333333</c:v>
                </c:pt>
                <c:pt idx="9">
                  <c:v>10.826988901463732</c:v>
                </c:pt>
                <c:pt idx="10">
                  <c:v>8.5469311567767843</c:v>
                </c:pt>
                <c:pt idx="11">
                  <c:v>7.4</c:v>
                </c:pt>
                <c:pt idx="12">
                  <c:v>9.1304347826086953</c:v>
                </c:pt>
                <c:pt idx="13">
                  <c:v>6.94</c:v>
                </c:pt>
                <c:pt idx="14">
                  <c:v>9.7317820782387443</c:v>
                </c:pt>
                <c:pt idx="15">
                  <c:v>6.71</c:v>
                </c:pt>
              </c:numCache>
            </c:numRef>
          </c:yVal>
          <c:smooth val="0"/>
        </c:ser>
        <c:dLbls>
          <c:showLegendKey val="0"/>
          <c:showVal val="0"/>
          <c:showCatName val="0"/>
          <c:showSerName val="0"/>
          <c:showPercent val="0"/>
          <c:showBubbleSize val="0"/>
        </c:dLbls>
        <c:axId val="105363712"/>
        <c:axId val="105369984"/>
      </c:scatterChart>
      <c:valAx>
        <c:axId val="105363712"/>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05369984"/>
        <c:crosses val="autoZero"/>
        <c:crossBetween val="midCat"/>
      </c:valAx>
      <c:valAx>
        <c:axId val="105369984"/>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5363712"/>
        <c:crosses val="autoZero"/>
        <c:crossBetween val="midCat"/>
      </c:valAx>
    </c:plotArea>
    <c:legend>
      <c:legendPos val="r"/>
      <c:layout>
        <c:manualLayout>
          <c:xMode val="edge"/>
          <c:yMode val="edge"/>
          <c:x val="0.74240720306774688"/>
          <c:y val="5.1126293036899813E-2"/>
          <c:w val="0.2529506637757315"/>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25881921340508512"/>
          <c:y val="0.13685310303953938"/>
          <c:w val="0.65590404761851107"/>
          <c:h val="0.69781153162306364"/>
        </c:manualLayout>
      </c:layout>
      <c:scatterChart>
        <c:scatterStyle val="lineMarker"/>
        <c:varyColors val="0"/>
        <c:ser>
          <c:idx val="1"/>
          <c:order val="0"/>
          <c:tx>
            <c:v>2 Axis</c:v>
          </c:tx>
          <c:spPr>
            <a:ln w="28575">
              <a:noFill/>
            </a:ln>
          </c:spPr>
          <c:trendline>
            <c:trendlineType val="linear"/>
            <c:dispRSqr val="0"/>
            <c:dispEq val="1"/>
            <c:trendlineLbl>
              <c:numFmt formatCode="General" sourceLinked="0"/>
            </c:trendlineLbl>
          </c:trendline>
          <c:xVal>
            <c:numRef>
              <c:f>Data!$AB$194:$AB$195</c:f>
              <c:numCache>
                <c:formatCode>0.0%</c:formatCode>
                <c:ptCount val="2"/>
                <c:pt idx="0">
                  <c:v>0.31</c:v>
                </c:pt>
                <c:pt idx="1">
                  <c:v>0.25</c:v>
                </c:pt>
              </c:numCache>
            </c:numRef>
          </c:xVal>
          <c:yVal>
            <c:numRef>
              <c:f>Data!$M$194:$M$195</c:f>
              <c:numCache>
                <c:formatCode>0.00</c:formatCode>
                <c:ptCount val="2"/>
                <c:pt idx="0">
                  <c:v>7.32421875</c:v>
                </c:pt>
                <c:pt idx="1">
                  <c:v>8.2764891490676398</c:v>
                </c:pt>
              </c:numCache>
            </c:numRef>
          </c:yVal>
          <c:smooth val="0"/>
        </c:ser>
        <c:dLbls>
          <c:showLegendKey val="0"/>
          <c:showVal val="0"/>
          <c:showCatName val="0"/>
          <c:showSerName val="0"/>
          <c:showPercent val="0"/>
          <c:showBubbleSize val="0"/>
        </c:dLbls>
        <c:axId val="105416576"/>
        <c:axId val="105418752"/>
      </c:scatterChart>
      <c:valAx>
        <c:axId val="105416576"/>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05418752"/>
        <c:crosses val="autoZero"/>
        <c:crossBetween val="midCat"/>
      </c:valAx>
      <c:valAx>
        <c:axId val="10541875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5416576"/>
        <c:crosses val="autoZero"/>
        <c:crossBetween val="midCat"/>
      </c:valAx>
    </c:plotArea>
    <c:legend>
      <c:legendPos val="r"/>
      <c:layout>
        <c:manualLayout>
          <c:xMode val="edge"/>
          <c:yMode val="edge"/>
          <c:x val="0.6434005223177337"/>
          <c:y val="5.1126293036899813E-2"/>
          <c:w val="0.35195731577294387"/>
          <c:h val="0.27201482167670232"/>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8329137274389382"/>
          <c:y val="0.13685310303953938"/>
          <c:w val="0.74646788410442411"/>
          <c:h val="0.69781153162306364"/>
        </c:manualLayout>
      </c:layout>
      <c:scatterChart>
        <c:scatterStyle val="lineMarker"/>
        <c:varyColors val="0"/>
        <c:ser>
          <c:idx val="2"/>
          <c:order val="0"/>
          <c:tx>
            <c:v>Fixed</c:v>
          </c:tx>
          <c:spPr>
            <a:ln w="28575">
              <a:noFill/>
            </a:ln>
          </c:spPr>
          <c:trendline>
            <c:trendlineType val="linear"/>
            <c:dispRSqr val="0"/>
            <c:dispEq val="1"/>
            <c:trendlineLbl>
              <c:numFmt formatCode="General" sourceLinked="0"/>
            </c:trendlineLbl>
          </c:trendline>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Data!$M$196:$M$209</c:f>
              <c:numCache>
                <c:formatCode>0.00</c:formatCode>
                <c:ptCount val="14"/>
                <c:pt idx="0">
                  <c:v>10.266830622689778</c:v>
                </c:pt>
                <c:pt idx="1">
                  <c:v>7.4444444444444446</c:v>
                </c:pt>
                <c:pt idx="2">
                  <c:v>8.5420030780778937</c:v>
                </c:pt>
                <c:pt idx="3">
                  <c:v>8.8571428571428577</c:v>
                </c:pt>
                <c:pt idx="4">
                  <c:v>8.3333333333333339</c:v>
                </c:pt>
                <c:pt idx="5">
                  <c:v>6.25</c:v>
                </c:pt>
                <c:pt idx="6">
                  <c:v>4.1108389813249868</c:v>
                </c:pt>
                <c:pt idx="7">
                  <c:v>11.111111111111111</c:v>
                </c:pt>
                <c:pt idx="8">
                  <c:v>7.916666666666667</c:v>
                </c:pt>
                <c:pt idx="9">
                  <c:v>7.0471525394142631</c:v>
                </c:pt>
                <c:pt idx="10">
                  <c:v>11.904761904761905</c:v>
                </c:pt>
                <c:pt idx="11">
                  <c:v>8.2758620689655178</c:v>
                </c:pt>
                <c:pt idx="12">
                  <c:v>7.7181818181818178</c:v>
                </c:pt>
                <c:pt idx="13">
                  <c:v>6.3636363636363633</c:v>
                </c:pt>
              </c:numCache>
            </c:numRef>
          </c:yVal>
          <c:smooth val="0"/>
        </c:ser>
        <c:dLbls>
          <c:showLegendKey val="0"/>
          <c:showVal val="0"/>
          <c:showCatName val="0"/>
          <c:showSerName val="0"/>
          <c:showPercent val="0"/>
          <c:showBubbleSize val="0"/>
        </c:dLbls>
        <c:axId val="105444480"/>
        <c:axId val="105446400"/>
      </c:scatterChart>
      <c:valAx>
        <c:axId val="105444480"/>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05446400"/>
        <c:crosses val="autoZero"/>
        <c:crossBetween val="midCat"/>
      </c:valAx>
      <c:valAx>
        <c:axId val="105446400"/>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5444480"/>
        <c:crosses val="autoZero"/>
        <c:crossBetween val="midCat"/>
      </c:valAx>
    </c:plotArea>
    <c:legend>
      <c:legendPos val="r"/>
      <c:layout>
        <c:manualLayout>
          <c:xMode val="edge"/>
          <c:yMode val="edge"/>
          <c:x val="0.74240720306774688"/>
          <c:y val="5.1126293036899813E-2"/>
          <c:w val="0.2529506637757315"/>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451081744399472"/>
          <c:y val="0.15554059190877001"/>
          <c:w val="0.7846510319028146"/>
          <c:h val="0.7021126068918806"/>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Data!$S$178:$S$193</c:f>
              <c:numCache>
                <c:formatCode>0.00</c:formatCode>
                <c:ptCount val="16"/>
                <c:pt idx="0">
                  <c:v>37.272781288362182</c:v>
                </c:pt>
                <c:pt idx="1">
                  <c:v>41.739293036550258</c:v>
                </c:pt>
                <c:pt idx="2">
                  <c:v>29.190385679430307</c:v>
                </c:pt>
                <c:pt idx="3">
                  <c:v>35.299516396625364</c:v>
                </c:pt>
                <c:pt idx="6">
                  <c:v>34.318974274496881</c:v>
                </c:pt>
                <c:pt idx="12">
                  <c:v>29.070189973691477</c:v>
                </c:pt>
                <c:pt idx="14">
                  <c:v>24.817319500728711</c:v>
                </c:pt>
              </c:numCache>
            </c:numRef>
          </c:yVal>
          <c:smooth val="0"/>
        </c:ser>
        <c:ser>
          <c:idx val="1"/>
          <c:order val="1"/>
          <c:tx>
            <c:v>2 Axis (CPV)</c:v>
          </c:tx>
          <c:spPr>
            <a:ln w="28575">
              <a:noFill/>
            </a:ln>
          </c:spPr>
          <c:xVal>
            <c:numRef>
              <c:f>Data!$AB$194:$AB$195</c:f>
              <c:numCache>
                <c:formatCode>0.0%</c:formatCode>
                <c:ptCount val="2"/>
                <c:pt idx="0">
                  <c:v>0.31</c:v>
                </c:pt>
                <c:pt idx="1">
                  <c:v>0.25</c:v>
                </c:pt>
              </c:numCache>
            </c:numRef>
          </c:xVal>
          <c:yVal>
            <c:numRef>
              <c:f>Data!$S$194:$S$195</c:f>
              <c:numCache>
                <c:formatCode>General</c:formatCode>
                <c:ptCount val="2"/>
                <c:pt idx="0" formatCode="0.00">
                  <c:v>40.810795730808159</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Data!$S$196:$S$209</c:f>
              <c:numCache>
                <c:formatCode>0.00</c:formatCode>
                <c:ptCount val="14"/>
                <c:pt idx="1">
                  <c:v>57.91326908821349</c:v>
                </c:pt>
                <c:pt idx="3">
                  <c:v>38.608846058808986</c:v>
                </c:pt>
                <c:pt idx="4">
                  <c:v>33.391434429240206</c:v>
                </c:pt>
                <c:pt idx="5">
                  <c:v>40.549188065867085</c:v>
                </c:pt>
                <c:pt idx="7">
                  <c:v>32.229993231701421</c:v>
                </c:pt>
                <c:pt idx="8">
                  <c:v>36.382323648055589</c:v>
                </c:pt>
                <c:pt idx="12">
                  <c:v>45.225669925792893</c:v>
                </c:pt>
              </c:numCache>
            </c:numRef>
          </c:yVal>
          <c:smooth val="0"/>
        </c:ser>
        <c:dLbls>
          <c:showLegendKey val="0"/>
          <c:showVal val="0"/>
          <c:showCatName val="0"/>
          <c:showSerName val="0"/>
          <c:showPercent val="0"/>
          <c:showBubbleSize val="0"/>
        </c:dLbls>
        <c:axId val="105563264"/>
        <c:axId val="105565184"/>
      </c:scatterChart>
      <c:valAx>
        <c:axId val="105563264"/>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5565184"/>
        <c:crosses val="autoZero"/>
        <c:crossBetween val="midCat"/>
      </c:valAx>
      <c:valAx>
        <c:axId val="105565184"/>
        <c:scaling>
          <c:orientation val="minMax"/>
        </c:scaling>
        <c:delete val="0"/>
        <c:axPos val="l"/>
        <c:title>
          <c:tx>
            <c:rich>
              <a:bodyPr rot="-5400000" vert="horz"/>
              <a:lstStyle/>
              <a:p>
                <a:pPr>
                  <a:defRPr/>
                </a:pPr>
                <a:r>
                  <a:rPr lang="en-US"/>
                  <a:t>MW</a:t>
                </a:r>
                <a:r>
                  <a:rPr lang="en-US" baseline="0"/>
                  <a:t> / km2</a:t>
                </a:r>
                <a:endParaRPr lang="en-US"/>
              </a:p>
            </c:rich>
          </c:tx>
          <c:overlay val="0"/>
        </c:title>
        <c:numFmt formatCode="0" sourceLinked="0"/>
        <c:majorTickMark val="out"/>
        <c:minorTickMark val="none"/>
        <c:tickLblPos val="nextTo"/>
        <c:crossAx val="105563264"/>
        <c:crosses val="autoZero"/>
        <c:crossBetween val="midCat"/>
      </c:valAx>
    </c:plotArea>
    <c:legend>
      <c:legendPos val="r"/>
      <c:layout>
        <c:manualLayout>
          <c:xMode val="edge"/>
          <c:yMode val="edge"/>
          <c:x val="0.78694751677441765"/>
          <c:y val="4.6224186005526288E-2"/>
          <c:w val="0.16734765158247009"/>
          <c:h val="0.29720083265453889"/>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7400373747534753"/>
          <c:y val="0.13685310303953938"/>
          <c:w val="0.75575534322617999"/>
          <c:h val="0.69781153162306364"/>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Data!$M$3:$M$57</c:f>
              <c:numCache>
                <c:formatCode>0.00</c:formatCode>
                <c:ptCount val="55"/>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Data!$M$58:$M$65</c:f>
              <c:numCache>
                <c:formatCode>0.00</c:formatCode>
                <c:ptCount val="8"/>
                <c:pt idx="0">
                  <c:v>11.583090958932056</c:v>
                </c:pt>
                <c:pt idx="1">
                  <c:v>13.500828821914748</c:v>
                </c:pt>
                <c:pt idx="2">
                  <c:v>9.6272575675058238</c:v>
                </c:pt>
                <c:pt idx="3">
                  <c:v>14.414630194256446</c:v>
                </c:pt>
                <c:pt idx="4">
                  <c:v>10.973423239945067</c:v>
                </c:pt>
                <c:pt idx="5">
                  <c:v>7.6282453467075744</c:v>
                </c:pt>
                <c:pt idx="6">
                  <c:v>17</c:v>
                </c:pt>
                <c:pt idx="7">
                  <c:v>7.7380952380952381</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Data!$M$66:$M$116</c:f>
              <c:numCache>
                <c:formatCode>0.00</c:formatCode>
                <c:ptCount val="51"/>
                <c:pt idx="0">
                  <c:v>11.6462299939241</c:v>
                </c:pt>
                <c:pt idx="1">
                  <c:v>5.6964483026931951</c:v>
                </c:pt>
                <c:pt idx="2">
                  <c:v>6.3938618925831197</c:v>
                </c:pt>
                <c:pt idx="3">
                  <c:v>6.1111111111111107</c:v>
                </c:pt>
                <c:pt idx="4">
                  <c:v>10.410566251407433</c:v>
                </c:pt>
                <c:pt idx="5">
                  <c:v>3.9849969716925888</c:v>
                </c:pt>
                <c:pt idx="6">
                  <c:v>3.9814421126634252</c:v>
                </c:pt>
                <c:pt idx="7">
                  <c:v>9.2777638474081332</c:v>
                </c:pt>
                <c:pt idx="8">
                  <c:v>7.260609891230863</c:v>
                </c:pt>
                <c:pt idx="9">
                  <c:v>4.2087160999279618</c:v>
                </c:pt>
                <c:pt idx="10">
                  <c:v>5.8726271161785517</c:v>
                </c:pt>
                <c:pt idx="11">
                  <c:v>5.8726271161785517</c:v>
                </c:pt>
                <c:pt idx="12">
                  <c:v>7.9867728780028315</c:v>
                </c:pt>
                <c:pt idx="13">
                  <c:v>8.1880161186068126</c:v>
                </c:pt>
                <c:pt idx="14">
                  <c:v>4.6731875172984489</c:v>
                </c:pt>
                <c:pt idx="15">
                  <c:v>4.9691460213818521</c:v>
                </c:pt>
                <c:pt idx="16">
                  <c:v>9.0001948140667469</c:v>
                </c:pt>
                <c:pt idx="17">
                  <c:v>6.8250000000000002</c:v>
                </c:pt>
                <c:pt idx="18">
                  <c:v>6.6067055057008712</c:v>
                </c:pt>
                <c:pt idx="19">
                  <c:v>8.4197906846415407</c:v>
                </c:pt>
                <c:pt idx="20">
                  <c:v>5.8726271161785526</c:v>
                </c:pt>
                <c:pt idx="21">
                  <c:v>7.3407838952231907</c:v>
                </c:pt>
                <c:pt idx="22">
                  <c:v>5.3851990655357325</c:v>
                </c:pt>
                <c:pt idx="23">
                  <c:v>10.864360164930321</c:v>
                </c:pt>
                <c:pt idx="24">
                  <c:v>4.4743825647074686</c:v>
                </c:pt>
                <c:pt idx="25">
                  <c:v>6.85</c:v>
                </c:pt>
                <c:pt idx="26">
                  <c:v>6.7098975782062533</c:v>
                </c:pt>
                <c:pt idx="27">
                  <c:v>9.0829966063561614</c:v>
                </c:pt>
                <c:pt idx="28">
                  <c:v>6.4598898277964079</c:v>
                </c:pt>
                <c:pt idx="29">
                  <c:v>5.0896101673547456</c:v>
                </c:pt>
                <c:pt idx="30">
                  <c:v>8.0211492318536326</c:v>
                </c:pt>
                <c:pt idx="31">
                  <c:v>8.0081278856980251</c:v>
                </c:pt>
                <c:pt idx="32">
                  <c:v>4.9591073425507775</c:v>
                </c:pt>
                <c:pt idx="33">
                  <c:v>5.8726271161785526</c:v>
                </c:pt>
                <c:pt idx="34">
                  <c:v>3.0537661004128474</c:v>
                </c:pt>
                <c:pt idx="35">
                  <c:v>11.745254232357105</c:v>
                </c:pt>
                <c:pt idx="36">
                  <c:v>9.74</c:v>
                </c:pt>
                <c:pt idx="37">
                  <c:v>3</c:v>
                </c:pt>
                <c:pt idx="38">
                  <c:v>13.14800901577761</c:v>
                </c:pt>
                <c:pt idx="39">
                  <c:v>5.5533116937858651</c:v>
                </c:pt>
                <c:pt idx="40">
                  <c:v>7.0471525394142631</c:v>
                </c:pt>
                <c:pt idx="41">
                  <c:v>4.5</c:v>
                </c:pt>
                <c:pt idx="42">
                  <c:v>8</c:v>
                </c:pt>
                <c:pt idx="43">
                  <c:v>7.7</c:v>
                </c:pt>
                <c:pt idx="44">
                  <c:v>9.8000000000000007</c:v>
                </c:pt>
                <c:pt idx="45">
                  <c:v>7.6190476190476195</c:v>
                </c:pt>
                <c:pt idx="46">
                  <c:v>7.7142857142857144</c:v>
                </c:pt>
                <c:pt idx="47">
                  <c:v>9.1126972492425811</c:v>
                </c:pt>
                <c:pt idx="48">
                  <c:v>5.8726271161785526</c:v>
                </c:pt>
                <c:pt idx="49">
                  <c:v>11.574074074074073</c:v>
                </c:pt>
                <c:pt idx="50">
                  <c:v>7.7333333333333325</c:v>
                </c:pt>
              </c:numCache>
            </c:numRef>
          </c:yVal>
          <c:smooth val="0"/>
        </c:ser>
        <c:dLbls>
          <c:showLegendKey val="0"/>
          <c:showVal val="0"/>
          <c:showCatName val="0"/>
          <c:showSerName val="0"/>
          <c:showPercent val="0"/>
          <c:showBubbleSize val="0"/>
        </c:dLbls>
        <c:axId val="92268800"/>
        <c:axId val="93012352"/>
      </c:scatterChart>
      <c:valAx>
        <c:axId val="92268800"/>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3012352"/>
        <c:crosses val="autoZero"/>
        <c:crossBetween val="midCat"/>
      </c:valAx>
      <c:valAx>
        <c:axId val="9301235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2268800"/>
        <c:crosses val="autoZero"/>
        <c:crossBetween val="midCat"/>
      </c:valAx>
    </c:plotArea>
    <c:legend>
      <c:legendPos val="r"/>
      <c:layout>
        <c:manualLayout>
          <c:xMode val="edge"/>
          <c:yMode val="edge"/>
          <c:x val="0.74240720306774688"/>
          <c:y val="5.1126293036899813E-2"/>
          <c:w val="0.25295066377573128"/>
          <c:h val="0.1935834491276827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5018053082621849"/>
          <c:y val="7.66379022766039E-2"/>
          <c:w val="0.77957855343910465"/>
          <c:h val="0.75802642316769264"/>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Data!$R$178:$R$193</c:f>
              <c:numCache>
                <c:formatCode>0.00</c:formatCode>
                <c:ptCount val="16"/>
                <c:pt idx="0">
                  <c:v>6.6294117647058828</c:v>
                </c:pt>
                <c:pt idx="1">
                  <c:v>5.92</c:v>
                </c:pt>
                <c:pt idx="2">
                  <c:v>8.4649999999999999</c:v>
                </c:pt>
                <c:pt idx="3">
                  <c:v>7</c:v>
                </c:pt>
                <c:pt idx="6">
                  <c:v>7.2</c:v>
                </c:pt>
                <c:pt idx="12">
                  <c:v>8.5</c:v>
                </c:pt>
                <c:pt idx="14">
                  <c:v>9.956619802115295</c:v>
                </c:pt>
              </c:numCache>
            </c:numRef>
          </c:yVal>
          <c:smooth val="0"/>
        </c:ser>
        <c:ser>
          <c:idx val="1"/>
          <c:order val="1"/>
          <c:tx>
            <c:v>2 Axis</c:v>
          </c:tx>
          <c:spPr>
            <a:ln w="28575">
              <a:noFill/>
            </a:ln>
          </c:spPr>
          <c:xVal>
            <c:numRef>
              <c:f>Data!$AB$194:$AB$195</c:f>
              <c:numCache>
                <c:formatCode>0.0%</c:formatCode>
                <c:ptCount val="2"/>
                <c:pt idx="0">
                  <c:v>0.31</c:v>
                </c:pt>
                <c:pt idx="1">
                  <c:v>0.25</c:v>
                </c:pt>
              </c:numCache>
            </c:numRef>
          </c:xVal>
          <c:yVal>
            <c:numRef>
              <c:f>Data!$R$194:$R$195</c:f>
              <c:numCache>
                <c:formatCode>0.00</c:formatCode>
                <c:ptCount val="2"/>
                <c:pt idx="0">
                  <c:v>6.0546875</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Data!$R$196:$R$209</c:f>
              <c:numCache>
                <c:formatCode>0.00</c:formatCode>
                <c:ptCount val="14"/>
                <c:pt idx="1">
                  <c:v>4.2666666666666666</c:v>
                </c:pt>
                <c:pt idx="3">
                  <c:v>6.4</c:v>
                </c:pt>
                <c:pt idx="4">
                  <c:v>7.4</c:v>
                </c:pt>
                <c:pt idx="5">
                  <c:v>6.09375</c:v>
                </c:pt>
                <c:pt idx="7">
                  <c:v>7.666666666666667</c:v>
                </c:pt>
                <c:pt idx="8">
                  <c:v>6.791666666666667</c:v>
                </c:pt>
                <c:pt idx="12">
                  <c:v>5.4636363636363638</c:v>
                </c:pt>
              </c:numCache>
            </c:numRef>
          </c:yVal>
          <c:smooth val="0"/>
        </c:ser>
        <c:dLbls>
          <c:showLegendKey val="0"/>
          <c:showVal val="0"/>
          <c:showCatName val="0"/>
          <c:showSerName val="0"/>
          <c:showPercent val="0"/>
          <c:showBubbleSize val="0"/>
        </c:dLbls>
        <c:axId val="105657472"/>
        <c:axId val="105659392"/>
      </c:scatterChart>
      <c:valAx>
        <c:axId val="105657472"/>
        <c:scaling>
          <c:orientation val="minMax"/>
          <c:min val="8.0000000000000043E-2"/>
        </c:scaling>
        <c:delete val="0"/>
        <c:axPos val="b"/>
        <c:title>
          <c:tx>
            <c:rich>
              <a:bodyPr/>
              <a:lstStyle/>
              <a:p>
                <a:pPr>
                  <a:defRPr/>
                </a:pPr>
                <a:r>
                  <a:rPr lang="en-US"/>
                  <a:t>Efficiency</a:t>
                </a:r>
              </a:p>
            </c:rich>
          </c:tx>
          <c:overlay val="0"/>
        </c:title>
        <c:numFmt formatCode="0%" sourceLinked="0"/>
        <c:majorTickMark val="out"/>
        <c:minorTickMark val="none"/>
        <c:tickLblPos val="nextTo"/>
        <c:crossAx val="105659392"/>
        <c:crosses val="autoZero"/>
        <c:crossBetween val="midCat"/>
      </c:valAx>
      <c:valAx>
        <c:axId val="105659392"/>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5657472"/>
        <c:crosses val="autoZero"/>
        <c:crossBetween val="midCat"/>
      </c:valAx>
    </c:plotArea>
    <c:legend>
      <c:legendPos val="r"/>
      <c:layout>
        <c:manualLayout>
          <c:xMode val="edge"/>
          <c:yMode val="edge"/>
          <c:x val="0.76257102382655462"/>
          <c:y val="4.6224124897009236E-2"/>
          <c:w val="0.14685094198844564"/>
          <c:h val="0.2340830211757510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52"/>
          <c:y val="3.1974420463629256E-2"/>
        </c:manualLayout>
      </c:layout>
      <c:overlay val="1"/>
    </c:title>
    <c:autoTitleDeleted val="0"/>
    <c:plotArea>
      <c:layout>
        <c:manualLayout>
          <c:layoutTarget val="inner"/>
          <c:xMode val="edge"/>
          <c:yMode val="edge"/>
          <c:x val="0.15476424808666819"/>
          <c:y val="7.66379022766039E-2"/>
          <c:w val="0.6845607305127841"/>
          <c:h val="0.75802642316769264"/>
        </c:manualLayout>
      </c:layout>
      <c:scatterChart>
        <c:scatterStyle val="lineMarker"/>
        <c:varyColors val="0"/>
        <c:ser>
          <c:idx val="0"/>
          <c:order val="0"/>
          <c:tx>
            <c:v>1 Axis</c:v>
          </c:tx>
          <c:spPr>
            <a:ln w="28575">
              <a:noFill/>
            </a:ln>
          </c:spPr>
          <c:trendline>
            <c:trendlineType val="linear"/>
            <c:dispRSqr val="0"/>
            <c:dispEq val="1"/>
            <c:trendlineLbl>
              <c:numFmt formatCode="General" sourceLinked="0"/>
            </c:trendlineLbl>
          </c:trendline>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Data!$R$178:$R$193</c:f>
              <c:numCache>
                <c:formatCode>0.00</c:formatCode>
                <c:ptCount val="16"/>
                <c:pt idx="0">
                  <c:v>6.6294117647058828</c:v>
                </c:pt>
                <c:pt idx="1">
                  <c:v>5.92</c:v>
                </c:pt>
                <c:pt idx="2">
                  <c:v>8.4649999999999999</c:v>
                </c:pt>
                <c:pt idx="3">
                  <c:v>7</c:v>
                </c:pt>
                <c:pt idx="6">
                  <c:v>7.2</c:v>
                </c:pt>
                <c:pt idx="12">
                  <c:v>8.5</c:v>
                </c:pt>
                <c:pt idx="14">
                  <c:v>9.956619802115295</c:v>
                </c:pt>
              </c:numCache>
            </c:numRef>
          </c:yVal>
          <c:smooth val="0"/>
        </c:ser>
        <c:dLbls>
          <c:showLegendKey val="0"/>
          <c:showVal val="0"/>
          <c:showCatName val="0"/>
          <c:showSerName val="0"/>
          <c:showPercent val="0"/>
          <c:showBubbleSize val="0"/>
        </c:dLbls>
        <c:axId val="105701760"/>
        <c:axId val="105703680"/>
      </c:scatterChart>
      <c:valAx>
        <c:axId val="105701760"/>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5703680"/>
        <c:crosses val="autoZero"/>
        <c:crossBetween val="midCat"/>
      </c:valAx>
      <c:valAx>
        <c:axId val="105703680"/>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5701760"/>
        <c:crosses val="autoZero"/>
        <c:crossBetween val="midCat"/>
      </c:valAx>
    </c:plotArea>
    <c:legend>
      <c:legendPos val="r"/>
      <c:layout>
        <c:manualLayout>
          <c:xMode val="edge"/>
          <c:yMode val="edge"/>
          <c:x val="0.76257102382655462"/>
          <c:y val="4.6224124897009236E-2"/>
          <c:w val="0.17715225696739678"/>
          <c:h val="0.3121106949010049"/>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4202505012931921"/>
          <c:y val="0.15430794451664526"/>
          <c:w val="0.68734765046060864"/>
          <c:h val="0.68035641175920958"/>
        </c:manualLayout>
      </c:layout>
      <c:scatterChart>
        <c:scatterStyle val="lineMarker"/>
        <c:varyColors val="0"/>
        <c:ser>
          <c:idx val="1"/>
          <c:order val="0"/>
          <c:tx>
            <c:v>2 Axis</c:v>
          </c:tx>
          <c:spPr>
            <a:ln w="28575">
              <a:noFill/>
            </a:ln>
          </c:spPr>
          <c:trendline>
            <c:trendlineType val="linear"/>
            <c:dispRSqr val="0"/>
            <c:dispEq val="1"/>
            <c:trendlineLbl>
              <c:numFmt formatCode="General" sourceLinked="0"/>
            </c:trendlineLbl>
          </c:trendline>
          <c:xVal>
            <c:numRef>
              <c:f>Data!$AB$194:$AB$195</c:f>
              <c:numCache>
                <c:formatCode>0.0%</c:formatCode>
                <c:ptCount val="2"/>
                <c:pt idx="0">
                  <c:v>0.31</c:v>
                </c:pt>
                <c:pt idx="1">
                  <c:v>0.25</c:v>
                </c:pt>
              </c:numCache>
            </c:numRef>
          </c:xVal>
          <c:yVal>
            <c:numRef>
              <c:f>Data!$R$194:$R$195</c:f>
              <c:numCache>
                <c:formatCode>0.00</c:formatCode>
                <c:ptCount val="2"/>
                <c:pt idx="0">
                  <c:v>6.0546875</c:v>
                </c:pt>
              </c:numCache>
            </c:numRef>
          </c:yVal>
          <c:smooth val="0"/>
        </c:ser>
        <c:dLbls>
          <c:showLegendKey val="0"/>
          <c:showVal val="0"/>
          <c:showCatName val="0"/>
          <c:showSerName val="0"/>
          <c:showPercent val="0"/>
          <c:showBubbleSize val="0"/>
        </c:dLbls>
        <c:axId val="106016128"/>
        <c:axId val="106018304"/>
      </c:scatterChart>
      <c:valAx>
        <c:axId val="106016128"/>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6018304"/>
        <c:crosses val="autoZero"/>
        <c:crossBetween val="midCat"/>
      </c:valAx>
      <c:valAx>
        <c:axId val="106018304"/>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6016128"/>
        <c:crosses val="autoZero"/>
        <c:crossBetween val="midCat"/>
      </c:valAx>
    </c:plotArea>
    <c:legend>
      <c:legendPos val="r"/>
      <c:layout>
        <c:manualLayout>
          <c:xMode val="edge"/>
          <c:yMode val="edge"/>
          <c:x val="0.76257102382655462"/>
          <c:y val="4.6224124897009236E-2"/>
          <c:w val="0.17715225696739684"/>
          <c:h val="0.31211069490100501"/>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3611992999449479"/>
          <c:y val="7.66379022766039E-2"/>
          <c:w val="0.79363905875701179"/>
          <c:h val="0.75802642316769264"/>
        </c:manualLayout>
      </c:layout>
      <c:scatterChart>
        <c:scatterStyle val="lineMarker"/>
        <c:varyColors val="0"/>
        <c:ser>
          <c:idx val="2"/>
          <c:order val="0"/>
          <c:tx>
            <c:v>Fixed</c:v>
          </c:tx>
          <c:spPr>
            <a:ln w="28575">
              <a:noFill/>
            </a:ln>
          </c:spPr>
          <c:trendline>
            <c:trendlineType val="linear"/>
            <c:dispRSqr val="0"/>
            <c:dispEq val="1"/>
            <c:trendlineLbl>
              <c:numFmt formatCode="General" sourceLinked="0"/>
            </c:trendlineLbl>
          </c:trendline>
          <c:xVal>
            <c:numRef>
              <c:f>Data!$AB$195:$AB$209</c:f>
              <c:numCache>
                <c:formatCode>0.0%</c:formatCode>
                <c:ptCount val="15"/>
                <c:pt idx="0">
                  <c:v>0.25</c:v>
                </c:pt>
                <c:pt idx="1">
                  <c:v>0.1</c:v>
                </c:pt>
                <c:pt idx="2">
                  <c:v>0.14000000000000001</c:v>
                </c:pt>
                <c:pt idx="4">
                  <c:v>0.1</c:v>
                </c:pt>
                <c:pt idx="5">
                  <c:v>0.1</c:v>
                </c:pt>
                <c:pt idx="6">
                  <c:v>0.13200000000000001</c:v>
                </c:pt>
                <c:pt idx="7">
                  <c:v>0.14099999999999999</c:v>
                </c:pt>
                <c:pt idx="8">
                  <c:v>0.09</c:v>
                </c:pt>
                <c:pt idx="9">
                  <c:v>0.1</c:v>
                </c:pt>
                <c:pt idx="10">
                  <c:v>0.158</c:v>
                </c:pt>
                <c:pt idx="11">
                  <c:v>0.1</c:v>
                </c:pt>
                <c:pt idx="12">
                  <c:v>0.107</c:v>
                </c:pt>
                <c:pt idx="13">
                  <c:v>0.1</c:v>
                </c:pt>
                <c:pt idx="14">
                  <c:v>0.107</c:v>
                </c:pt>
              </c:numCache>
            </c:numRef>
          </c:xVal>
          <c:yVal>
            <c:numRef>
              <c:f>Data!$R$196:$R$209</c:f>
              <c:numCache>
                <c:formatCode>0.00</c:formatCode>
                <c:ptCount val="14"/>
                <c:pt idx="1">
                  <c:v>4.2666666666666666</c:v>
                </c:pt>
                <c:pt idx="3">
                  <c:v>6.4</c:v>
                </c:pt>
                <c:pt idx="4">
                  <c:v>7.4</c:v>
                </c:pt>
                <c:pt idx="5">
                  <c:v>6.09375</c:v>
                </c:pt>
                <c:pt idx="7">
                  <c:v>7.666666666666667</c:v>
                </c:pt>
                <c:pt idx="8">
                  <c:v>6.791666666666667</c:v>
                </c:pt>
                <c:pt idx="12">
                  <c:v>5.4636363636363638</c:v>
                </c:pt>
              </c:numCache>
            </c:numRef>
          </c:yVal>
          <c:smooth val="0"/>
        </c:ser>
        <c:dLbls>
          <c:showLegendKey val="0"/>
          <c:showVal val="0"/>
          <c:showCatName val="0"/>
          <c:showSerName val="0"/>
          <c:showPercent val="0"/>
          <c:showBubbleSize val="0"/>
        </c:dLbls>
        <c:axId val="106109568"/>
        <c:axId val="106119936"/>
      </c:scatterChart>
      <c:valAx>
        <c:axId val="106109568"/>
        <c:scaling>
          <c:orientation val="minMax"/>
          <c:min val="7.0000000000000021E-2"/>
        </c:scaling>
        <c:delete val="0"/>
        <c:axPos val="b"/>
        <c:title>
          <c:tx>
            <c:rich>
              <a:bodyPr/>
              <a:lstStyle/>
              <a:p>
                <a:pPr>
                  <a:defRPr/>
                </a:pPr>
                <a:r>
                  <a:rPr lang="en-US"/>
                  <a:t>Efficiency</a:t>
                </a:r>
              </a:p>
            </c:rich>
          </c:tx>
          <c:overlay val="0"/>
        </c:title>
        <c:numFmt formatCode="0%" sourceLinked="0"/>
        <c:majorTickMark val="out"/>
        <c:minorTickMark val="none"/>
        <c:tickLblPos val="nextTo"/>
        <c:crossAx val="106119936"/>
        <c:crosses val="autoZero"/>
        <c:crossBetween val="midCat"/>
      </c:valAx>
      <c:valAx>
        <c:axId val="106119936"/>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106109568"/>
        <c:crosses val="autoZero"/>
        <c:crossBetween val="midCat"/>
      </c:valAx>
    </c:plotArea>
    <c:legend>
      <c:legendPos val="r"/>
      <c:layout>
        <c:manualLayout>
          <c:xMode val="edge"/>
          <c:yMode val="edge"/>
          <c:x val="0.76257102382655462"/>
          <c:y val="4.6224124897009236E-2"/>
          <c:w val="0.17715225696739684"/>
          <c:h val="0.31211069490100501"/>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MW built</a:t>
            </a:r>
          </a:p>
        </c:rich>
      </c:tx>
      <c:overlay val="1"/>
    </c:title>
    <c:autoTitleDeleted val="0"/>
    <c:plotArea>
      <c:layout>
        <c:manualLayout>
          <c:layoutTarget val="inner"/>
          <c:xMode val="edge"/>
          <c:yMode val="edge"/>
          <c:x val="0.20165406534635266"/>
          <c:y val="5.0317046424132504E-2"/>
          <c:w val="0.60025732979817792"/>
          <c:h val="0.74004584139079399"/>
        </c:manualLayout>
      </c:layout>
      <c:barChart>
        <c:barDir val="col"/>
        <c:grouping val="clustered"/>
        <c:varyColors val="0"/>
        <c:ser>
          <c:idx val="1"/>
          <c:order val="0"/>
          <c:tx>
            <c:v>2 Axis</c:v>
          </c:tx>
          <c:invertIfNegative val="0"/>
          <c:cat>
            <c:strRef>
              <c:f>Data!$BK$288:$BN$288</c:f>
              <c:strCache>
                <c:ptCount val="4"/>
                <c:pt idx="0">
                  <c:v>&lt;2008</c:v>
                </c:pt>
                <c:pt idx="1">
                  <c:v>2008-2009</c:v>
                </c:pt>
                <c:pt idx="2">
                  <c:v>2010-2011</c:v>
                </c:pt>
                <c:pt idx="3">
                  <c:v>&gt;=2012</c:v>
                </c:pt>
              </c:strCache>
            </c:strRef>
          </c:cat>
          <c:val>
            <c:numRef>
              <c:f>Data!$AR$290:$AU$290</c:f>
              <c:numCache>
                <c:formatCode>0.0%</c:formatCode>
                <c:ptCount val="4"/>
                <c:pt idx="0" formatCode="0%">
                  <c:v>0</c:v>
                </c:pt>
                <c:pt idx="1">
                  <c:v>0</c:v>
                </c:pt>
                <c:pt idx="2">
                  <c:v>0</c:v>
                </c:pt>
                <c:pt idx="3">
                  <c:v>1.9483362505705388E-2</c:v>
                </c:pt>
              </c:numCache>
            </c:numRef>
          </c:val>
        </c:ser>
        <c:ser>
          <c:idx val="0"/>
          <c:order val="1"/>
          <c:tx>
            <c:v>1 Axis</c:v>
          </c:tx>
          <c:invertIfNegative val="0"/>
          <c:cat>
            <c:strRef>
              <c:f>Data!$BK$288:$BN$288</c:f>
              <c:strCache>
                <c:ptCount val="4"/>
                <c:pt idx="0">
                  <c:v>&lt;2008</c:v>
                </c:pt>
                <c:pt idx="1">
                  <c:v>2008-2009</c:v>
                </c:pt>
                <c:pt idx="2">
                  <c:v>2010-2011</c:v>
                </c:pt>
                <c:pt idx="3">
                  <c:v>&gt;=2012</c:v>
                </c:pt>
              </c:strCache>
            </c:strRef>
          </c:cat>
          <c:val>
            <c:numRef>
              <c:f>Data!$AR$289:$AU$289</c:f>
              <c:numCache>
                <c:formatCode>0.0%</c:formatCode>
                <c:ptCount val="4"/>
                <c:pt idx="0" formatCode="0%">
                  <c:v>0</c:v>
                </c:pt>
                <c:pt idx="1">
                  <c:v>0.54347826086956519</c:v>
                </c:pt>
                <c:pt idx="2">
                  <c:v>0.21407392825208535</c:v>
                </c:pt>
                <c:pt idx="3">
                  <c:v>0.19118172671369488</c:v>
                </c:pt>
              </c:numCache>
            </c:numRef>
          </c:val>
        </c:ser>
        <c:ser>
          <c:idx val="2"/>
          <c:order val="2"/>
          <c:tx>
            <c:v>Fixed</c:v>
          </c:tx>
          <c:invertIfNegative val="0"/>
          <c:cat>
            <c:strRef>
              <c:f>Data!$BK$288:$BN$288</c:f>
              <c:strCache>
                <c:ptCount val="4"/>
                <c:pt idx="0">
                  <c:v>&lt;2008</c:v>
                </c:pt>
                <c:pt idx="1">
                  <c:v>2008-2009</c:v>
                </c:pt>
                <c:pt idx="2">
                  <c:v>2010-2011</c:v>
                </c:pt>
                <c:pt idx="3">
                  <c:v>&gt;=2012</c:v>
                </c:pt>
              </c:strCache>
            </c:strRef>
          </c:cat>
          <c:val>
            <c:numRef>
              <c:f>Data!$AR$291:$AU$291</c:f>
              <c:numCache>
                <c:formatCode>0.0%</c:formatCode>
                <c:ptCount val="4"/>
                <c:pt idx="0" formatCode="0%">
                  <c:v>0</c:v>
                </c:pt>
                <c:pt idx="1">
                  <c:v>0.45652173913043476</c:v>
                </c:pt>
                <c:pt idx="2">
                  <c:v>0.78592607174791462</c:v>
                </c:pt>
                <c:pt idx="3">
                  <c:v>0.18760617883549144</c:v>
                </c:pt>
              </c:numCache>
            </c:numRef>
          </c:val>
        </c:ser>
        <c:ser>
          <c:idx val="3"/>
          <c:order val="3"/>
          <c:tx>
            <c:v>Unknown</c:v>
          </c:tx>
          <c:invertIfNegative val="0"/>
          <c:cat>
            <c:strRef>
              <c:f>Data!$BK$288:$BN$288</c:f>
              <c:strCache>
                <c:ptCount val="4"/>
                <c:pt idx="0">
                  <c:v>&lt;2008</c:v>
                </c:pt>
                <c:pt idx="1">
                  <c:v>2008-2009</c:v>
                </c:pt>
                <c:pt idx="2">
                  <c:v>2010-2011</c:v>
                </c:pt>
                <c:pt idx="3">
                  <c:v>&gt;=2012</c:v>
                </c:pt>
              </c:strCache>
            </c:strRef>
          </c:cat>
          <c:val>
            <c:numRef>
              <c:f>Data!$AR$292:$AU$292</c:f>
              <c:numCache>
                <c:formatCode>0.0%</c:formatCode>
                <c:ptCount val="4"/>
                <c:pt idx="1">
                  <c:v>0</c:v>
                </c:pt>
                <c:pt idx="2">
                  <c:v>0</c:v>
                </c:pt>
                <c:pt idx="3">
                  <c:v>0.60172873194510823</c:v>
                </c:pt>
              </c:numCache>
            </c:numRef>
          </c:val>
        </c:ser>
        <c:dLbls>
          <c:showLegendKey val="0"/>
          <c:showVal val="0"/>
          <c:showCatName val="0"/>
          <c:showSerName val="0"/>
          <c:showPercent val="0"/>
          <c:showBubbleSize val="0"/>
        </c:dLbls>
        <c:gapWidth val="150"/>
        <c:axId val="106147200"/>
        <c:axId val="106161664"/>
      </c:barChart>
      <c:catAx>
        <c:axId val="106147200"/>
        <c:scaling>
          <c:orientation val="minMax"/>
        </c:scaling>
        <c:delete val="0"/>
        <c:axPos val="b"/>
        <c:title>
          <c:tx>
            <c:rich>
              <a:bodyPr/>
              <a:lstStyle/>
              <a:p>
                <a:pPr>
                  <a:defRPr/>
                </a:pPr>
                <a:r>
                  <a:rPr lang="en-US"/>
                  <a:t>Projects built</a:t>
                </a:r>
                <a:r>
                  <a:rPr lang="en-US" baseline="0"/>
                  <a:t> diring time frame</a:t>
                </a:r>
                <a:endParaRPr lang="en-US"/>
              </a:p>
            </c:rich>
          </c:tx>
          <c:overlay val="0"/>
        </c:title>
        <c:majorTickMark val="out"/>
        <c:minorTickMark val="none"/>
        <c:tickLblPos val="nextTo"/>
        <c:crossAx val="106161664"/>
        <c:crosses val="autoZero"/>
        <c:auto val="1"/>
        <c:lblAlgn val="ctr"/>
        <c:lblOffset val="100"/>
        <c:noMultiLvlLbl val="0"/>
      </c:catAx>
      <c:valAx>
        <c:axId val="106161664"/>
        <c:scaling>
          <c:orientation val="minMax"/>
        </c:scaling>
        <c:delete val="0"/>
        <c:axPos val="l"/>
        <c:title>
          <c:tx>
            <c:rich>
              <a:bodyPr rot="-5400000" vert="horz"/>
              <a:lstStyle/>
              <a:p>
                <a:pPr>
                  <a:defRPr/>
                </a:pPr>
                <a:r>
                  <a:rPr lang="en-US"/>
                  <a:t>Percentage of projects</a:t>
                </a:r>
              </a:p>
            </c:rich>
          </c:tx>
          <c:overlay val="0"/>
        </c:title>
        <c:numFmt formatCode="0%" sourceLinked="1"/>
        <c:majorTickMark val="out"/>
        <c:minorTickMark val="none"/>
        <c:tickLblPos val="nextTo"/>
        <c:crossAx val="106147200"/>
        <c:crosses val="autoZero"/>
        <c:crossBetween val="between"/>
      </c:valAx>
    </c:plotArea>
    <c:legend>
      <c:legendPos val="r"/>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MW of</a:t>
            </a:r>
            <a:r>
              <a:rPr lang="en-US" baseline="0"/>
              <a:t> Projects</a:t>
            </a:r>
            <a:endParaRPr lang="en-US"/>
          </a:p>
        </c:rich>
      </c:tx>
      <c:layout>
        <c:manualLayout>
          <c:xMode val="edge"/>
          <c:yMode val="edge"/>
          <c:x val="0.39468044619423004"/>
          <c:y val="2.7755103824850278E-2"/>
        </c:manualLayout>
      </c:layout>
      <c:overlay val="1"/>
    </c:title>
    <c:autoTitleDeleted val="0"/>
    <c:plotArea>
      <c:layout/>
      <c:barChart>
        <c:barDir val="col"/>
        <c:grouping val="clustered"/>
        <c:varyColors val="0"/>
        <c:ser>
          <c:idx val="1"/>
          <c:order val="0"/>
          <c:tx>
            <c:v>2 Axis</c:v>
          </c:tx>
          <c:invertIfNegative val="0"/>
          <c:cat>
            <c:strRef>
              <c:f>Data!$BO$288:$BQ$288</c:f>
              <c:strCache>
                <c:ptCount val="3"/>
                <c:pt idx="0">
                  <c:v>&lt;2008</c:v>
                </c:pt>
                <c:pt idx="1">
                  <c:v>2008-2009</c:v>
                </c:pt>
                <c:pt idx="2">
                  <c:v>2010-2011</c:v>
                </c:pt>
              </c:strCache>
            </c:strRef>
          </c:cat>
          <c:val>
            <c:numRef>
              <c:f>Data!$AV$292:$AX$292</c:f>
              <c:numCache>
                <c:formatCode>0.000</c:formatCode>
                <c:ptCount val="3"/>
                <c:pt idx="0">
                  <c:v>0</c:v>
                </c:pt>
                <c:pt idx="1">
                  <c:v>0</c:v>
                </c:pt>
                <c:pt idx="2">
                  <c:v>0</c:v>
                </c:pt>
              </c:numCache>
            </c:numRef>
          </c:val>
        </c:ser>
        <c:ser>
          <c:idx val="0"/>
          <c:order val="1"/>
          <c:tx>
            <c:v>1 Axis</c:v>
          </c:tx>
          <c:invertIfNegative val="0"/>
          <c:cat>
            <c:strRef>
              <c:f>Data!$BO$288:$BQ$288</c:f>
              <c:strCache>
                <c:ptCount val="3"/>
                <c:pt idx="0">
                  <c:v>&lt;2008</c:v>
                </c:pt>
                <c:pt idx="1">
                  <c:v>2008-2009</c:v>
                </c:pt>
                <c:pt idx="2">
                  <c:v>2010-2011</c:v>
                </c:pt>
              </c:strCache>
            </c:strRef>
          </c:cat>
          <c:val>
            <c:numRef>
              <c:f>Data!$AV$289:$AX$289</c:f>
              <c:numCache>
                <c:formatCode>0.000</c:formatCode>
                <c:ptCount val="3"/>
                <c:pt idx="0">
                  <c:v>0</c:v>
                </c:pt>
                <c:pt idx="1">
                  <c:v>25</c:v>
                </c:pt>
                <c:pt idx="2">
                  <c:v>57</c:v>
                </c:pt>
              </c:numCache>
            </c:numRef>
          </c:val>
        </c:ser>
        <c:ser>
          <c:idx val="2"/>
          <c:order val="2"/>
          <c:tx>
            <c:v>Fixed</c:v>
          </c:tx>
          <c:invertIfNegative val="0"/>
          <c:cat>
            <c:strRef>
              <c:f>Data!$BO$288:$BQ$288</c:f>
              <c:strCache>
                <c:ptCount val="3"/>
                <c:pt idx="0">
                  <c:v>&lt;2008</c:v>
                </c:pt>
                <c:pt idx="1">
                  <c:v>2008-2009</c:v>
                </c:pt>
                <c:pt idx="2">
                  <c:v>2010-2011</c:v>
                </c:pt>
              </c:strCache>
            </c:strRef>
          </c:cat>
          <c:val>
            <c:numRef>
              <c:f>Data!$AV$291:$AX$291</c:f>
              <c:numCache>
                <c:formatCode>0.000</c:formatCode>
                <c:ptCount val="3"/>
                <c:pt idx="0">
                  <c:v>0</c:v>
                </c:pt>
                <c:pt idx="1">
                  <c:v>21</c:v>
                </c:pt>
                <c:pt idx="2">
                  <c:v>209.26315715045394</c:v>
                </c:pt>
              </c:numCache>
            </c:numRef>
          </c:val>
        </c:ser>
        <c:dLbls>
          <c:showLegendKey val="0"/>
          <c:showVal val="0"/>
          <c:showCatName val="0"/>
          <c:showSerName val="0"/>
          <c:showPercent val="0"/>
          <c:showBubbleSize val="0"/>
        </c:dLbls>
        <c:gapWidth val="150"/>
        <c:axId val="106195968"/>
        <c:axId val="106202240"/>
      </c:barChart>
      <c:catAx>
        <c:axId val="106195968"/>
        <c:scaling>
          <c:orientation val="minMax"/>
        </c:scaling>
        <c:delete val="0"/>
        <c:axPos val="b"/>
        <c:title>
          <c:tx>
            <c:rich>
              <a:bodyPr/>
              <a:lstStyle/>
              <a:p>
                <a:pPr>
                  <a:defRPr/>
                </a:pPr>
                <a:r>
                  <a:rPr lang="en-US"/>
                  <a:t>Built during Years</a:t>
                </a:r>
              </a:p>
            </c:rich>
          </c:tx>
          <c:overlay val="0"/>
        </c:title>
        <c:majorTickMark val="out"/>
        <c:minorTickMark val="none"/>
        <c:tickLblPos val="nextTo"/>
        <c:crossAx val="106202240"/>
        <c:crosses val="autoZero"/>
        <c:auto val="1"/>
        <c:lblAlgn val="ctr"/>
        <c:lblOffset val="100"/>
        <c:noMultiLvlLbl val="0"/>
      </c:catAx>
      <c:valAx>
        <c:axId val="106202240"/>
        <c:scaling>
          <c:orientation val="minMax"/>
        </c:scaling>
        <c:delete val="0"/>
        <c:axPos val="l"/>
        <c:title>
          <c:tx>
            <c:rich>
              <a:bodyPr rot="-5400000" vert="horz"/>
              <a:lstStyle/>
              <a:p>
                <a:pPr>
                  <a:defRPr/>
                </a:pPr>
                <a:r>
                  <a:rPr lang="en-US"/>
                  <a:t>MW  DC</a:t>
                </a:r>
              </a:p>
            </c:rich>
          </c:tx>
          <c:overlay val="0"/>
        </c:title>
        <c:numFmt formatCode="0.000" sourceLinked="1"/>
        <c:majorTickMark val="out"/>
        <c:minorTickMark val="none"/>
        <c:tickLblPos val="nextTo"/>
        <c:crossAx val="106195968"/>
        <c:crosses val="autoZero"/>
        <c:crossBetween val="between"/>
      </c:valAx>
    </c:plotArea>
    <c:legend>
      <c:legendPos val="r"/>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MW of</a:t>
            </a:r>
            <a:r>
              <a:rPr lang="en-US" baseline="0"/>
              <a:t> Projects</a:t>
            </a:r>
            <a:endParaRPr lang="en-US"/>
          </a:p>
        </c:rich>
      </c:tx>
      <c:layout>
        <c:manualLayout>
          <c:xMode val="edge"/>
          <c:yMode val="edge"/>
          <c:x val="0.39468044619423026"/>
          <c:y val="2.7755103824850288E-2"/>
        </c:manualLayout>
      </c:layout>
      <c:overlay val="1"/>
    </c:title>
    <c:autoTitleDeleted val="0"/>
    <c:plotArea>
      <c:layout/>
      <c:barChart>
        <c:barDir val="col"/>
        <c:grouping val="clustered"/>
        <c:varyColors val="0"/>
        <c:ser>
          <c:idx val="1"/>
          <c:order val="0"/>
          <c:tx>
            <c:v>2 Axis</c:v>
          </c:tx>
          <c:invertIfNegative val="0"/>
          <c:cat>
            <c:strRef>
              <c:f>Data!$AV$288:$AY$288</c:f>
              <c:strCache>
                <c:ptCount val="4"/>
                <c:pt idx="0">
                  <c:v>&lt;2008</c:v>
                </c:pt>
                <c:pt idx="1">
                  <c:v>2008-2009</c:v>
                </c:pt>
                <c:pt idx="2">
                  <c:v>2010-2011</c:v>
                </c:pt>
                <c:pt idx="3">
                  <c:v>&gt;=2012</c:v>
                </c:pt>
              </c:strCache>
            </c:strRef>
          </c:cat>
          <c:val>
            <c:numRef>
              <c:f>Data!$AC$291:$AF$291</c:f>
              <c:numCache>
                <c:formatCode>0.0</c:formatCode>
                <c:ptCount val="4"/>
                <c:pt idx="0">
                  <c:v>0</c:v>
                </c:pt>
                <c:pt idx="1">
                  <c:v>0</c:v>
                </c:pt>
                <c:pt idx="2">
                  <c:v>8.2586547792872658</c:v>
                </c:pt>
                <c:pt idx="3">
                  <c:v>85.890009704587555</c:v>
                </c:pt>
              </c:numCache>
            </c:numRef>
          </c:val>
        </c:ser>
        <c:ser>
          <c:idx val="0"/>
          <c:order val="1"/>
          <c:tx>
            <c:v>1 Axis</c:v>
          </c:tx>
          <c:invertIfNegative val="0"/>
          <c:cat>
            <c:strRef>
              <c:f>Data!$AV$288:$AY$288</c:f>
              <c:strCache>
                <c:ptCount val="4"/>
                <c:pt idx="0">
                  <c:v>&lt;2008</c:v>
                </c:pt>
                <c:pt idx="1">
                  <c:v>2008-2009</c:v>
                </c:pt>
                <c:pt idx="2">
                  <c:v>2010-2011</c:v>
                </c:pt>
                <c:pt idx="3">
                  <c:v>&gt;=2012</c:v>
                </c:pt>
              </c:strCache>
            </c:strRef>
          </c:cat>
          <c:val>
            <c:numRef>
              <c:f>Data!$AC$288:$AF$288</c:f>
              <c:numCache>
                <c:formatCode>0.0</c:formatCode>
                <c:ptCount val="4"/>
                <c:pt idx="0">
                  <c:v>31.533031736347976</c:v>
                </c:pt>
                <c:pt idx="1">
                  <c:v>14.43582695125431</c:v>
                </c:pt>
                <c:pt idx="2">
                  <c:v>142.50065431662296</c:v>
                </c:pt>
                <c:pt idx="3">
                  <c:v>114.23980118052955</c:v>
                </c:pt>
              </c:numCache>
            </c:numRef>
          </c:val>
        </c:ser>
        <c:ser>
          <c:idx val="2"/>
          <c:order val="2"/>
          <c:tx>
            <c:v>Fixed</c:v>
          </c:tx>
          <c:invertIfNegative val="0"/>
          <c:cat>
            <c:strRef>
              <c:f>Data!$AV$288:$AY$288</c:f>
              <c:strCache>
                <c:ptCount val="4"/>
                <c:pt idx="0">
                  <c:v>&lt;2008</c:v>
                </c:pt>
                <c:pt idx="1">
                  <c:v>2008-2009</c:v>
                </c:pt>
                <c:pt idx="2">
                  <c:v>2010-2011</c:v>
                </c:pt>
                <c:pt idx="3">
                  <c:v>&gt;=2012</c:v>
                </c:pt>
              </c:strCache>
            </c:strRef>
          </c:cat>
          <c:val>
            <c:numRef>
              <c:f>Data!$AC$290:$AF$290</c:f>
              <c:numCache>
                <c:formatCode>0.0</c:formatCode>
                <c:ptCount val="4"/>
                <c:pt idx="0">
                  <c:v>7.9339279781064143</c:v>
                </c:pt>
                <c:pt idx="1">
                  <c:v>25.073961376044078</c:v>
                </c:pt>
                <c:pt idx="2">
                  <c:v>156.82260071150773</c:v>
                </c:pt>
                <c:pt idx="3">
                  <c:v>49.551928675723595</c:v>
                </c:pt>
              </c:numCache>
            </c:numRef>
          </c:val>
        </c:ser>
        <c:dLbls>
          <c:showLegendKey val="0"/>
          <c:showVal val="0"/>
          <c:showCatName val="0"/>
          <c:showSerName val="0"/>
          <c:showPercent val="0"/>
          <c:showBubbleSize val="0"/>
        </c:dLbls>
        <c:gapWidth val="150"/>
        <c:axId val="106236928"/>
        <c:axId val="106239104"/>
      </c:barChart>
      <c:catAx>
        <c:axId val="106236928"/>
        <c:scaling>
          <c:orientation val="minMax"/>
        </c:scaling>
        <c:delete val="0"/>
        <c:axPos val="b"/>
        <c:title>
          <c:tx>
            <c:rich>
              <a:bodyPr/>
              <a:lstStyle/>
              <a:p>
                <a:pPr>
                  <a:defRPr/>
                </a:pPr>
                <a:r>
                  <a:rPr lang="en-US"/>
                  <a:t>Built during Years</a:t>
                </a:r>
              </a:p>
            </c:rich>
          </c:tx>
          <c:overlay val="0"/>
        </c:title>
        <c:majorTickMark val="out"/>
        <c:minorTickMark val="none"/>
        <c:tickLblPos val="nextTo"/>
        <c:crossAx val="106239104"/>
        <c:crosses val="autoZero"/>
        <c:auto val="1"/>
        <c:lblAlgn val="ctr"/>
        <c:lblOffset val="100"/>
        <c:noMultiLvlLbl val="0"/>
      </c:catAx>
      <c:valAx>
        <c:axId val="106239104"/>
        <c:scaling>
          <c:orientation val="minMax"/>
        </c:scaling>
        <c:delete val="0"/>
        <c:axPos val="l"/>
        <c:title>
          <c:tx>
            <c:rich>
              <a:bodyPr rot="-5400000" vert="horz"/>
              <a:lstStyle/>
              <a:p>
                <a:pPr>
                  <a:defRPr/>
                </a:pPr>
                <a:r>
                  <a:rPr lang="en-US"/>
                  <a:t>MW  DC</a:t>
                </a:r>
              </a:p>
            </c:rich>
          </c:tx>
          <c:overlay val="0"/>
        </c:title>
        <c:numFmt formatCode="0.0" sourceLinked="1"/>
        <c:majorTickMark val="out"/>
        <c:minorTickMark val="none"/>
        <c:tickLblPos val="nextTo"/>
        <c:crossAx val="106236928"/>
        <c:crosses val="autoZero"/>
        <c:crossBetween val="between"/>
      </c:valAx>
    </c:plotArea>
    <c:legend>
      <c:legendPos val="r"/>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MW built</a:t>
            </a:r>
          </a:p>
        </c:rich>
      </c:tx>
      <c:overlay val="1"/>
    </c:title>
    <c:autoTitleDeleted val="0"/>
    <c:plotArea>
      <c:layout>
        <c:manualLayout>
          <c:layoutTarget val="inner"/>
          <c:xMode val="edge"/>
          <c:yMode val="edge"/>
          <c:x val="0.20165406534635266"/>
          <c:y val="5.0317046424132504E-2"/>
          <c:w val="0.60025732979817792"/>
          <c:h val="0.74004584139079443"/>
        </c:manualLayout>
      </c:layout>
      <c:barChart>
        <c:barDir val="col"/>
        <c:grouping val="clustered"/>
        <c:varyColors val="0"/>
        <c:ser>
          <c:idx val="1"/>
          <c:order val="0"/>
          <c:tx>
            <c:v>2 Axis</c:v>
          </c:tx>
          <c:invertIfNegative val="0"/>
          <c:cat>
            <c:strRef>
              <c:f>Data!$BK$288:$BN$288</c:f>
              <c:strCache>
                <c:ptCount val="4"/>
                <c:pt idx="0">
                  <c:v>&lt;2008</c:v>
                </c:pt>
                <c:pt idx="1">
                  <c:v>2008-2009</c:v>
                </c:pt>
                <c:pt idx="2">
                  <c:v>2010-2011</c:v>
                </c:pt>
                <c:pt idx="3">
                  <c:v>&gt;=2012</c:v>
                </c:pt>
              </c:strCache>
            </c:strRef>
          </c:cat>
          <c:val>
            <c:numRef>
              <c:f>Data!$Y$289:$AB$289</c:f>
              <c:numCache>
                <c:formatCode>0.0%</c:formatCode>
                <c:ptCount val="4"/>
                <c:pt idx="0" formatCode="0%">
                  <c:v>2.1881354393245622E-2</c:v>
                </c:pt>
                <c:pt idx="1">
                  <c:v>2.1383720359823923E-2</c:v>
                </c:pt>
                <c:pt idx="2">
                  <c:v>9.2122858551220189E-3</c:v>
                </c:pt>
                <c:pt idx="3">
                  <c:v>0</c:v>
                </c:pt>
              </c:numCache>
            </c:numRef>
          </c:val>
        </c:ser>
        <c:ser>
          <c:idx val="0"/>
          <c:order val="1"/>
          <c:tx>
            <c:v>1 Axis</c:v>
          </c:tx>
          <c:invertIfNegative val="0"/>
          <c:cat>
            <c:strRef>
              <c:f>Data!$BK$288:$BN$288</c:f>
              <c:strCache>
                <c:ptCount val="4"/>
                <c:pt idx="0">
                  <c:v>&lt;2008</c:v>
                </c:pt>
                <c:pt idx="1">
                  <c:v>2008-2009</c:v>
                </c:pt>
                <c:pt idx="2">
                  <c:v>2010-2011</c:v>
                </c:pt>
                <c:pt idx="3">
                  <c:v>&gt;=2012</c:v>
                </c:pt>
              </c:strCache>
            </c:strRef>
          </c:cat>
          <c:val>
            <c:numRef>
              <c:f>Data!$Y$288:$AB$288</c:f>
              <c:numCache>
                <c:formatCode>0.0%</c:formatCode>
                <c:ptCount val="4"/>
                <c:pt idx="0" formatCode="0%">
                  <c:v>0.78149030269832309</c:v>
                </c:pt>
                <c:pt idx="1">
                  <c:v>0.35756038851782601</c:v>
                </c:pt>
                <c:pt idx="2">
                  <c:v>0.45902536219674411</c:v>
                </c:pt>
                <c:pt idx="3">
                  <c:v>0.45754167437900439</c:v>
                </c:pt>
              </c:numCache>
            </c:numRef>
          </c:val>
        </c:ser>
        <c:ser>
          <c:idx val="2"/>
          <c:order val="2"/>
          <c:tx>
            <c:v>Fixed</c:v>
          </c:tx>
          <c:invertIfNegative val="0"/>
          <c:cat>
            <c:strRef>
              <c:f>Data!$BK$288:$BN$288</c:f>
              <c:strCache>
                <c:ptCount val="4"/>
                <c:pt idx="0">
                  <c:v>&lt;2008</c:v>
                </c:pt>
                <c:pt idx="1">
                  <c:v>2008-2009</c:v>
                </c:pt>
                <c:pt idx="2">
                  <c:v>2010-2011</c:v>
                </c:pt>
                <c:pt idx="3">
                  <c:v>&gt;=2012</c:v>
                </c:pt>
              </c:strCache>
            </c:strRef>
          </c:cat>
          <c:val>
            <c:numRef>
              <c:f>Data!$Y$290:$AB$290</c:f>
              <c:numCache>
                <c:formatCode>0.0%</c:formatCode>
                <c:ptCount val="4"/>
                <c:pt idx="0" formatCode="0%">
                  <c:v>0.19662834290843129</c:v>
                </c:pt>
                <c:pt idx="1">
                  <c:v>0.62105589112235016</c:v>
                </c:pt>
                <c:pt idx="2">
                  <c:v>0.50515944251238409</c:v>
                </c:pt>
                <c:pt idx="3">
                  <c:v>0.1984603630320716</c:v>
                </c:pt>
              </c:numCache>
            </c:numRef>
          </c:val>
        </c:ser>
        <c:ser>
          <c:idx val="3"/>
          <c:order val="3"/>
          <c:tx>
            <c:v>Unknown</c:v>
          </c:tx>
          <c:invertIfNegative val="0"/>
          <c:cat>
            <c:strRef>
              <c:f>Data!$BK$288:$BN$288</c:f>
              <c:strCache>
                <c:ptCount val="4"/>
                <c:pt idx="0">
                  <c:v>&lt;2008</c:v>
                </c:pt>
                <c:pt idx="1">
                  <c:v>2008-2009</c:v>
                </c:pt>
                <c:pt idx="2">
                  <c:v>2010-2011</c:v>
                </c:pt>
                <c:pt idx="3">
                  <c:v>&gt;=2012</c:v>
                </c:pt>
              </c:strCache>
            </c:strRef>
          </c:cat>
          <c:val>
            <c:numRef>
              <c:f>Data!$Y$291:$AB$291</c:f>
              <c:numCache>
                <c:formatCode>0.0%</c:formatCode>
                <c:ptCount val="4"/>
                <c:pt idx="0" formatCode="0%">
                  <c:v>0</c:v>
                </c:pt>
                <c:pt idx="1">
                  <c:v>0</c:v>
                </c:pt>
                <c:pt idx="2">
                  <c:v>2.6602909435749795E-2</c:v>
                </c:pt>
                <c:pt idx="3">
                  <c:v>0.34399796258892407</c:v>
                </c:pt>
              </c:numCache>
            </c:numRef>
          </c:val>
        </c:ser>
        <c:dLbls>
          <c:showLegendKey val="0"/>
          <c:showVal val="0"/>
          <c:showCatName val="0"/>
          <c:showSerName val="0"/>
          <c:showPercent val="0"/>
          <c:showBubbleSize val="0"/>
        </c:dLbls>
        <c:gapWidth val="150"/>
        <c:axId val="106278272"/>
        <c:axId val="106280448"/>
      </c:barChart>
      <c:catAx>
        <c:axId val="106278272"/>
        <c:scaling>
          <c:orientation val="minMax"/>
        </c:scaling>
        <c:delete val="0"/>
        <c:axPos val="b"/>
        <c:title>
          <c:tx>
            <c:rich>
              <a:bodyPr/>
              <a:lstStyle/>
              <a:p>
                <a:pPr>
                  <a:defRPr/>
                </a:pPr>
                <a:r>
                  <a:rPr lang="en-US"/>
                  <a:t>Projects built</a:t>
                </a:r>
                <a:r>
                  <a:rPr lang="en-US" baseline="0"/>
                  <a:t> diring time frame</a:t>
                </a:r>
                <a:endParaRPr lang="en-US"/>
              </a:p>
            </c:rich>
          </c:tx>
          <c:overlay val="0"/>
        </c:title>
        <c:majorTickMark val="out"/>
        <c:minorTickMark val="none"/>
        <c:tickLblPos val="nextTo"/>
        <c:crossAx val="106280448"/>
        <c:crosses val="autoZero"/>
        <c:auto val="1"/>
        <c:lblAlgn val="ctr"/>
        <c:lblOffset val="100"/>
        <c:noMultiLvlLbl val="0"/>
      </c:catAx>
      <c:valAx>
        <c:axId val="106280448"/>
        <c:scaling>
          <c:orientation val="minMax"/>
        </c:scaling>
        <c:delete val="0"/>
        <c:axPos val="l"/>
        <c:title>
          <c:tx>
            <c:rich>
              <a:bodyPr rot="-5400000" vert="horz"/>
              <a:lstStyle/>
              <a:p>
                <a:pPr>
                  <a:defRPr/>
                </a:pPr>
                <a:r>
                  <a:rPr lang="en-US"/>
                  <a:t>Percentage of projects</a:t>
                </a:r>
              </a:p>
            </c:rich>
          </c:tx>
          <c:overlay val="0"/>
        </c:title>
        <c:numFmt formatCode="0%" sourceLinked="1"/>
        <c:majorTickMark val="out"/>
        <c:minorTickMark val="none"/>
        <c:tickLblPos val="nextTo"/>
        <c:crossAx val="106278272"/>
        <c:crosses val="autoZero"/>
        <c:crossBetween val="between"/>
      </c:valAx>
    </c:plotArea>
    <c:legend>
      <c:legendPos val="r"/>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r>
              <a:rPr lang="en-US" baseline="0"/>
              <a:t> in Seattle</a:t>
            </a:r>
            <a:endParaRPr lang="en-US"/>
          </a:p>
        </c:rich>
      </c:tx>
      <c:layout>
        <c:manualLayout>
          <c:xMode val="edge"/>
          <c:yMode val="edge"/>
          <c:x val="0.39036840503633696"/>
          <c:y val="3.1974420463629256E-2"/>
        </c:manualLayout>
      </c:layout>
      <c:overlay val="1"/>
    </c:title>
    <c:autoTitleDeleted val="0"/>
    <c:plotArea>
      <c:layout>
        <c:manualLayout>
          <c:layoutTarget val="inner"/>
          <c:xMode val="edge"/>
          <c:yMode val="edge"/>
          <c:x val="0.19461232180743693"/>
          <c:y val="0.15704314395609201"/>
          <c:w val="0.73514695896177162"/>
          <c:h val="0.65604583981270093"/>
        </c:manualLayout>
      </c:layout>
      <c:scatterChart>
        <c:scatterStyle val="lineMarker"/>
        <c:varyColors val="0"/>
        <c:ser>
          <c:idx val="0"/>
          <c:order val="0"/>
          <c:spPr>
            <a:ln w="28575">
              <a:noFill/>
            </a:ln>
          </c:spPr>
          <c:xVal>
            <c:numRef>
              <c:f>Data!$AB$7:$AB$57</c:f>
              <c:numCache>
                <c:formatCode>0.0%</c:formatCode>
                <c:ptCount val="51"/>
                <c:pt idx="0">
                  <c:v>0.13769999999999999</c:v>
                </c:pt>
                <c:pt idx="2">
                  <c:v>0.19600000000000001</c:v>
                </c:pt>
                <c:pt idx="3">
                  <c:v>0.19600000000000001</c:v>
                </c:pt>
                <c:pt idx="4">
                  <c:v>0.14799999999999999</c:v>
                </c:pt>
                <c:pt idx="6">
                  <c:v>0.14799999999999999</c:v>
                </c:pt>
                <c:pt idx="7">
                  <c:v>0.19</c:v>
                </c:pt>
                <c:pt idx="8">
                  <c:v>0.19</c:v>
                </c:pt>
                <c:pt idx="9">
                  <c:v>0.12720000000000001</c:v>
                </c:pt>
                <c:pt idx="10">
                  <c:v>0.1305</c:v>
                </c:pt>
                <c:pt idx="11">
                  <c:v>0.13900000000000001</c:v>
                </c:pt>
                <c:pt idx="12">
                  <c:v>0.13600000000000001</c:v>
                </c:pt>
                <c:pt idx="13">
                  <c:v>0.13800000000000001</c:v>
                </c:pt>
                <c:pt idx="14">
                  <c:v>0.13919999999999999</c:v>
                </c:pt>
                <c:pt idx="18">
                  <c:v>0.1547</c:v>
                </c:pt>
                <c:pt idx="22">
                  <c:v>0.14399999999999999</c:v>
                </c:pt>
                <c:pt idx="24">
                  <c:v>0.19</c:v>
                </c:pt>
                <c:pt idx="25">
                  <c:v>0.19</c:v>
                </c:pt>
                <c:pt idx="27">
                  <c:v>0.19</c:v>
                </c:pt>
                <c:pt idx="30">
                  <c:v>0.14610000000000001</c:v>
                </c:pt>
                <c:pt idx="31">
                  <c:v>0.13919999999999999</c:v>
                </c:pt>
                <c:pt idx="32">
                  <c:v>0.14400000000000002</c:v>
                </c:pt>
                <c:pt idx="33">
                  <c:v>0.185</c:v>
                </c:pt>
                <c:pt idx="35">
                  <c:v>0.14299999999999999</c:v>
                </c:pt>
                <c:pt idx="38">
                  <c:v>0.14699999999999999</c:v>
                </c:pt>
                <c:pt idx="40">
                  <c:v>0.20100000000000001</c:v>
                </c:pt>
                <c:pt idx="41">
                  <c:v>0.20100000000000001</c:v>
                </c:pt>
                <c:pt idx="44">
                  <c:v>0.185</c:v>
                </c:pt>
                <c:pt idx="45">
                  <c:v>0.14000000000000001</c:v>
                </c:pt>
                <c:pt idx="46">
                  <c:v>0.14699999999999999</c:v>
                </c:pt>
                <c:pt idx="47">
                  <c:v>0.14699999999999999</c:v>
                </c:pt>
              </c:numCache>
            </c:numRef>
          </c:xVal>
          <c:yVal>
            <c:numRef>
              <c:f>Data!$AR$7:$AR$57</c:f>
              <c:numCache>
                <c:formatCode>General</c:formatCode>
                <c:ptCount val="51"/>
                <c:pt idx="0">
                  <c:v>5.3925246349585825</c:v>
                </c:pt>
                <c:pt idx="1">
                  <c:v>3.9966429036393003</c:v>
                </c:pt>
                <c:pt idx="2">
                  <c:v>7.0269740287296587</c:v>
                </c:pt>
                <c:pt idx="3">
                  <c:v>7.9190676938168831</c:v>
                </c:pt>
                <c:pt idx="4">
                  <c:v>5.8959349258909262</c:v>
                </c:pt>
                <c:pt idx="5">
                  <c:v>6.5399611150461272</c:v>
                </c:pt>
                <c:pt idx="6">
                  <c:v>6.6307497559742838</c:v>
                </c:pt>
                <c:pt idx="7">
                  <c:v>7.6213609296560376</c:v>
                </c:pt>
                <c:pt idx="8">
                  <c:v>7.2231788921377147</c:v>
                </c:pt>
                <c:pt idx="9">
                  <c:v>8.2944142261465554</c:v>
                </c:pt>
                <c:pt idx="10">
                  <c:v>7.2404705626647115</c:v>
                </c:pt>
                <c:pt idx="11">
                  <c:v>6.2249241775130226</c:v>
                </c:pt>
                <c:pt idx="12">
                  <c:v>7.7555241101556538</c:v>
                </c:pt>
                <c:pt idx="13">
                  <c:v>6.4675566932403825</c:v>
                </c:pt>
                <c:pt idx="14">
                  <c:v>5.5355925393940835</c:v>
                </c:pt>
                <c:pt idx="15">
                  <c:v>5.9949643554589507</c:v>
                </c:pt>
                <c:pt idx="16">
                  <c:v>3.9806563320247448</c:v>
                </c:pt>
                <c:pt idx="17">
                  <c:v>5.1956357747310911</c:v>
                </c:pt>
                <c:pt idx="18">
                  <c:v>6.1766299419880095</c:v>
                </c:pt>
                <c:pt idx="19">
                  <c:v>5.4230066254328317</c:v>
                </c:pt>
                <c:pt idx="20">
                  <c:v>5.8617429253376407</c:v>
                </c:pt>
                <c:pt idx="21">
                  <c:v>4.8739547605357325</c:v>
                </c:pt>
                <c:pt idx="22">
                  <c:v>2.8521497085062282</c:v>
                </c:pt>
                <c:pt idx="23">
                  <c:v>5.6619107801556758</c:v>
                </c:pt>
                <c:pt idx="24">
                  <c:v>6.3946286458228805</c:v>
                </c:pt>
                <c:pt idx="25">
                  <c:v>4.0720512603117403</c:v>
                </c:pt>
                <c:pt idx="26">
                  <c:v>4.7337564002495949</c:v>
                </c:pt>
                <c:pt idx="27">
                  <c:v>3.9173667651695592</c:v>
                </c:pt>
                <c:pt idx="28">
                  <c:v>5.328857204852401</c:v>
                </c:pt>
                <c:pt idx="29">
                  <c:v>5.7285214952163308</c:v>
                </c:pt>
                <c:pt idx="30">
                  <c:v>3.9311241675140653</c:v>
                </c:pt>
                <c:pt idx="31">
                  <c:v>7.6362806122525342</c:v>
                </c:pt>
                <c:pt idx="32">
                  <c:v>3.6469366495708613</c:v>
                </c:pt>
                <c:pt idx="33">
                  <c:v>4.5286621022962343</c:v>
                </c:pt>
                <c:pt idx="34">
                  <c:v>3.2772471809842272</c:v>
                </c:pt>
                <c:pt idx="35">
                  <c:v>4.7959714843671604</c:v>
                </c:pt>
                <c:pt idx="36">
                  <c:v>7.4703605675500935</c:v>
                </c:pt>
                <c:pt idx="37">
                  <c:v>6.3435604309430467</c:v>
                </c:pt>
                <c:pt idx="38">
                  <c:v>5.3612183475774042</c:v>
                </c:pt>
                <c:pt idx="39">
                  <c:v>5.4445102322764187</c:v>
                </c:pt>
                <c:pt idx="40">
                  <c:v>7.0097115129407443</c:v>
                </c:pt>
                <c:pt idx="41">
                  <c:v>6.8447585287291357</c:v>
                </c:pt>
                <c:pt idx="42">
                  <c:v>4.9958036295491253</c:v>
                </c:pt>
                <c:pt idx="43">
                  <c:v>6.5522457354240613</c:v>
                </c:pt>
                <c:pt idx="44">
                  <c:v>4.8505073630701778</c:v>
                </c:pt>
                <c:pt idx="45">
                  <c:v>6.112512676154223</c:v>
                </c:pt>
                <c:pt idx="46">
                  <c:v>5.4201683526846063</c:v>
                </c:pt>
                <c:pt idx="47">
                  <c:v>5.282757308471167</c:v>
                </c:pt>
                <c:pt idx="48">
                  <c:v>8.768756919097255</c:v>
                </c:pt>
                <c:pt idx="49">
                  <c:v>8.2384326770437237</c:v>
                </c:pt>
                <c:pt idx="50">
                  <c:v>5.4812375349098126</c:v>
                </c:pt>
              </c:numCache>
            </c:numRef>
          </c:yVal>
          <c:smooth val="0"/>
        </c:ser>
        <c:ser>
          <c:idx val="1"/>
          <c:order val="1"/>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Data!$AR$58:$AR$65</c:f>
              <c:numCache>
                <c:formatCode>General</c:formatCode>
                <c:ptCount val="8"/>
                <c:pt idx="0">
                  <c:v>6.8855163109497193</c:v>
                </c:pt>
                <c:pt idx="1">
                  <c:v>8.0255069561505774</c:v>
                </c:pt>
                <c:pt idx="2">
                  <c:v>5.722879950248374</c:v>
                </c:pt>
                <c:pt idx="3">
                  <c:v>8.5687120709627909</c:v>
                </c:pt>
                <c:pt idx="4">
                  <c:v>6.5231020781488178</c:v>
                </c:pt>
                <c:pt idx="5">
                  <c:v>4.5345761286781761</c:v>
                </c:pt>
                <c:pt idx="6">
                  <c:v>10.105573521019593</c:v>
                </c:pt>
                <c:pt idx="7">
                  <c:v>4.6064203578267344</c:v>
                </c:pt>
              </c:numCache>
            </c:numRef>
          </c:yVal>
          <c:smooth val="0"/>
        </c:ser>
        <c:ser>
          <c:idx val="2"/>
          <c:order val="2"/>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Data!$AR$66:$AR$116</c:f>
              <c:numCache>
                <c:formatCode>General</c:formatCode>
                <c:ptCount val="51"/>
                <c:pt idx="0">
                  <c:v>9.010204550600438</c:v>
                </c:pt>
                <c:pt idx="1">
                  <c:v>4.4007387828566973</c:v>
                </c:pt>
                <c:pt idx="2">
                  <c:v>5.0823995203515944</c:v>
                </c:pt>
                <c:pt idx="3">
                  <c:v>4.7313537349306385</c:v>
                </c:pt>
                <c:pt idx="4">
                  <c:v>8.0723339883437752</c:v>
                </c:pt>
                <c:pt idx="5">
                  <c:v>3.0792626544984225</c:v>
                </c:pt>
                <c:pt idx="6">
                  <c:v>3.1367474041892911</c:v>
                </c:pt>
                <c:pt idx="7">
                  <c:v>7.2826178588088579</c:v>
                </c:pt>
                <c:pt idx="8">
                  <c:v>5.7367555219383721</c:v>
                </c:pt>
                <c:pt idx="9">
                  <c:v>3.2594627602580184</c:v>
                </c:pt>
                <c:pt idx="10">
                  <c:v>4.5480875724530501</c:v>
                </c:pt>
                <c:pt idx="11">
                  <c:v>4.5400358063103408</c:v>
                </c:pt>
                <c:pt idx="12">
                  <c:v>6.1853990985361493</c:v>
                </c:pt>
                <c:pt idx="13">
                  <c:v>6.3255766002076683</c:v>
                </c:pt>
                <c:pt idx="14">
                  <c:v>3.6288428371849828</c:v>
                </c:pt>
                <c:pt idx="15">
                  <c:v>3.8586617549304254</c:v>
                </c:pt>
                <c:pt idx="16">
                  <c:v>6.954575868195672</c:v>
                </c:pt>
                <c:pt idx="17">
                  <c:v>5.2715728983223658</c:v>
                </c:pt>
                <c:pt idx="18">
                  <c:v>5.1228273387566272</c:v>
                </c:pt>
                <c:pt idx="19">
                  <c:v>6.609148391347877</c:v>
                </c:pt>
                <c:pt idx="20">
                  <c:v>4.5766912280452567</c:v>
                </c:pt>
                <c:pt idx="21">
                  <c:v>5.6851094655663124</c:v>
                </c:pt>
                <c:pt idx="22">
                  <c:v>4.1968258561175009</c:v>
                </c:pt>
                <c:pt idx="23">
                  <c:v>8.3950423948957003</c:v>
                </c:pt>
                <c:pt idx="24">
                  <c:v>3.4744659957815083</c:v>
                </c:pt>
                <c:pt idx="25">
                  <c:v>5.3246066786891362</c:v>
                </c:pt>
                <c:pt idx="26">
                  <c:v>5.1933789817464682</c:v>
                </c:pt>
                <c:pt idx="27">
                  <c:v>7.0649611138080344</c:v>
                </c:pt>
                <c:pt idx="28">
                  <c:v>5.0162602814095525</c:v>
                </c:pt>
                <c:pt idx="29">
                  <c:v>4.4043771676169072</c:v>
                </c:pt>
                <c:pt idx="30">
                  <c:v>6.2529422284831639</c:v>
                </c:pt>
                <c:pt idx="31">
                  <c:v>6.2094876833413659</c:v>
                </c:pt>
                <c:pt idx="32">
                  <c:v>3.8647614814604387</c:v>
                </c:pt>
                <c:pt idx="33">
                  <c:v>4.5378607539976761</c:v>
                </c:pt>
                <c:pt idx="34">
                  <c:v>2.3625720279235374</c:v>
                </c:pt>
                <c:pt idx="35">
                  <c:v>9.1767684975717483</c:v>
                </c:pt>
                <c:pt idx="36">
                  <c:v>7.5441884962743799</c:v>
                </c:pt>
                <c:pt idx="37">
                  <c:v>2.573031202291713</c:v>
                </c:pt>
                <c:pt idx="38">
                  <c:v>10.169472279758997</c:v>
                </c:pt>
                <c:pt idx="39">
                  <c:v>4.3291224479535577</c:v>
                </c:pt>
                <c:pt idx="40">
                  <c:v>5.4643491613404018</c:v>
                </c:pt>
                <c:pt idx="41">
                  <c:v>3.4897788255730986</c:v>
                </c:pt>
                <c:pt idx="42">
                  <c:v>6.1860612574716018</c:v>
                </c:pt>
                <c:pt idx="43">
                  <c:v>5.9943637411057651</c:v>
                </c:pt>
                <c:pt idx="44">
                  <c:v>7.615850294142791</c:v>
                </c:pt>
                <c:pt idx="45">
                  <c:v>5.8981456598679491</c:v>
                </c:pt>
                <c:pt idx="46">
                  <c:v>6.0932882430003357</c:v>
                </c:pt>
                <c:pt idx="47">
                  <c:v>7.0510973933692727</c:v>
                </c:pt>
                <c:pt idx="48">
                  <c:v>4.5602366194632298</c:v>
                </c:pt>
                <c:pt idx="49">
                  <c:v>8.9416517877580901</c:v>
                </c:pt>
                <c:pt idx="50">
                  <c:v>6.1129687158286368</c:v>
                </c:pt>
              </c:numCache>
            </c:numRef>
          </c:yVal>
          <c:smooth val="0"/>
        </c:ser>
        <c:dLbls>
          <c:showLegendKey val="0"/>
          <c:showVal val="0"/>
          <c:showCatName val="0"/>
          <c:showSerName val="0"/>
          <c:showPercent val="0"/>
          <c:showBubbleSize val="0"/>
        </c:dLbls>
        <c:axId val="106298752"/>
        <c:axId val="106403328"/>
      </c:scatterChart>
      <c:valAx>
        <c:axId val="106298752"/>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6403328"/>
        <c:crosses val="autoZero"/>
        <c:crossBetween val="midCat"/>
      </c:valAx>
      <c:valAx>
        <c:axId val="106403328"/>
        <c:scaling>
          <c:orientation val="minMax"/>
        </c:scaling>
        <c:delete val="0"/>
        <c:axPos val="l"/>
        <c:title>
          <c:tx>
            <c:rich>
              <a:bodyPr rot="-5400000" vert="horz"/>
              <a:lstStyle/>
              <a:p>
                <a:pPr>
                  <a:defRPr/>
                </a:pPr>
                <a:r>
                  <a:rPr lang="en-US"/>
                  <a:t>Hectares/(GWh ac)</a:t>
                </a:r>
              </a:p>
            </c:rich>
          </c:tx>
          <c:overlay val="0"/>
        </c:title>
        <c:numFmt formatCode="General" sourceLinked="0"/>
        <c:majorTickMark val="out"/>
        <c:minorTickMark val="none"/>
        <c:tickLblPos val="nextTo"/>
        <c:crossAx val="106298752"/>
        <c:crosses val="autoZero"/>
        <c:crossBetween val="midCat"/>
      </c:valAx>
    </c:plotArea>
    <c:legend>
      <c:legendPos val="r"/>
      <c:layout>
        <c:manualLayout>
          <c:xMode val="edge"/>
          <c:yMode val="edge"/>
          <c:x val="0.68139554774591249"/>
          <c:y val="7.1567425658935424E-2"/>
          <c:w val="7.6792425427459593E-2"/>
          <c:h val="0.113644914879182"/>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r>
              <a:rPr lang="en-US" baseline="0"/>
              <a:t> at LatLong</a:t>
            </a:r>
          </a:p>
          <a:p>
            <a:pPr>
              <a:defRPr/>
            </a:pPr>
            <a:endParaRPr lang="en-US"/>
          </a:p>
        </c:rich>
      </c:tx>
      <c:layout>
        <c:manualLayout>
          <c:xMode val="edge"/>
          <c:yMode val="edge"/>
          <c:x val="0.39036840503633696"/>
          <c:y val="3.1974420463629256E-2"/>
        </c:manualLayout>
      </c:layout>
      <c:overlay val="1"/>
    </c:title>
    <c:autoTitleDeleted val="0"/>
    <c:plotArea>
      <c:layout>
        <c:manualLayout>
          <c:layoutTarget val="inner"/>
          <c:xMode val="edge"/>
          <c:yMode val="edge"/>
          <c:x val="0.19461232180743693"/>
          <c:y val="0.15704314395609201"/>
          <c:w val="0.73514695896177162"/>
          <c:h val="0.65604583981270093"/>
        </c:manualLayout>
      </c:layout>
      <c:scatterChart>
        <c:scatterStyle val="lineMarker"/>
        <c:varyColors val="0"/>
        <c:ser>
          <c:idx val="0"/>
          <c:order val="0"/>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Data!$AM$3:$AM$57</c:f>
              <c:numCache>
                <c:formatCode>General</c:formatCode>
                <c:ptCount val="55"/>
                <c:pt idx="0">
                  <c:v>4.5867904804598716</c:v>
                </c:pt>
                <c:pt idx="1">
                  <c:v>5.0871380563316118</c:v>
                </c:pt>
                <c:pt idx="2">
                  <c:v>3.6963947289277348</c:v>
                </c:pt>
                <c:pt idx="3">
                  <c:v>3.6655300418737524</c:v>
                </c:pt>
                <c:pt idx="4">
                  <c:v>3.0411462393460944</c:v>
                </c:pt>
                <c:pt idx="5">
                  <c:v>2.6177118489531841</c:v>
                </c:pt>
                <c:pt idx="6">
                  <c:v>4.5075326999322334</c:v>
                </c:pt>
                <c:pt idx="7">
                  <c:v>5.0858890872032445</c:v>
                </c:pt>
                <c:pt idx="8">
                  <c:v>3.8619963025608528</c:v>
                </c:pt>
                <c:pt idx="9">
                  <c:v>3.7871695847554165</c:v>
                </c:pt>
                <c:pt idx="10">
                  <c:v>3.5420301786826274</c:v>
                </c:pt>
                <c:pt idx="11">
                  <c:v>4.6602946687957942</c:v>
                </c:pt>
                <c:pt idx="12">
                  <c:v>5.4884398637681411</c:v>
                </c:pt>
                <c:pt idx="13">
                  <c:v>4.6446594977047893</c:v>
                </c:pt>
                <c:pt idx="14">
                  <c:v>4.7720089889249993</c:v>
                </c:pt>
                <c:pt idx="15">
                  <c:v>3.5343765806045586</c:v>
                </c:pt>
                <c:pt idx="16">
                  <c:v>5.239115049128193</c:v>
                </c:pt>
                <c:pt idx="17">
                  <c:v>4.8864291004855565</c:v>
                </c:pt>
                <c:pt idx="18">
                  <c:v>3.4696577819775949</c:v>
                </c:pt>
                <c:pt idx="19">
                  <c:v>4.1154427899927253</c:v>
                </c:pt>
                <c:pt idx="20">
                  <c:v>2.5780750210304295</c:v>
                </c:pt>
                <c:pt idx="21">
                  <c:v>4.1996948323745737</c:v>
                </c:pt>
                <c:pt idx="22">
                  <c:v>4.7511219783996745</c:v>
                </c:pt>
                <c:pt idx="23">
                  <c:v>2.9844836685461118</c:v>
                </c:pt>
                <c:pt idx="24">
                  <c:v>3.2132280947353431</c:v>
                </c:pt>
                <c:pt idx="25">
                  <c:v>4.0301514797548732</c:v>
                </c:pt>
                <c:pt idx="26">
                  <c:v>2.3312808438507013</c:v>
                </c:pt>
                <c:pt idx="27">
                  <c:v>4.7292502039330753</c:v>
                </c:pt>
                <c:pt idx="29">
                  <c:v>3.3556718719235641</c:v>
                </c:pt>
                <c:pt idx="30">
                  <c:v>3.3512405348712657</c:v>
                </c:pt>
                <c:pt idx="31">
                  <c:v>3.0137086993274282</c:v>
                </c:pt>
                <c:pt idx="32">
                  <c:v>3.5432234437024617</c:v>
                </c:pt>
                <c:pt idx="33">
                  <c:v>3.6227070134347565</c:v>
                </c:pt>
                <c:pt idx="34">
                  <c:v>3.2326482698913708</c:v>
                </c:pt>
                <c:pt idx="35">
                  <c:v>4.3440978287931147</c:v>
                </c:pt>
                <c:pt idx="36">
                  <c:v>2.0845819352592625</c:v>
                </c:pt>
                <c:pt idx="37">
                  <c:v>3.9029824628312308</c:v>
                </c:pt>
                <c:pt idx="38">
                  <c:v>2.7882151312113379</c:v>
                </c:pt>
                <c:pt idx="39">
                  <c:v>2.5552140319491881</c:v>
                </c:pt>
                <c:pt idx="40">
                  <c:v>4.4668827961180089</c:v>
                </c:pt>
                <c:pt idx="41">
                  <c:v>3.799021124982537</c:v>
                </c:pt>
                <c:pt idx="42">
                  <c:v>3.5533648031060592</c:v>
                </c:pt>
                <c:pt idx="43">
                  <c:v>2.9962659036176169</c:v>
                </c:pt>
                <c:pt idx="44">
                  <c:v>5.6204606595037623</c:v>
                </c:pt>
                <c:pt idx="45">
                  <c:v>3.6644452788258262</c:v>
                </c:pt>
                <c:pt idx="47">
                  <c:v>3.8203611605711441</c:v>
                </c:pt>
                <c:pt idx="48">
                  <c:v>2.7623180046782618</c:v>
                </c:pt>
                <c:pt idx="49">
                  <c:v>3.4512078914316997</c:v>
                </c:pt>
                <c:pt idx="50">
                  <c:v>3.5778512263266706</c:v>
                </c:pt>
                <c:pt idx="51">
                  <c:v>3.4862706232145988</c:v>
                </c:pt>
                <c:pt idx="52">
                  <c:v>6.6074496020911253</c:v>
                </c:pt>
                <c:pt idx="53">
                  <c:v>4.4974163721866613</c:v>
                </c:pt>
                <c:pt idx="54">
                  <c:v>3.108716756026193</c:v>
                </c:pt>
              </c:numCache>
            </c:numRef>
          </c:yVal>
          <c:smooth val="0"/>
        </c:ser>
        <c:ser>
          <c:idx val="1"/>
          <c:order val="1"/>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Data!$AM$58:$AM$65</c:f>
              <c:numCache>
                <c:formatCode>General</c:formatCode>
                <c:ptCount val="8"/>
                <c:pt idx="0">
                  <c:v>4.7656450660890401</c:v>
                </c:pt>
                <c:pt idx="1">
                  <c:v>4.4611224889270993</c:v>
                </c:pt>
                <c:pt idx="2">
                  <c:v>3.7987537357183871</c:v>
                </c:pt>
                <c:pt idx="3">
                  <c:v>7.106964754790579</c:v>
                </c:pt>
                <c:pt idx="4">
                  <c:v>3.5565757456739888</c:v>
                </c:pt>
                <c:pt idx="5">
                  <c:v>3.0593871583296535</c:v>
                </c:pt>
                <c:pt idx="6">
                  <c:v>5.661476979435518</c:v>
                </c:pt>
                <c:pt idx="7">
                  <c:v>2.5724537536137038</c:v>
                </c:pt>
              </c:numCache>
            </c:numRef>
          </c:yVal>
          <c:smooth val="0"/>
        </c:ser>
        <c:ser>
          <c:idx val="2"/>
          <c:order val="2"/>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Data!$AM$66:$AM$116</c:f>
              <c:numCache>
                <c:formatCode>General</c:formatCode>
                <c:ptCount val="51"/>
                <c:pt idx="0">
                  <c:v>5.4329731920415476</c:v>
                </c:pt>
                <c:pt idx="1">
                  <c:v>3.5159354532787681</c:v>
                </c:pt>
                <c:pt idx="2">
                  <c:v>3.4547036598729823</c:v>
                </c:pt>
                <c:pt idx="3">
                  <c:v>3.5167004909313881</c:v>
                </c:pt>
                <c:pt idx="4">
                  <c:v>6.9300286581421302</c:v>
                </c:pt>
                <c:pt idx="5">
                  <c:v>2.0453503385956049</c:v>
                </c:pt>
                <c:pt idx="7">
                  <c:v>6.3511526885324026</c:v>
                </c:pt>
                <c:pt idx="8">
                  <c:v>3.4845630942004955</c:v>
                </c:pt>
                <c:pt idx="9">
                  <c:v>2.0821828031108502</c:v>
                </c:pt>
                <c:pt idx="10">
                  <c:v>3.647549170928654</c:v>
                </c:pt>
                <c:pt idx="11">
                  <c:v>3.6569754190429808</c:v>
                </c:pt>
                <c:pt idx="12">
                  <c:v>4.4132644154912537</c:v>
                </c:pt>
                <c:pt idx="13">
                  <c:v>3.8127775846589613</c:v>
                </c:pt>
                <c:pt idx="14">
                  <c:v>2.5351876860347571</c:v>
                </c:pt>
                <c:pt idx="15">
                  <c:v>3.1563560507529247</c:v>
                </c:pt>
                <c:pt idx="16">
                  <c:v>5.4591631975851289</c:v>
                </c:pt>
                <c:pt idx="17">
                  <c:v>3.5731861826330067</c:v>
                </c:pt>
                <c:pt idx="18">
                  <c:v>3.4257194516638698</c:v>
                </c:pt>
                <c:pt idx="19">
                  <c:v>5.7638216625421288</c:v>
                </c:pt>
                <c:pt idx="20">
                  <c:v>3.9086745179096631</c:v>
                </c:pt>
                <c:pt idx="21">
                  <c:v>3.718697832455188</c:v>
                </c:pt>
                <c:pt idx="22">
                  <c:v>3.5593326187627934</c:v>
                </c:pt>
                <c:pt idx="23">
                  <c:v>5.081053855762681</c:v>
                </c:pt>
                <c:pt idx="24">
                  <c:v>2.8619746606460761</c:v>
                </c:pt>
                <c:pt idx="25">
                  <c:v>3.7094398475068227</c:v>
                </c:pt>
                <c:pt idx="26">
                  <c:v>4.3865861105921997</c:v>
                </c:pt>
                <c:pt idx="27">
                  <c:v>6.1444252368382628</c:v>
                </c:pt>
                <c:pt idx="28">
                  <c:v>4.1032628659788024</c:v>
                </c:pt>
                <c:pt idx="29">
                  <c:v>3.7620002715313361</c:v>
                </c:pt>
                <c:pt idx="30">
                  <c:v>5.1290711648444445</c:v>
                </c:pt>
                <c:pt idx="31">
                  <c:v>4.1523872141380229</c:v>
                </c:pt>
                <c:pt idx="32">
                  <c:v>3.2592470458090621</c:v>
                </c:pt>
                <c:pt idx="33">
                  <c:v>3.6006076702034644</c:v>
                </c:pt>
                <c:pt idx="34">
                  <c:v>1.7513038867775303</c:v>
                </c:pt>
                <c:pt idx="35">
                  <c:v>5.4075258203686456</c:v>
                </c:pt>
                <c:pt idx="36">
                  <c:v>5.1886892965969871</c:v>
                </c:pt>
                <c:pt idx="37">
                  <c:v>2.1936238666276688</c:v>
                </c:pt>
                <c:pt idx="38">
                  <c:v>6.1746294735402225</c:v>
                </c:pt>
                <c:pt idx="39">
                  <c:v>2.9941832607892733</c:v>
                </c:pt>
                <c:pt idx="40">
                  <c:v>4.6400698855739311</c:v>
                </c:pt>
                <c:pt idx="41">
                  <c:v>2.5128574539728277</c:v>
                </c:pt>
                <c:pt idx="42">
                  <c:v>3.7653614982373398</c:v>
                </c:pt>
                <c:pt idx="43">
                  <c:v>5.2975576195390435</c:v>
                </c:pt>
                <c:pt idx="44">
                  <c:v>6.0890366274193051</c:v>
                </c:pt>
                <c:pt idx="45">
                  <c:v>4.4798953496446323</c:v>
                </c:pt>
                <c:pt idx="46">
                  <c:v>4.7103525698898565</c:v>
                </c:pt>
                <c:pt idx="47">
                  <c:v>5.9056013695142004</c:v>
                </c:pt>
                <c:pt idx="48">
                  <c:v>4.0362253200583877</c:v>
                </c:pt>
                <c:pt idx="49">
                  <c:v>5.4866433155127146</c:v>
                </c:pt>
                <c:pt idx="50">
                  <c:v>4.2841578490573005</c:v>
                </c:pt>
              </c:numCache>
            </c:numRef>
          </c:yVal>
          <c:smooth val="0"/>
        </c:ser>
        <c:dLbls>
          <c:showLegendKey val="0"/>
          <c:showVal val="0"/>
          <c:showCatName val="0"/>
          <c:showSerName val="0"/>
          <c:showPercent val="0"/>
          <c:showBubbleSize val="0"/>
        </c:dLbls>
        <c:axId val="106429824"/>
        <c:axId val="106432000"/>
      </c:scatterChart>
      <c:valAx>
        <c:axId val="106429824"/>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106432000"/>
        <c:crosses val="autoZero"/>
        <c:crossBetween val="midCat"/>
      </c:valAx>
      <c:valAx>
        <c:axId val="106432000"/>
        <c:scaling>
          <c:orientation val="minMax"/>
        </c:scaling>
        <c:delete val="0"/>
        <c:axPos val="l"/>
        <c:title>
          <c:tx>
            <c:rich>
              <a:bodyPr rot="-5400000" vert="horz"/>
              <a:lstStyle/>
              <a:p>
                <a:pPr>
                  <a:defRPr/>
                </a:pPr>
                <a:r>
                  <a:rPr lang="en-US"/>
                  <a:t>Hectares/(GWh ac)</a:t>
                </a:r>
              </a:p>
            </c:rich>
          </c:tx>
          <c:overlay val="0"/>
        </c:title>
        <c:numFmt formatCode="General" sourceLinked="0"/>
        <c:majorTickMark val="out"/>
        <c:minorTickMark val="none"/>
        <c:tickLblPos val="nextTo"/>
        <c:crossAx val="106429824"/>
        <c:crosses val="autoZero"/>
        <c:crossBetween val="midCat"/>
      </c:valAx>
    </c:plotArea>
    <c:legend>
      <c:legendPos val="r"/>
      <c:layout>
        <c:manualLayout>
          <c:xMode val="edge"/>
          <c:yMode val="edge"/>
          <c:x val="0.68139554774591249"/>
          <c:y val="7.1567425658935424E-2"/>
          <c:w val="7.6792425427459593E-2"/>
          <c:h val="0.113644914879182"/>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Array Only Area - 1 axis</a:t>
            </a:r>
          </a:p>
        </c:rich>
      </c:tx>
      <c:layout>
        <c:manualLayout>
          <c:xMode val="edge"/>
          <c:yMode val="edge"/>
          <c:x val="0.32782394614642968"/>
          <c:y val="3.1974508721465296E-2"/>
        </c:manualLayout>
      </c:layout>
      <c:overlay val="1"/>
    </c:title>
    <c:autoTitleDeleted val="0"/>
    <c:plotArea>
      <c:layout>
        <c:manualLayout>
          <c:layoutTarget val="inner"/>
          <c:xMode val="edge"/>
          <c:yMode val="edge"/>
          <c:x val="0.10954714899768191"/>
          <c:y val="7.66379022766039E-2"/>
          <c:w val="0.82021206588304985"/>
          <c:h val="0.75802642316769264"/>
        </c:manualLayout>
      </c:layout>
      <c:scatterChart>
        <c:scatterStyle val="lineMarker"/>
        <c:varyColors val="0"/>
        <c:ser>
          <c:idx val="0"/>
          <c:order val="0"/>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Data!$V$3:$V$57</c:f>
              <c:numCache>
                <c:formatCode>0.00</c:formatCode>
                <c:ptCount val="55"/>
                <c:pt idx="0">
                  <c:v>3.1477503282014561</c:v>
                </c:pt>
                <c:pt idx="1">
                  <c:v>2.6858824700370971</c:v>
                </c:pt>
                <c:pt idx="2">
                  <c:v>2.3878923910562659</c:v>
                </c:pt>
                <c:pt idx="3">
                  <c:v>1.8227174230639962</c:v>
                </c:pt>
                <c:pt idx="6">
                  <c:v>2.0612921177786721</c:v>
                </c:pt>
                <c:pt idx="7">
                  <c:v>1.8596067415730335</c:v>
                </c:pt>
                <c:pt idx="8">
                  <c:v>2.5145647728832001</c:v>
                </c:pt>
                <c:pt idx="10">
                  <c:v>2.4227297571951669</c:v>
                </c:pt>
                <c:pt idx="11">
                  <c:v>1.8330986069785908</c:v>
                </c:pt>
                <c:pt idx="12">
                  <c:v>2.5033361702127661</c:v>
                </c:pt>
                <c:pt idx="13">
                  <c:v>2.5037047377330399</c:v>
                </c:pt>
                <c:pt idx="14">
                  <c:v>3.0618579677844191</c:v>
                </c:pt>
                <c:pt idx="17">
                  <c:v>2.5533333333333332</c:v>
                </c:pt>
                <c:pt idx="18">
                  <c:v>2.5036823783753297</c:v>
                </c:pt>
                <c:pt idx="19">
                  <c:v>2.3678432532431923</c:v>
                </c:pt>
                <c:pt idx="20">
                  <c:v>2.7490942056255041</c:v>
                </c:pt>
                <c:pt idx="22">
                  <c:v>2.0757067479729283</c:v>
                </c:pt>
                <c:pt idx="23">
                  <c:v>4.0216082512911777</c:v>
                </c:pt>
                <c:pt idx="25">
                  <c:v>2.3949911703176094</c:v>
                </c:pt>
                <c:pt idx="31">
                  <c:v>2.1399581999999997</c:v>
                </c:pt>
                <c:pt idx="32">
                  <c:v>2.4278419269468166</c:v>
                </c:pt>
                <c:pt idx="33">
                  <c:v>1.4923813658988747</c:v>
                </c:pt>
                <c:pt idx="35">
                  <c:v>2.2613549311774639</c:v>
                </c:pt>
                <c:pt idx="38">
                  <c:v>1.9303560235963548</c:v>
                </c:pt>
                <c:pt idx="40">
                  <c:v>2.6216285596470206</c:v>
                </c:pt>
                <c:pt idx="41">
                  <c:v>2.7330467082687764</c:v>
                </c:pt>
                <c:pt idx="42">
                  <c:v>2.6944200936170217</c:v>
                </c:pt>
                <c:pt idx="47">
                  <c:v>1.7045077777777775</c:v>
                </c:pt>
                <c:pt idx="50">
                  <c:v>1.99656864</c:v>
                </c:pt>
                <c:pt idx="51">
                  <c:v>3.3841443999999998</c:v>
                </c:pt>
                <c:pt idx="52">
                  <c:v>2.6156129032258066</c:v>
                </c:pt>
              </c:numCache>
            </c:numRef>
          </c:yVal>
          <c:smooth val="0"/>
        </c:ser>
        <c:dLbls>
          <c:showLegendKey val="0"/>
          <c:showVal val="0"/>
          <c:showCatName val="0"/>
          <c:showSerName val="0"/>
          <c:showPercent val="0"/>
          <c:showBubbleSize val="0"/>
        </c:dLbls>
        <c:axId val="93026944"/>
        <c:axId val="93041408"/>
      </c:scatterChart>
      <c:valAx>
        <c:axId val="93026944"/>
        <c:scaling>
          <c:orientation val="minMax"/>
          <c:max val="0.2"/>
          <c:min val="9.0000000000000024E-2"/>
        </c:scaling>
        <c:delete val="0"/>
        <c:axPos val="b"/>
        <c:title>
          <c:tx>
            <c:rich>
              <a:bodyPr/>
              <a:lstStyle/>
              <a:p>
                <a:pPr>
                  <a:defRPr/>
                </a:pPr>
                <a:r>
                  <a:rPr lang="en-US"/>
                  <a:t>Efficiency</a:t>
                </a:r>
              </a:p>
            </c:rich>
          </c:tx>
          <c:overlay val="0"/>
        </c:title>
        <c:numFmt formatCode="0%" sourceLinked="0"/>
        <c:majorTickMark val="out"/>
        <c:minorTickMark val="none"/>
        <c:tickLblPos val="nextTo"/>
        <c:crossAx val="93041408"/>
        <c:crosses val="autoZero"/>
        <c:crossBetween val="midCat"/>
      </c:valAx>
      <c:valAx>
        <c:axId val="93041408"/>
        <c:scaling>
          <c:orientation val="minMax"/>
          <c:max val="2"/>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3026944"/>
        <c:crosses val="autoZero"/>
        <c:crossBetween val="midCat"/>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Packing Factor VS Land Use</a:t>
            </a:r>
          </a:p>
        </c:rich>
      </c:tx>
      <c:overlay val="0"/>
    </c:title>
    <c:autoTitleDeleted val="0"/>
    <c:plotArea>
      <c:layout/>
      <c:scatterChart>
        <c:scatterStyle val="lineMarker"/>
        <c:varyColors val="0"/>
        <c:ser>
          <c:idx val="0"/>
          <c:order val="0"/>
          <c:tx>
            <c:v>1 Axis</c:v>
          </c:tx>
          <c:spPr>
            <a:ln w="28575">
              <a:noFill/>
            </a:ln>
          </c:spPr>
          <c:xVal>
            <c:numRef>
              <c:f>(Data!$T$3:$T$57,Data!$T$178:$T$193)</c:f>
              <c:numCache>
                <c:formatCode>0.00</c:formatCode>
                <c:ptCount val="71"/>
                <c:pt idx="0">
                  <c:v>0.33333333333333337</c:v>
                </c:pt>
                <c:pt idx="1">
                  <c:v>0.38182151365218986</c:v>
                </c:pt>
                <c:pt idx="2">
                  <c:v>0.33467741935483869</c:v>
                </c:pt>
                <c:pt idx="3">
                  <c:v>0.39444444444444449</c:v>
                </c:pt>
                <c:pt idx="6">
                  <c:v>0.19500000000000001</c:v>
                </c:pt>
                <c:pt idx="7">
                  <c:v>0.20949999999999999</c:v>
                </c:pt>
                <c:pt idx="8">
                  <c:v>0.37963021289005539</c:v>
                </c:pt>
                <c:pt idx="10">
                  <c:v>0.34265793410404016</c:v>
                </c:pt>
                <c:pt idx="11" formatCode="General">
                  <c:v>0.23</c:v>
                </c:pt>
                <c:pt idx="12" formatCode="General">
                  <c:v>0.38575999999999999</c:v>
                </c:pt>
                <c:pt idx="13">
                  <c:v>0.32795698924731181</c:v>
                </c:pt>
                <c:pt idx="14">
                  <c:v>0.46391787390673017</c:v>
                </c:pt>
                <c:pt idx="17">
                  <c:v>0.33333333333333331</c:v>
                </c:pt>
                <c:pt idx="18">
                  <c:v>0.43749957817867674</c:v>
                </c:pt>
                <c:pt idx="19">
                  <c:v>0.315</c:v>
                </c:pt>
                <c:pt idx="20">
                  <c:v>0.47</c:v>
                </c:pt>
                <c:pt idx="22">
                  <c:v>0.32400000000000001</c:v>
                </c:pt>
                <c:pt idx="23">
                  <c:v>0.51</c:v>
                </c:pt>
                <c:pt idx="25">
                  <c:v>0.44827706048968663</c:v>
                </c:pt>
                <c:pt idx="31" formatCode="General">
                  <c:v>0.44768999999999998</c:v>
                </c:pt>
                <c:pt idx="32">
                  <c:v>0.45100000000000001</c:v>
                </c:pt>
                <c:pt idx="33">
                  <c:v>0.28499999999999998</c:v>
                </c:pt>
                <c:pt idx="35">
                  <c:v>0.38806340610368367</c:v>
                </c:pt>
                <c:pt idx="38">
                  <c:v>0.51359999999999995</c:v>
                </c:pt>
                <c:pt idx="40" formatCode="General">
                  <c:v>0.32450000000000001</c:v>
                </c:pt>
                <c:pt idx="41" formatCode="General">
                  <c:v>0.32679999999999998</c:v>
                </c:pt>
                <c:pt idx="42" formatCode="General">
                  <c:v>0.45944000000000002</c:v>
                </c:pt>
                <c:pt idx="47">
                  <c:v>0.20730499999999999</c:v>
                </c:pt>
                <c:pt idx="50" formatCode="General">
                  <c:v>0.35339999999999999</c:v>
                </c:pt>
                <c:pt idx="51" formatCode="General">
                  <c:v>0.50570000000000004</c:v>
                </c:pt>
                <c:pt idx="52" formatCode="General">
                  <c:v>0.34799999999999998</c:v>
                </c:pt>
                <c:pt idx="55">
                  <c:v>0.223</c:v>
                </c:pt>
                <c:pt idx="56" formatCode="General">
                  <c:v>0.28508600000000001</c:v>
                </c:pt>
                <c:pt idx="57" formatCode="General">
                  <c:v>0.33400000000000002</c:v>
                </c:pt>
                <c:pt idx="61">
                  <c:v>0.25222</c:v>
                </c:pt>
              </c:numCache>
            </c:numRef>
          </c:xVal>
          <c:yVal>
            <c:numRef>
              <c:f>(Data!$AP$3:$AP$57,Data!$AP$179:$AP$193)</c:f>
              <c:numCache>
                <c:formatCode>General</c:formatCode>
                <c:ptCount val="70"/>
                <c:pt idx="0">
                  <c:v>4.1127330229131562</c:v>
                </c:pt>
                <c:pt idx="1">
                  <c:v>4.2153015279279842</c:v>
                </c:pt>
                <c:pt idx="2">
                  <c:v>3.2873349025517218</c:v>
                </c:pt>
                <c:pt idx="3">
                  <c:v>3.0619233983771394</c:v>
                </c:pt>
                <c:pt idx="4">
                  <c:v>2.9554214777425392</c:v>
                </c:pt>
                <c:pt idx="5">
                  <c:v>2.1977901380128264</c:v>
                </c:pt>
                <c:pt idx="6">
                  <c:v>3.8594277336443739</c:v>
                </c:pt>
                <c:pt idx="7">
                  <c:v>4.3552624947814609</c:v>
                </c:pt>
                <c:pt idx="8">
                  <c:v>3.2411678628552805</c:v>
                </c:pt>
                <c:pt idx="9">
                  <c:v>3.5963838622028064</c:v>
                </c:pt>
                <c:pt idx="10">
                  <c:v>3.6444781479779631</c:v>
                </c:pt>
                <c:pt idx="11">
                  <c:v>4.1858830870541421</c:v>
                </c:pt>
                <c:pt idx="12">
                  <c:v>3.9841723176838766</c:v>
                </c:pt>
                <c:pt idx="13">
                  <c:v>4.5598714093497037</c:v>
                </c:pt>
                <c:pt idx="14">
                  <c:v>3.9916572117562916</c:v>
                </c:pt>
                <c:pt idx="15">
                  <c:v>3.4263726638793539</c:v>
                </c:pt>
                <c:pt idx="16">
                  <c:v>4.2666586822761507</c:v>
                </c:pt>
                <c:pt idx="17">
                  <c:v>3.5551364236824479</c:v>
                </c:pt>
                <c:pt idx="18">
                  <c:v>3.0338518423783682</c:v>
                </c:pt>
                <c:pt idx="19">
                  <c:v>3.2966852070192396</c:v>
                </c:pt>
                <c:pt idx="20">
                  <c:v>2.1889989774607752</c:v>
                </c:pt>
                <c:pt idx="21">
                  <c:v>2.8571271794166737</c:v>
                </c:pt>
                <c:pt idx="22">
                  <c:v>3.3965847587470952</c:v>
                </c:pt>
                <c:pt idx="23">
                  <c:v>2.9821604699537994</c:v>
                </c:pt>
                <c:pt idx="24">
                  <c:v>3.2234255357521451</c:v>
                </c:pt>
                <c:pt idx="25">
                  <c:v>2.680231875625398</c:v>
                </c:pt>
                <c:pt idx="26">
                  <c:v>1.5684229621273351</c:v>
                </c:pt>
                <c:pt idx="27">
                  <c:v>3.1135360288515037</c:v>
                </c:pt>
                <c:pt idx="28">
                  <c:v>3.5164642208205219</c:v>
                </c:pt>
                <c:pt idx="29">
                  <c:v>2.2392578764658979</c:v>
                </c:pt>
                <c:pt idx="30">
                  <c:v>2.6031355272571548</c:v>
                </c:pt>
                <c:pt idx="31">
                  <c:v>2.1480347727162163</c:v>
                </c:pt>
                <c:pt idx="32">
                  <c:v>2.9303868506837687</c:v>
                </c:pt>
                <c:pt idx="33">
                  <c:v>3.150165864485051</c:v>
                </c:pt>
                <c:pt idx="34">
                  <c:v>2.1617607914880255</c:v>
                </c:pt>
                <c:pt idx="35">
                  <c:v>4.199259885196347</c:v>
                </c:pt>
                <c:pt idx="36">
                  <c:v>2.005483500936704</c:v>
                </c:pt>
                <c:pt idx="37">
                  <c:v>2.4872788831220451</c:v>
                </c:pt>
                <c:pt idx="38">
                  <c:v>1.8021879131705176</c:v>
                </c:pt>
                <c:pt idx="39">
                  <c:v>2.6373481656153919</c:v>
                </c:pt>
                <c:pt idx="40">
                  <c:v>4.1080189495566835</c:v>
                </c:pt>
                <c:pt idx="41">
                  <c:v>3.4883813468348026</c:v>
                </c:pt>
                <c:pt idx="42">
                  <c:v>2.9400100211147255</c:v>
                </c:pt>
                <c:pt idx="43">
                  <c:v>2.9939447467496985</c:v>
                </c:pt>
                <c:pt idx="44">
                  <c:v>3.854703861440238</c:v>
                </c:pt>
                <c:pt idx="45">
                  <c:v>3.7639947211250142</c:v>
                </c:pt>
                <c:pt idx="46">
                  <c:v>2.7472376725160328</c:v>
                </c:pt>
                <c:pt idx="47">
                  <c:v>3.5836266147757536</c:v>
                </c:pt>
                <c:pt idx="48">
                  <c:v>2.6749168234613747</c:v>
                </c:pt>
                <c:pt idx="49">
                  <c:v>3.3613260934313809</c:v>
                </c:pt>
                <c:pt idx="50">
                  <c:v>2.9870752272693228</c:v>
                </c:pt>
                <c:pt idx="51">
                  <c:v>2.9104441291317706</c:v>
                </c:pt>
                <c:pt idx="52">
                  <c:v>4.8306605892125791</c:v>
                </c:pt>
                <c:pt idx="53">
                  <c:v>4.5343665415081684</c:v>
                </c:pt>
                <c:pt idx="54">
                  <c:v>3.0148375751058416</c:v>
                </c:pt>
                <c:pt idx="55">
                  <c:v>2.6945502720747294</c:v>
                </c:pt>
                <c:pt idx="56">
                  <c:v>3.9295524801089798</c:v>
                </c:pt>
                <c:pt idx="57">
                  <c:v>2.9939447467496985</c:v>
                </c:pt>
                <c:pt idx="58">
                  <c:v>3.4988818997164191</c:v>
                </c:pt>
                <c:pt idx="59">
                  <c:v>2.130676904984262</c:v>
                </c:pt>
                <c:pt idx="60">
                  <c:v>3.5188859356867441</c:v>
                </c:pt>
                <c:pt idx="61">
                  <c:v>4.3181895385812963</c:v>
                </c:pt>
                <c:pt idx="62">
                  <c:v>2.7444596221378093</c:v>
                </c:pt>
                <c:pt idx="63">
                  <c:v>4.0519258180818287</c:v>
                </c:pt>
                <c:pt idx="64">
                  <c:v>3.198629954707898</c:v>
                </c:pt>
                <c:pt idx="65">
                  <c:v>2.7693988907434717</c:v>
                </c:pt>
                <c:pt idx="66">
                  <c:v>3.4165929929907781</c:v>
                </c:pt>
                <c:pt idx="67">
                  <c:v>2.5972470678053639</c:v>
                </c:pt>
                <c:pt idx="68">
                  <c:v>3.642052228706969</c:v>
                </c:pt>
                <c:pt idx="69">
                  <c:v>2.5111711563363102</c:v>
                </c:pt>
              </c:numCache>
            </c:numRef>
          </c:yVal>
          <c:smooth val="0"/>
        </c:ser>
        <c:ser>
          <c:idx val="1"/>
          <c:order val="1"/>
          <c:tx>
            <c:v>2 Axis</c:v>
          </c:tx>
          <c:spPr>
            <a:ln w="28575">
              <a:noFill/>
            </a:ln>
          </c:spPr>
          <c:xVal>
            <c:numRef>
              <c:f>(Data!$T$58:$T$65,Data!$T$194:$T$195)</c:f>
              <c:numCache>
                <c:formatCode>General</c:formatCode>
                <c:ptCount val="10"/>
                <c:pt idx="0">
                  <c:v>0.23130000000000001</c:v>
                </c:pt>
                <c:pt idx="1">
                  <c:v>0.22</c:v>
                </c:pt>
                <c:pt idx="2">
                  <c:v>0.21</c:v>
                </c:pt>
                <c:pt idx="3">
                  <c:v>0.22450000000000001</c:v>
                </c:pt>
                <c:pt idx="4">
                  <c:v>0.133627</c:v>
                </c:pt>
                <c:pt idx="5">
                  <c:v>0.22</c:v>
                </c:pt>
                <c:pt idx="6">
                  <c:v>0.18</c:v>
                </c:pt>
                <c:pt idx="7">
                  <c:v>0.32200000000000001</c:v>
                </c:pt>
                <c:pt idx="8">
                  <c:v>0.24359348049999999</c:v>
                </c:pt>
              </c:numCache>
            </c:numRef>
          </c:xVal>
          <c:yVal>
            <c:numRef>
              <c:f>(Data!$AP$58:$AP$65,Data!$AP$194:$AP$195)</c:f>
              <c:numCache>
                <c:formatCode>General</c:formatCode>
                <c:ptCount val="10"/>
                <c:pt idx="0">
                  <c:v>3.6764131080672415</c:v>
                </c:pt>
                <c:pt idx="1">
                  <c:v>4.2850931782060044</c:v>
                </c:pt>
                <c:pt idx="2">
                  <c:v>3.0556417144099863</c:v>
                </c:pt>
                <c:pt idx="3">
                  <c:v>4.5751290033029521</c:v>
                </c:pt>
                <c:pt idx="4">
                  <c:v>3.4829077301334852</c:v>
                </c:pt>
                <c:pt idx="8">
                  <c:v>2.3246691158967199</c:v>
                </c:pt>
                <c:pt idx="9">
                  <c:v>2.6269148109335023</c:v>
                </c:pt>
              </c:numCache>
            </c:numRef>
          </c:yVal>
          <c:smooth val="0"/>
        </c:ser>
        <c:ser>
          <c:idx val="2"/>
          <c:order val="2"/>
          <c:tx>
            <c:v>Fixed</c:v>
          </c:tx>
          <c:spPr>
            <a:ln w="28575">
              <a:noFill/>
            </a:ln>
          </c:spPr>
          <c:xVal>
            <c:numRef>
              <c:f>(Data!$T$66:$T$117,Data!$T$197:$T$208)</c:f>
              <c:numCache>
                <c:formatCode>General</c:formatCode>
                <c:ptCount val="64"/>
                <c:pt idx="0">
                  <c:v>0.35799999999999998</c:v>
                </c:pt>
                <c:pt idx="2">
                  <c:v>0.52</c:v>
                </c:pt>
                <c:pt idx="3">
                  <c:v>0.57999999999999996</c:v>
                </c:pt>
                <c:pt idx="4">
                  <c:v>0.44400000000000001</c:v>
                </c:pt>
                <c:pt idx="5">
                  <c:v>0.31</c:v>
                </c:pt>
                <c:pt idx="8">
                  <c:v>0.44827706048968663</c:v>
                </c:pt>
                <c:pt idx="12">
                  <c:v>0.41635</c:v>
                </c:pt>
                <c:pt idx="13">
                  <c:v>0.48630000000000001</c:v>
                </c:pt>
                <c:pt idx="14">
                  <c:v>0.59</c:v>
                </c:pt>
                <c:pt idx="18">
                  <c:v>0.43</c:v>
                </c:pt>
                <c:pt idx="20">
                  <c:v>0.62</c:v>
                </c:pt>
                <c:pt idx="21">
                  <c:v>0.56999999999999995</c:v>
                </c:pt>
                <c:pt idx="22">
                  <c:v>0.40860000000000002</c:v>
                </c:pt>
                <c:pt idx="23">
                  <c:v>0.63200000000000001</c:v>
                </c:pt>
                <c:pt idx="25">
                  <c:v>0.41320000000000001</c:v>
                </c:pt>
                <c:pt idx="26">
                  <c:v>0.4</c:v>
                </c:pt>
                <c:pt idx="27">
                  <c:v>0.462337</c:v>
                </c:pt>
                <c:pt idx="28">
                  <c:v>0.47499999999999998</c:v>
                </c:pt>
                <c:pt idx="30">
                  <c:v>0.60821000000000003</c:v>
                </c:pt>
                <c:pt idx="31">
                  <c:v>0.39328999999999997</c:v>
                </c:pt>
                <c:pt idx="34">
                  <c:v>0.9</c:v>
                </c:pt>
                <c:pt idx="35">
                  <c:v>0.60396000000000005</c:v>
                </c:pt>
                <c:pt idx="36">
                  <c:v>0.50600000000000001</c:v>
                </c:pt>
                <c:pt idx="37">
                  <c:v>0.92</c:v>
                </c:pt>
                <c:pt idx="39">
                  <c:v>0.5</c:v>
                </c:pt>
                <c:pt idx="41">
                  <c:v>0.61839999999999995</c:v>
                </c:pt>
                <c:pt idx="42">
                  <c:v>0.46</c:v>
                </c:pt>
                <c:pt idx="43">
                  <c:v>0.48530000000000001</c:v>
                </c:pt>
                <c:pt idx="45" formatCode="0.00">
                  <c:v>0.56999999999999995</c:v>
                </c:pt>
                <c:pt idx="46" formatCode="0.00">
                  <c:v>0.59</c:v>
                </c:pt>
                <c:pt idx="50">
                  <c:v>0.58758500000000002</c:v>
                </c:pt>
                <c:pt idx="51">
                  <c:v>0.52844999999999998</c:v>
                </c:pt>
                <c:pt idx="52">
                  <c:v>0.51100000000000001</c:v>
                </c:pt>
                <c:pt idx="54" formatCode="0.00">
                  <c:v>0.33</c:v>
                </c:pt>
                <c:pt idx="55" formatCode="0.00">
                  <c:v>0.48899999999999999</c:v>
                </c:pt>
                <c:pt idx="56" formatCode="0.00">
                  <c:v>0.4264</c:v>
                </c:pt>
                <c:pt idx="58" formatCode="0.00">
                  <c:v>0.47220000000000001</c:v>
                </c:pt>
                <c:pt idx="59" formatCode="0.00">
                  <c:v>0.45341999999999999</c:v>
                </c:pt>
                <c:pt idx="63" formatCode="0.00">
                  <c:v>0.44827706048968663</c:v>
                </c:pt>
              </c:numCache>
            </c:numRef>
          </c:xVal>
          <c:yVal>
            <c:numRef>
              <c:f>(Data!$AP$66:$AP$117,Data!$AP$197:$AP$208)</c:f>
              <c:numCache>
                <c:formatCode>General</c:formatCode>
                <c:ptCount val="64"/>
                <c:pt idx="0">
                  <c:v>5.2823598219854047</c:v>
                </c:pt>
                <c:pt idx="1">
                  <c:v>2.5867549599907345</c:v>
                </c:pt>
                <c:pt idx="2">
                  <c:v>3.0153894259049521</c:v>
                </c:pt>
                <c:pt idx="3">
                  <c:v>2.799961105994818</c:v>
                </c:pt>
                <c:pt idx="4">
                  <c:v>4.7237231674028344</c:v>
                </c:pt>
                <c:pt idx="5">
                  <c:v>1.8084358817969963</c:v>
                </c:pt>
                <c:pt idx="6">
                  <c:v>1.8668639664758708</c:v>
                </c:pt>
                <c:pt idx="7">
                  <c:v>4.2377376753549649</c:v>
                </c:pt>
                <c:pt idx="8">
                  <c:v>3.4191872300933204</c:v>
                </c:pt>
                <c:pt idx="9">
                  <c:v>1.909095737892351</c:v>
                </c:pt>
                <c:pt idx="10">
                  <c:v>2.6638545179893276</c:v>
                </c:pt>
                <c:pt idx="11">
                  <c:v>2.6640357810836242</c:v>
                </c:pt>
                <c:pt idx="12">
                  <c:v>3.6228421444654861</c:v>
                </c:pt>
                <c:pt idx="13">
                  <c:v>3.7181749367016081</c:v>
                </c:pt>
                <c:pt idx="14">
                  <c:v>2.1215049765969436</c:v>
                </c:pt>
                <c:pt idx="15">
                  <c:v>2.2558624011503028</c:v>
                </c:pt>
                <c:pt idx="16">
                  <c:v>4.0843883597754305</c:v>
                </c:pt>
                <c:pt idx="17">
                  <c:v>3.101934334436244</c:v>
                </c:pt>
                <c:pt idx="18">
                  <c:v>2.9977473946979529</c:v>
                </c:pt>
                <c:pt idx="19">
                  <c:v>3.8458474250641932</c:v>
                </c:pt>
                <c:pt idx="20">
                  <c:v>2.6706870264395941</c:v>
                </c:pt>
                <c:pt idx="21">
                  <c:v>3.3298181474866602</c:v>
                </c:pt>
                <c:pt idx="22">
                  <c:v>2.4490200032451077</c:v>
                </c:pt>
                <c:pt idx="23">
                  <c:v>4.9303672987939171</c:v>
                </c:pt>
                <c:pt idx="24">
                  <c:v>2.0312527248452943</c:v>
                </c:pt>
                <c:pt idx="25">
                  <c:v>3.108972904279943</c:v>
                </c:pt>
                <c:pt idx="26">
                  <c:v>3.0517706353357013</c:v>
                </c:pt>
                <c:pt idx="27">
                  <c:v>4.1265527876190475</c:v>
                </c:pt>
                <c:pt idx="28">
                  <c:v>2.9326211214953939</c:v>
                </c:pt>
                <c:pt idx="29">
                  <c:v>2.6859235046095593</c:v>
                </c:pt>
                <c:pt idx="30">
                  <c:v>3.7057061693725375</c:v>
                </c:pt>
                <c:pt idx="31">
                  <c:v>3.6336332056944882</c:v>
                </c:pt>
                <c:pt idx="32">
                  <c:v>2.2552468223267685</c:v>
                </c:pt>
                <c:pt idx="33">
                  <c:v>2.6650634047534685</c:v>
                </c:pt>
                <c:pt idx="34">
                  <c:v>1.3850912581133592</c:v>
                </c:pt>
                <c:pt idx="35">
                  <c:v>5.4441708688037007</c:v>
                </c:pt>
                <c:pt idx="36">
                  <c:v>4.4195184812102406</c:v>
                </c:pt>
                <c:pt idx="37">
                  <c:v>1.567398119122257</c:v>
                </c:pt>
                <c:pt idx="38">
                  <c:v>5.9712921361286586</c:v>
                </c:pt>
                <c:pt idx="39">
                  <c:v>2.5655851561005409</c:v>
                </c:pt>
                <c:pt idx="40">
                  <c:v>3.1975972210111498</c:v>
                </c:pt>
                <c:pt idx="41">
                  <c:v>2.0619501466275656</c:v>
                </c:pt>
                <c:pt idx="42">
                  <c:v>3.630752473450122</c:v>
                </c:pt>
                <c:pt idx="43">
                  <c:v>3.4966146412791255</c:v>
                </c:pt>
                <c:pt idx="44">
                  <c:v>4.4477928962393456</c:v>
                </c:pt>
                <c:pt idx="45">
                  <c:v>3.477413439029315</c:v>
                </c:pt>
                <c:pt idx="46">
                  <c:v>3.6327480124159255</c:v>
                </c:pt>
                <c:pt idx="47">
                  <c:v>4.1589030542425967</c:v>
                </c:pt>
                <c:pt idx="48">
                  <c:v>2.6660192013594486</c:v>
                </c:pt>
                <c:pt idx="49">
                  <c:v>5.2604406279737264</c:v>
                </c:pt>
                <c:pt idx="50">
                  <c:v>3.6420093216600651</c:v>
                </c:pt>
                <c:pt idx="52">
                  <c:v>3.3784942202536192</c:v>
                </c:pt>
                <c:pt idx="53">
                  <c:v>3.8823580831274711</c:v>
                </c:pt>
                <c:pt idx="54">
                  <c:v>4.0182115718012286</c:v>
                </c:pt>
                <c:pt idx="55">
                  <c:v>3.783115501542754</c:v>
                </c:pt>
                <c:pt idx="56">
                  <c:v>2.86368843069874</c:v>
                </c:pt>
                <c:pt idx="57">
                  <c:v>1.8667303834984685</c:v>
                </c:pt>
                <c:pt idx="58">
                  <c:v>5.0450701340424677</c:v>
                </c:pt>
                <c:pt idx="59">
                  <c:v>3.6280202313683976</c:v>
                </c:pt>
                <c:pt idx="60">
                  <c:v>3.200109228854517</c:v>
                </c:pt>
                <c:pt idx="61">
                  <c:v>5.5044304059451372</c:v>
                </c:pt>
                <c:pt idx="62">
                  <c:v>3.7613964435056282</c:v>
                </c:pt>
                <c:pt idx="63">
                  <c:v>3.5025966246355074</c:v>
                </c:pt>
              </c:numCache>
            </c:numRef>
          </c:yVal>
          <c:smooth val="0"/>
        </c:ser>
        <c:dLbls>
          <c:showLegendKey val="0"/>
          <c:showVal val="0"/>
          <c:showCatName val="0"/>
          <c:showSerName val="0"/>
          <c:showPercent val="0"/>
          <c:showBubbleSize val="0"/>
        </c:dLbls>
        <c:axId val="106480384"/>
        <c:axId val="106482304"/>
      </c:scatterChart>
      <c:valAx>
        <c:axId val="106480384"/>
        <c:scaling>
          <c:orientation val="minMax"/>
        </c:scaling>
        <c:delete val="0"/>
        <c:axPos val="b"/>
        <c:title>
          <c:tx>
            <c:rich>
              <a:bodyPr/>
              <a:lstStyle/>
              <a:p>
                <a:pPr>
                  <a:defRPr/>
                </a:pPr>
                <a:r>
                  <a:rPr lang="en-US"/>
                  <a:t>Packing Factor</a:t>
                </a:r>
              </a:p>
            </c:rich>
          </c:tx>
          <c:overlay val="0"/>
        </c:title>
        <c:numFmt formatCode="0.00" sourceLinked="1"/>
        <c:majorTickMark val="out"/>
        <c:minorTickMark val="none"/>
        <c:tickLblPos val="nextTo"/>
        <c:crossAx val="106482304"/>
        <c:crosses val="autoZero"/>
        <c:crossBetween val="midCat"/>
      </c:valAx>
      <c:valAx>
        <c:axId val="106482304"/>
        <c:scaling>
          <c:orientation val="minMax"/>
        </c:scaling>
        <c:delete val="0"/>
        <c:axPos val="l"/>
        <c:majorGridlines/>
        <c:title>
          <c:tx>
            <c:rich>
              <a:bodyPr rot="-5400000" vert="horz"/>
              <a:lstStyle/>
              <a:p>
                <a:pPr>
                  <a:defRPr/>
                </a:pPr>
                <a:r>
                  <a:rPr lang="en-US"/>
                  <a:t>Hectare/GWh</a:t>
                </a:r>
              </a:p>
            </c:rich>
          </c:tx>
          <c:overlay val="0"/>
        </c:title>
        <c:numFmt formatCode="General" sourceLinked="1"/>
        <c:majorTickMark val="out"/>
        <c:minorTickMark val="none"/>
        <c:tickLblPos val="nextTo"/>
        <c:crossAx val="106480384"/>
        <c:crosses val="autoZero"/>
        <c:crossBetween val="midCat"/>
      </c:valAx>
    </c:plotArea>
    <c:legend>
      <c:legendPos val="r"/>
      <c:layout>
        <c:manualLayout>
          <c:xMode val="edge"/>
          <c:yMode val="edge"/>
          <c:x val="0.88382911951909815"/>
          <c:y val="0.13465348579672382"/>
          <c:w val="8.6646125783610778E-2"/>
          <c:h val="0.18252015192726601"/>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Efficeincy vs Inverse Packing Factor</a:t>
            </a:r>
          </a:p>
        </c:rich>
      </c:tx>
      <c:layout>
        <c:manualLayout>
          <c:xMode val="edge"/>
          <c:yMode val="edge"/>
          <c:x val="0.20980766549677826"/>
          <c:y val="1.7268411301528487E-2"/>
        </c:manualLayout>
      </c:layout>
      <c:overlay val="1"/>
    </c:title>
    <c:autoTitleDeleted val="0"/>
    <c:plotArea>
      <c:layout>
        <c:manualLayout>
          <c:layoutTarget val="inner"/>
          <c:xMode val="edge"/>
          <c:yMode val="edge"/>
          <c:x val="0.17400373747534759"/>
          <c:y val="0.13685310303953938"/>
          <c:w val="0.70648675843925957"/>
          <c:h val="0.73212521228964511"/>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Data!$U$3:$U$57</c:f>
              <c:numCache>
                <c:formatCode>0.00</c:formatCode>
                <c:ptCount val="55"/>
                <c:pt idx="0">
                  <c:v>2.9999999999999996</c:v>
                </c:pt>
                <c:pt idx="1">
                  <c:v>2.6190247648301015</c:v>
                </c:pt>
                <c:pt idx="2">
                  <c:v>2.987951807228916</c:v>
                </c:pt>
                <c:pt idx="3">
                  <c:v>2.5352112676056335</c:v>
                </c:pt>
                <c:pt idx="6">
                  <c:v>5.1282051282051277</c:v>
                </c:pt>
                <c:pt idx="7">
                  <c:v>4.7732696897374707</c:v>
                </c:pt>
                <c:pt idx="8">
                  <c:v>2.6341422943847985</c:v>
                </c:pt>
                <c:pt idx="10">
                  <c:v>2.918362309674035</c:v>
                </c:pt>
                <c:pt idx="11">
                  <c:v>4.3478260869565215</c:v>
                </c:pt>
                <c:pt idx="12">
                  <c:v>2.5922853587722936</c:v>
                </c:pt>
                <c:pt idx="13">
                  <c:v>3.0491803278688527</c:v>
                </c:pt>
                <c:pt idx="14">
                  <c:v>2.1555539379822388</c:v>
                </c:pt>
                <c:pt idx="17">
                  <c:v>3</c:v>
                </c:pt>
                <c:pt idx="18">
                  <c:v>2.2857164895176094</c:v>
                </c:pt>
                <c:pt idx="19">
                  <c:v>3.1746031746031744</c:v>
                </c:pt>
                <c:pt idx="20">
                  <c:v>2.1276595744680851</c:v>
                </c:pt>
                <c:pt idx="22">
                  <c:v>3.0864197530864197</c:v>
                </c:pt>
                <c:pt idx="23">
                  <c:v>1.9607843137254901</c:v>
                </c:pt>
                <c:pt idx="25">
                  <c:v>2.230763267046556</c:v>
                </c:pt>
                <c:pt idx="31">
                  <c:v>2.2336884898032121</c:v>
                </c:pt>
                <c:pt idx="32">
                  <c:v>2.2172949002217295</c:v>
                </c:pt>
                <c:pt idx="33">
                  <c:v>3.5087719298245617</c:v>
                </c:pt>
                <c:pt idx="35">
                  <c:v>2.5768984765670426</c:v>
                </c:pt>
                <c:pt idx="38">
                  <c:v>1.9470404984423677</c:v>
                </c:pt>
                <c:pt idx="40">
                  <c:v>3.0816640986132509</c:v>
                </c:pt>
                <c:pt idx="41">
                  <c:v>3.0599755201958385</c:v>
                </c:pt>
                <c:pt idx="42">
                  <c:v>2.1765627720703464</c:v>
                </c:pt>
                <c:pt idx="47">
                  <c:v>4.8238103277779123</c:v>
                </c:pt>
                <c:pt idx="50">
                  <c:v>2.8296547821165818</c:v>
                </c:pt>
                <c:pt idx="51">
                  <c:v>1.9774569903104606</c:v>
                </c:pt>
                <c:pt idx="52">
                  <c:v>2.8735632183908049</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Data!$U$58:$U$65</c:f>
              <c:numCache>
                <c:formatCode>0.00</c:formatCode>
                <c:ptCount val="8"/>
                <c:pt idx="0">
                  <c:v>4.3233895373973192</c:v>
                </c:pt>
                <c:pt idx="1">
                  <c:v>4.5454545454545459</c:v>
                </c:pt>
                <c:pt idx="2">
                  <c:v>4.7619047619047619</c:v>
                </c:pt>
                <c:pt idx="3">
                  <c:v>4.4543429844097995</c:v>
                </c:pt>
                <c:pt idx="4">
                  <c:v>7.4835175525904196</c:v>
                </c:pt>
                <c:pt idx="5">
                  <c:v>4.5454545454545459</c:v>
                </c:pt>
                <c:pt idx="6">
                  <c:v>5.5555555555555554</c:v>
                </c:pt>
                <c:pt idx="7">
                  <c:v>3.1055900621118013</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Data!$U$66:$U$116</c:f>
              <c:numCache>
                <c:formatCode>0.00</c:formatCode>
                <c:ptCount val="51"/>
                <c:pt idx="0">
                  <c:v>2.7932960893854748</c:v>
                </c:pt>
                <c:pt idx="2">
                  <c:v>1.9230769230769229</c:v>
                </c:pt>
                <c:pt idx="3">
                  <c:v>1.7241379310344829</c:v>
                </c:pt>
                <c:pt idx="4">
                  <c:v>2.2522522522522523</c:v>
                </c:pt>
                <c:pt idx="5">
                  <c:v>3.2258064516129035</c:v>
                </c:pt>
                <c:pt idx="8">
                  <c:v>2.230763267046556</c:v>
                </c:pt>
                <c:pt idx="12">
                  <c:v>2.4018253872943438</c:v>
                </c:pt>
                <c:pt idx="13">
                  <c:v>2.056343820686819</c:v>
                </c:pt>
                <c:pt idx="14">
                  <c:v>1.6949152542372883</c:v>
                </c:pt>
                <c:pt idx="18">
                  <c:v>2.3255813953488373</c:v>
                </c:pt>
                <c:pt idx="20">
                  <c:v>1.6129032258064517</c:v>
                </c:pt>
                <c:pt idx="21">
                  <c:v>1.7543859649122808</c:v>
                </c:pt>
                <c:pt idx="22">
                  <c:v>2.4473813020068524</c:v>
                </c:pt>
                <c:pt idx="23">
                  <c:v>1.5822784810126582</c:v>
                </c:pt>
                <c:pt idx="25">
                  <c:v>2.4201355275895451</c:v>
                </c:pt>
                <c:pt idx="26">
                  <c:v>2.5</c:v>
                </c:pt>
                <c:pt idx="27">
                  <c:v>2.1629244468861457</c:v>
                </c:pt>
                <c:pt idx="28">
                  <c:v>2.1052631578947367</c:v>
                </c:pt>
                <c:pt idx="30">
                  <c:v>1.6441689548017953</c:v>
                </c:pt>
                <c:pt idx="31">
                  <c:v>2.5426530041445248</c:v>
                </c:pt>
                <c:pt idx="34">
                  <c:v>1.1111111111111112</c:v>
                </c:pt>
                <c:pt idx="35">
                  <c:v>1.6557387906483871</c:v>
                </c:pt>
                <c:pt idx="36">
                  <c:v>1.9762845849802371</c:v>
                </c:pt>
                <c:pt idx="37">
                  <c:v>1.0869565217391304</c:v>
                </c:pt>
                <c:pt idx="39">
                  <c:v>2</c:v>
                </c:pt>
                <c:pt idx="41">
                  <c:v>1.6170763260025875</c:v>
                </c:pt>
                <c:pt idx="42">
                  <c:v>2.1739130434782608</c:v>
                </c:pt>
                <c:pt idx="43">
                  <c:v>2.06058108386565</c:v>
                </c:pt>
              </c:numCache>
            </c:numRef>
          </c:yVal>
          <c:smooth val="0"/>
        </c:ser>
        <c:dLbls>
          <c:showLegendKey val="0"/>
          <c:showVal val="0"/>
          <c:showCatName val="0"/>
          <c:showSerName val="0"/>
          <c:showPercent val="0"/>
          <c:showBubbleSize val="0"/>
        </c:dLbls>
        <c:axId val="106517248"/>
        <c:axId val="106519168"/>
      </c:scatterChart>
      <c:valAx>
        <c:axId val="106517248"/>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106519168"/>
        <c:crosses val="autoZero"/>
        <c:crossBetween val="midCat"/>
      </c:valAx>
      <c:valAx>
        <c:axId val="106519168"/>
        <c:scaling>
          <c:orientation val="minMax"/>
        </c:scaling>
        <c:delete val="0"/>
        <c:axPos val="l"/>
        <c:title>
          <c:tx>
            <c:rich>
              <a:bodyPr rot="-5400000" vert="horz"/>
              <a:lstStyle/>
              <a:p>
                <a:pPr>
                  <a:defRPr/>
                </a:pPr>
                <a:r>
                  <a:rPr lang="en-US"/>
                  <a:t>(Packign Factor)^-1</a:t>
                </a:r>
              </a:p>
            </c:rich>
          </c:tx>
          <c:overlay val="0"/>
        </c:title>
        <c:numFmt formatCode="0.0" sourceLinked="0"/>
        <c:majorTickMark val="out"/>
        <c:minorTickMark val="none"/>
        <c:tickLblPos val="nextTo"/>
        <c:crossAx val="106517248"/>
        <c:crosses val="autoZero"/>
        <c:crossBetween val="midCat"/>
      </c:valAx>
    </c:plotArea>
    <c:legend>
      <c:legendPos val="r"/>
      <c:layout>
        <c:manualLayout>
          <c:xMode val="edge"/>
          <c:yMode val="edge"/>
          <c:x val="0.8748168488176854"/>
          <c:y val="0.19818511656631171"/>
          <c:w val="0.12054117946573119"/>
          <c:h val="0.4435834491276828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 VS Inverse Packing Factor</a:t>
            </a:r>
          </a:p>
        </c:rich>
      </c:tx>
      <c:layout>
        <c:manualLayout>
          <c:xMode val="edge"/>
          <c:yMode val="edge"/>
          <c:x val="0.17150939235425094"/>
          <c:y val="2.7376595166983441E-2"/>
        </c:manualLayout>
      </c:layout>
      <c:overlay val="1"/>
    </c:title>
    <c:autoTitleDeleted val="0"/>
    <c:plotArea>
      <c:layout>
        <c:manualLayout>
          <c:layoutTarget val="inner"/>
          <c:xMode val="edge"/>
          <c:yMode val="edge"/>
          <c:x val="0.1444939345126634"/>
          <c:y val="0.15479880532174894"/>
          <c:w val="0.73692923019747869"/>
          <c:h val="0.67066992488008226"/>
        </c:manualLayout>
      </c:layout>
      <c:scatterChart>
        <c:scatterStyle val="lineMarker"/>
        <c:varyColors val="0"/>
        <c:ser>
          <c:idx val="0"/>
          <c:order val="0"/>
          <c:tx>
            <c:v>1 Axis</c:v>
          </c:tx>
          <c:spPr>
            <a:ln w="28575">
              <a:noFill/>
            </a:ln>
          </c:spPr>
          <c:xVal>
            <c:numRef>
              <c:f>Data!$AB$178:$AB$193</c:f>
              <c:numCache>
                <c:formatCode>0.0%</c:formatCode>
                <c:ptCount val="16"/>
                <c:pt idx="0">
                  <c:v>0.19600000000000001</c:v>
                </c:pt>
                <c:pt idx="1">
                  <c:v>0.19</c:v>
                </c:pt>
                <c:pt idx="2">
                  <c:v>0.107</c:v>
                </c:pt>
                <c:pt idx="3">
                  <c:v>0.14000000000000001</c:v>
                </c:pt>
                <c:pt idx="5">
                  <c:v>0.185</c:v>
                </c:pt>
                <c:pt idx="6">
                  <c:v>0.19</c:v>
                </c:pt>
                <c:pt idx="7">
                  <c:v>0.107</c:v>
                </c:pt>
                <c:pt idx="8">
                  <c:v>0.19600000000000001</c:v>
                </c:pt>
                <c:pt idx="9">
                  <c:v>0.20100000000000001</c:v>
                </c:pt>
                <c:pt idx="10">
                  <c:v>0.107</c:v>
                </c:pt>
                <c:pt idx="11">
                  <c:v>0.1</c:v>
                </c:pt>
                <c:pt idx="12">
                  <c:v>0.1076</c:v>
                </c:pt>
                <c:pt idx="14">
                  <c:v>0.1</c:v>
                </c:pt>
              </c:numCache>
            </c:numRef>
          </c:xVal>
          <c:yVal>
            <c:numRef>
              <c:f>Data!$U$178:$U$193</c:f>
              <c:numCache>
                <c:formatCode>0.00</c:formatCode>
                <c:ptCount val="16"/>
                <c:pt idx="0">
                  <c:v>4.4843049327354256</c:v>
                </c:pt>
                <c:pt idx="1">
                  <c:v>3.5077134619027239</c:v>
                </c:pt>
                <c:pt idx="2">
                  <c:v>2.9940119760479038</c:v>
                </c:pt>
                <c:pt idx="6">
                  <c:v>3.9647926413448578</c:v>
                </c:pt>
              </c:numCache>
            </c:numRef>
          </c:yVal>
          <c:smooth val="0"/>
        </c:ser>
        <c:ser>
          <c:idx val="1"/>
          <c:order val="1"/>
          <c:tx>
            <c:v>2 Axis</c:v>
          </c:tx>
          <c:spPr>
            <a:ln w="28575">
              <a:noFill/>
            </a:ln>
          </c:spPr>
          <c:xVal>
            <c:numRef>
              <c:f>Data!$AB$194:$AB$195</c:f>
              <c:numCache>
                <c:formatCode>0.0%</c:formatCode>
                <c:ptCount val="2"/>
                <c:pt idx="0">
                  <c:v>0.31</c:v>
                </c:pt>
                <c:pt idx="1">
                  <c:v>0.25</c:v>
                </c:pt>
              </c:numCache>
            </c:numRef>
          </c:xVal>
          <c:yVal>
            <c:numRef>
              <c:f>Data!$U$194:$U$195</c:f>
              <c:numCache>
                <c:formatCode>General</c:formatCode>
                <c:ptCount val="2"/>
                <c:pt idx="0" formatCode="0.00">
                  <c:v>4.105200180018775</c:v>
                </c:pt>
              </c:numCache>
            </c:numRef>
          </c:yVal>
          <c:smooth val="0"/>
        </c:ser>
        <c:ser>
          <c:idx val="2"/>
          <c:order val="2"/>
          <c:tx>
            <c:v>Fixed</c:v>
          </c:tx>
          <c:spPr>
            <a:ln w="28575">
              <a:noFill/>
            </a:ln>
          </c:spPr>
          <c:xVal>
            <c:numRef>
              <c:f>Data!$AB$196:$AB$209</c:f>
              <c:numCache>
                <c:formatCode>0.0%</c:formatCode>
                <c:ptCount val="14"/>
                <c:pt idx="0">
                  <c:v>0.1</c:v>
                </c:pt>
                <c:pt idx="1">
                  <c:v>0.14000000000000001</c:v>
                </c:pt>
                <c:pt idx="3">
                  <c:v>0.1</c:v>
                </c:pt>
                <c:pt idx="4">
                  <c:v>0.1</c:v>
                </c:pt>
                <c:pt idx="5">
                  <c:v>0.13200000000000001</c:v>
                </c:pt>
                <c:pt idx="6">
                  <c:v>0.14099999999999999</c:v>
                </c:pt>
                <c:pt idx="7">
                  <c:v>0.09</c:v>
                </c:pt>
                <c:pt idx="8">
                  <c:v>0.1</c:v>
                </c:pt>
                <c:pt idx="9">
                  <c:v>0.158</c:v>
                </c:pt>
                <c:pt idx="10">
                  <c:v>0.1</c:v>
                </c:pt>
                <c:pt idx="11">
                  <c:v>0.107</c:v>
                </c:pt>
                <c:pt idx="12">
                  <c:v>0.1</c:v>
                </c:pt>
                <c:pt idx="13">
                  <c:v>0.107</c:v>
                </c:pt>
              </c:numCache>
            </c:numRef>
          </c:xVal>
          <c:yVal>
            <c:numRef>
              <c:f>Data!$U$196:$U$209</c:f>
              <c:numCache>
                <c:formatCode>0.00</c:formatCode>
                <c:ptCount val="14"/>
                <c:pt idx="1">
                  <c:v>1.9569471624266144</c:v>
                </c:pt>
                <c:pt idx="3">
                  <c:v>3.0303030303030303</c:v>
                </c:pt>
                <c:pt idx="4">
                  <c:v>2.0449897750511248</c:v>
                </c:pt>
                <c:pt idx="5">
                  <c:v>2.3452157598499062</c:v>
                </c:pt>
                <c:pt idx="12">
                  <c:v>2.230763267046556</c:v>
                </c:pt>
              </c:numCache>
            </c:numRef>
          </c:yVal>
          <c:smooth val="0"/>
        </c:ser>
        <c:dLbls>
          <c:showLegendKey val="0"/>
          <c:showVal val="0"/>
          <c:showCatName val="0"/>
          <c:showSerName val="0"/>
          <c:showPercent val="0"/>
          <c:showBubbleSize val="0"/>
        </c:dLbls>
        <c:axId val="107676416"/>
        <c:axId val="107678336"/>
      </c:scatterChart>
      <c:valAx>
        <c:axId val="107676416"/>
        <c:scaling>
          <c:orientation val="minMax"/>
          <c:min val="8.0000000000000043E-2"/>
        </c:scaling>
        <c:delete val="0"/>
        <c:axPos val="b"/>
        <c:title>
          <c:tx>
            <c:rich>
              <a:bodyPr/>
              <a:lstStyle/>
              <a:p>
                <a:pPr>
                  <a:defRPr/>
                </a:pPr>
                <a:r>
                  <a:rPr lang="en-US"/>
                  <a:t>Efficiency</a:t>
                </a:r>
              </a:p>
            </c:rich>
          </c:tx>
          <c:overlay val="0"/>
        </c:title>
        <c:numFmt formatCode="0%" sourceLinked="0"/>
        <c:majorTickMark val="out"/>
        <c:minorTickMark val="none"/>
        <c:tickLblPos val="nextTo"/>
        <c:crossAx val="107678336"/>
        <c:crosses val="autoZero"/>
        <c:crossBetween val="midCat"/>
      </c:valAx>
      <c:valAx>
        <c:axId val="107678336"/>
        <c:scaling>
          <c:orientation val="minMax"/>
        </c:scaling>
        <c:delete val="0"/>
        <c:axPos val="l"/>
        <c:title>
          <c:tx>
            <c:rich>
              <a:bodyPr rot="-5400000" vert="horz"/>
              <a:lstStyle/>
              <a:p>
                <a:pPr>
                  <a:defRPr/>
                </a:pPr>
                <a:r>
                  <a:rPr lang="en-US"/>
                  <a:t>Inverse Packing Factor</a:t>
                </a:r>
              </a:p>
            </c:rich>
          </c:tx>
          <c:overlay val="0"/>
        </c:title>
        <c:numFmt formatCode="0.0" sourceLinked="0"/>
        <c:majorTickMark val="out"/>
        <c:minorTickMark val="none"/>
        <c:tickLblPos val="nextTo"/>
        <c:crossAx val="107676416"/>
        <c:crosses val="autoZero"/>
        <c:crossBetween val="midCat"/>
      </c:valAx>
    </c:plotArea>
    <c:legend>
      <c:legendPos val="r"/>
      <c:layout>
        <c:manualLayout>
          <c:xMode val="edge"/>
          <c:yMode val="edge"/>
          <c:x val="0.85071278011670859"/>
          <c:y val="0.17955760702326004"/>
          <c:w val="0.14685094198844564"/>
          <c:h val="0.2340830211757510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Packing Factor VS Land Use</a:t>
            </a:r>
          </a:p>
        </c:rich>
      </c:tx>
      <c:overlay val="0"/>
    </c:title>
    <c:autoTitleDeleted val="0"/>
    <c:plotArea>
      <c:layout/>
      <c:scatterChart>
        <c:scatterStyle val="lineMarker"/>
        <c:varyColors val="0"/>
        <c:ser>
          <c:idx val="0"/>
          <c:order val="0"/>
          <c:tx>
            <c:v>1 Axis</c:v>
          </c:tx>
          <c:spPr>
            <a:ln w="28575">
              <a:noFill/>
            </a:ln>
          </c:spPr>
          <c:xVal>
            <c:numRef>
              <c:f>(Data!$T$3:$T$57,Data!$T$178:$T$193)</c:f>
              <c:numCache>
                <c:formatCode>0.00</c:formatCode>
                <c:ptCount val="71"/>
                <c:pt idx="0">
                  <c:v>0.33333333333333337</c:v>
                </c:pt>
                <c:pt idx="1">
                  <c:v>0.38182151365218986</c:v>
                </c:pt>
                <c:pt idx="2">
                  <c:v>0.33467741935483869</c:v>
                </c:pt>
                <c:pt idx="3">
                  <c:v>0.39444444444444449</c:v>
                </c:pt>
                <c:pt idx="6">
                  <c:v>0.19500000000000001</c:v>
                </c:pt>
                <c:pt idx="7">
                  <c:v>0.20949999999999999</c:v>
                </c:pt>
                <c:pt idx="8">
                  <c:v>0.37963021289005539</c:v>
                </c:pt>
                <c:pt idx="10">
                  <c:v>0.34265793410404016</c:v>
                </c:pt>
                <c:pt idx="11" formatCode="General">
                  <c:v>0.23</c:v>
                </c:pt>
                <c:pt idx="12" formatCode="General">
                  <c:v>0.38575999999999999</c:v>
                </c:pt>
                <c:pt idx="13">
                  <c:v>0.32795698924731181</c:v>
                </c:pt>
                <c:pt idx="14">
                  <c:v>0.46391787390673017</c:v>
                </c:pt>
                <c:pt idx="17">
                  <c:v>0.33333333333333331</c:v>
                </c:pt>
                <c:pt idx="18">
                  <c:v>0.43749957817867674</c:v>
                </c:pt>
                <c:pt idx="19">
                  <c:v>0.315</c:v>
                </c:pt>
                <c:pt idx="20">
                  <c:v>0.47</c:v>
                </c:pt>
                <c:pt idx="22">
                  <c:v>0.32400000000000001</c:v>
                </c:pt>
                <c:pt idx="23">
                  <c:v>0.51</c:v>
                </c:pt>
                <c:pt idx="25">
                  <c:v>0.44827706048968663</c:v>
                </c:pt>
                <c:pt idx="31" formatCode="General">
                  <c:v>0.44768999999999998</c:v>
                </c:pt>
                <c:pt idx="32">
                  <c:v>0.45100000000000001</c:v>
                </c:pt>
                <c:pt idx="33">
                  <c:v>0.28499999999999998</c:v>
                </c:pt>
                <c:pt idx="35">
                  <c:v>0.38806340610368367</c:v>
                </c:pt>
                <c:pt idx="38">
                  <c:v>0.51359999999999995</c:v>
                </c:pt>
                <c:pt idx="40" formatCode="General">
                  <c:v>0.32450000000000001</c:v>
                </c:pt>
                <c:pt idx="41" formatCode="General">
                  <c:v>0.32679999999999998</c:v>
                </c:pt>
                <c:pt idx="42" formatCode="General">
                  <c:v>0.45944000000000002</c:v>
                </c:pt>
                <c:pt idx="47">
                  <c:v>0.20730499999999999</c:v>
                </c:pt>
                <c:pt idx="50" formatCode="General">
                  <c:v>0.35339999999999999</c:v>
                </c:pt>
                <c:pt idx="51" formatCode="General">
                  <c:v>0.50570000000000004</c:v>
                </c:pt>
                <c:pt idx="52" formatCode="General">
                  <c:v>0.34799999999999998</c:v>
                </c:pt>
                <c:pt idx="55">
                  <c:v>0.223</c:v>
                </c:pt>
                <c:pt idx="56" formatCode="General">
                  <c:v>0.28508600000000001</c:v>
                </c:pt>
                <c:pt idx="57" formatCode="General">
                  <c:v>0.33400000000000002</c:v>
                </c:pt>
                <c:pt idx="61">
                  <c:v>0.25222</c:v>
                </c:pt>
              </c:numCache>
            </c:numRef>
          </c:xVal>
          <c:yVal>
            <c:numRef>
              <c:f>(Data!$R$3:$R$57,Data!$R$179:$R$193)</c:f>
              <c:numCache>
                <c:formatCode>0.00</c:formatCode>
                <c:ptCount val="70"/>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pt idx="55">
                  <c:v>5.92</c:v>
                </c:pt>
                <c:pt idx="56">
                  <c:v>8.4649999999999999</c:v>
                </c:pt>
                <c:pt idx="57">
                  <c:v>7</c:v>
                </c:pt>
                <c:pt idx="60">
                  <c:v>7.2</c:v>
                </c:pt>
                <c:pt idx="66">
                  <c:v>8.5</c:v>
                </c:pt>
                <c:pt idx="68">
                  <c:v>9.956619802115295</c:v>
                </c:pt>
              </c:numCache>
            </c:numRef>
          </c:yVal>
          <c:smooth val="0"/>
        </c:ser>
        <c:ser>
          <c:idx val="1"/>
          <c:order val="1"/>
          <c:tx>
            <c:v>2 Axis</c:v>
          </c:tx>
          <c:spPr>
            <a:ln w="28575">
              <a:noFill/>
            </a:ln>
          </c:spPr>
          <c:xVal>
            <c:numRef>
              <c:f>(Data!$T$58:$T$65,Data!$T$194:$T$195)</c:f>
              <c:numCache>
                <c:formatCode>General</c:formatCode>
                <c:ptCount val="10"/>
                <c:pt idx="0">
                  <c:v>0.23130000000000001</c:v>
                </c:pt>
                <c:pt idx="1">
                  <c:v>0.22</c:v>
                </c:pt>
                <c:pt idx="2">
                  <c:v>0.21</c:v>
                </c:pt>
                <c:pt idx="3">
                  <c:v>0.22450000000000001</c:v>
                </c:pt>
                <c:pt idx="4">
                  <c:v>0.133627</c:v>
                </c:pt>
                <c:pt idx="5">
                  <c:v>0.22</c:v>
                </c:pt>
                <c:pt idx="6">
                  <c:v>0.18</c:v>
                </c:pt>
                <c:pt idx="7">
                  <c:v>0.32200000000000001</c:v>
                </c:pt>
                <c:pt idx="8">
                  <c:v>0.24359348049999999</c:v>
                </c:pt>
              </c:numCache>
            </c:numRef>
          </c:xVal>
          <c:yVal>
            <c:numRef>
              <c:f>(Data!$R$58:$R$65,Data!$R$194:$R$195)</c:f>
              <c:numCache>
                <c:formatCode>0.00</c:formatCode>
                <c:ptCount val="10"/>
                <c:pt idx="0">
                  <c:v>6.8340236657699132</c:v>
                </c:pt>
                <c:pt idx="1">
                  <c:v>7.0097761276815929</c:v>
                </c:pt>
                <c:pt idx="2">
                  <c:v>9.1205598007949913</c:v>
                </c:pt>
                <c:pt idx="3">
                  <c:v>11.745254232357103</c:v>
                </c:pt>
                <c:pt idx="4">
                  <c:v>5.7719535084726346</c:v>
                </c:pt>
                <c:pt idx="5">
                  <c:v>7.6282453467075744</c:v>
                </c:pt>
                <c:pt idx="6">
                  <c:v>10.7</c:v>
                </c:pt>
                <c:pt idx="7">
                  <c:v>6.0079365079365079</c:v>
                </c:pt>
                <c:pt idx="8">
                  <c:v>6.0546875</c:v>
                </c:pt>
              </c:numCache>
            </c:numRef>
          </c:yVal>
          <c:smooth val="0"/>
        </c:ser>
        <c:ser>
          <c:idx val="2"/>
          <c:order val="2"/>
          <c:tx>
            <c:v>Fixed</c:v>
          </c:tx>
          <c:spPr>
            <a:ln w="28575">
              <a:noFill/>
            </a:ln>
          </c:spPr>
          <c:xVal>
            <c:numRef>
              <c:f>(Data!$T$66:$T$117,Data!$T$197:$T$208)</c:f>
              <c:numCache>
                <c:formatCode>General</c:formatCode>
                <c:ptCount val="64"/>
                <c:pt idx="0">
                  <c:v>0.35799999999999998</c:v>
                </c:pt>
                <c:pt idx="2">
                  <c:v>0.52</c:v>
                </c:pt>
                <c:pt idx="3">
                  <c:v>0.57999999999999996</c:v>
                </c:pt>
                <c:pt idx="4">
                  <c:v>0.44400000000000001</c:v>
                </c:pt>
                <c:pt idx="5">
                  <c:v>0.31</c:v>
                </c:pt>
                <c:pt idx="8">
                  <c:v>0.44827706048968663</c:v>
                </c:pt>
                <c:pt idx="12">
                  <c:v>0.41635</c:v>
                </c:pt>
                <c:pt idx="13">
                  <c:v>0.48630000000000001</c:v>
                </c:pt>
                <c:pt idx="14">
                  <c:v>0.59</c:v>
                </c:pt>
                <c:pt idx="18">
                  <c:v>0.43</c:v>
                </c:pt>
                <c:pt idx="20">
                  <c:v>0.62</c:v>
                </c:pt>
                <c:pt idx="21">
                  <c:v>0.56999999999999995</c:v>
                </c:pt>
                <c:pt idx="22">
                  <c:v>0.40860000000000002</c:v>
                </c:pt>
                <c:pt idx="23">
                  <c:v>0.63200000000000001</c:v>
                </c:pt>
                <c:pt idx="25">
                  <c:v>0.41320000000000001</c:v>
                </c:pt>
                <c:pt idx="26">
                  <c:v>0.4</c:v>
                </c:pt>
                <c:pt idx="27">
                  <c:v>0.462337</c:v>
                </c:pt>
                <c:pt idx="28">
                  <c:v>0.47499999999999998</c:v>
                </c:pt>
                <c:pt idx="30">
                  <c:v>0.60821000000000003</c:v>
                </c:pt>
                <c:pt idx="31">
                  <c:v>0.39328999999999997</c:v>
                </c:pt>
                <c:pt idx="34">
                  <c:v>0.9</c:v>
                </c:pt>
                <c:pt idx="35">
                  <c:v>0.60396000000000005</c:v>
                </c:pt>
                <c:pt idx="36">
                  <c:v>0.50600000000000001</c:v>
                </c:pt>
                <c:pt idx="37">
                  <c:v>0.92</c:v>
                </c:pt>
                <c:pt idx="39">
                  <c:v>0.5</c:v>
                </c:pt>
                <c:pt idx="41">
                  <c:v>0.61839999999999995</c:v>
                </c:pt>
                <c:pt idx="42">
                  <c:v>0.46</c:v>
                </c:pt>
                <c:pt idx="43">
                  <c:v>0.48530000000000001</c:v>
                </c:pt>
                <c:pt idx="45" formatCode="0.00">
                  <c:v>0.56999999999999995</c:v>
                </c:pt>
                <c:pt idx="46" formatCode="0.00">
                  <c:v>0.59</c:v>
                </c:pt>
                <c:pt idx="50">
                  <c:v>0.58758500000000002</c:v>
                </c:pt>
                <c:pt idx="51">
                  <c:v>0.52844999999999998</c:v>
                </c:pt>
                <c:pt idx="52">
                  <c:v>0.51100000000000001</c:v>
                </c:pt>
                <c:pt idx="54" formatCode="0.00">
                  <c:v>0.33</c:v>
                </c:pt>
                <c:pt idx="55" formatCode="0.00">
                  <c:v>0.48899999999999999</c:v>
                </c:pt>
                <c:pt idx="56" formatCode="0.00">
                  <c:v>0.4264</c:v>
                </c:pt>
                <c:pt idx="58" formatCode="0.00">
                  <c:v>0.47220000000000001</c:v>
                </c:pt>
                <c:pt idx="59" formatCode="0.00">
                  <c:v>0.45341999999999999</c:v>
                </c:pt>
                <c:pt idx="63" formatCode="0.00">
                  <c:v>0.44827706048968663</c:v>
                </c:pt>
              </c:numCache>
            </c:numRef>
          </c:xVal>
          <c:yVal>
            <c:numRef>
              <c:f>(Data!$R$66:$R$117,Data!$R$197:$R$208)</c:f>
              <c:numCache>
                <c:formatCode>0.00</c:formatCode>
                <c:ptCount val="64"/>
                <c:pt idx="0">
                  <c:v>6.046848387291849</c:v>
                </c:pt>
                <c:pt idx="2">
                  <c:v>5.0477857046708845</c:v>
                </c:pt>
                <c:pt idx="3">
                  <c:v>2.7777777777777777</c:v>
                </c:pt>
                <c:pt idx="4">
                  <c:v>7.6664477625749097</c:v>
                </c:pt>
                <c:pt idx="5">
                  <c:v>3.3557869235306015</c:v>
                </c:pt>
                <c:pt idx="6">
                  <c:v>2.6874734260478124</c:v>
                </c:pt>
                <c:pt idx="8">
                  <c:v>4.1513487132919158</c:v>
                </c:pt>
                <c:pt idx="9">
                  <c:v>3.4256991511041552</c:v>
                </c:pt>
                <c:pt idx="10">
                  <c:v>5.5386703875051984</c:v>
                </c:pt>
                <c:pt idx="12">
                  <c:v>6.4833803362611224</c:v>
                </c:pt>
                <c:pt idx="13">
                  <c:v>5.4586774124045414</c:v>
                </c:pt>
                <c:pt idx="14">
                  <c:v>4.235409859546956</c:v>
                </c:pt>
                <c:pt idx="15">
                  <c:v>4.0656649265851517</c:v>
                </c:pt>
                <c:pt idx="17">
                  <c:v>3.987166666666667</c:v>
                </c:pt>
                <c:pt idx="18">
                  <c:v>5.2119565656084648</c:v>
                </c:pt>
                <c:pt idx="20">
                  <c:v>3.9362473643575164</c:v>
                </c:pt>
                <c:pt idx="21">
                  <c:v>6.2837110143110504</c:v>
                </c:pt>
                <c:pt idx="22">
                  <c:v>4.6981016929428421</c:v>
                </c:pt>
                <c:pt idx="23">
                  <c:v>6.3835456752860864</c:v>
                </c:pt>
                <c:pt idx="24">
                  <c:v>3.1879975773540714</c:v>
                </c:pt>
                <c:pt idx="25">
                  <c:v>4.42</c:v>
                </c:pt>
                <c:pt idx="26">
                  <c:v>5.5117015820979933</c:v>
                </c:pt>
                <c:pt idx="27">
                  <c:v>5.9509288110609333</c:v>
                </c:pt>
                <c:pt idx="28">
                  <c:v>4.3065932185309386</c:v>
                </c:pt>
                <c:pt idx="30">
                  <c:v>4.29704423135016</c:v>
                </c:pt>
                <c:pt idx="31">
                  <c:v>6.1128709527494927</c:v>
                </c:pt>
                <c:pt idx="33">
                  <c:v>5.3793264384195538</c:v>
                </c:pt>
                <c:pt idx="34">
                  <c:v>3.0537661004128474</c:v>
                </c:pt>
                <c:pt idx="35">
                  <c:v>8.0055652847746028</c:v>
                </c:pt>
                <c:pt idx="36">
                  <c:v>7.5</c:v>
                </c:pt>
                <c:pt idx="37">
                  <c:v>2.2320000000000002</c:v>
                </c:pt>
                <c:pt idx="38">
                  <c:v>6.9853493613824194</c:v>
                </c:pt>
                <c:pt idx="39">
                  <c:v>4.6335444445025811</c:v>
                </c:pt>
                <c:pt idx="41">
                  <c:v>3</c:v>
                </c:pt>
                <c:pt idx="42">
                  <c:v>7</c:v>
                </c:pt>
                <c:pt idx="43">
                  <c:v>6.1909999999999998</c:v>
                </c:pt>
                <c:pt idx="44">
                  <c:v>7.8</c:v>
                </c:pt>
                <c:pt idx="45">
                  <c:v>5.5873015873015879</c:v>
                </c:pt>
                <c:pt idx="46">
                  <c:v>5.9428571428571431</c:v>
                </c:pt>
                <c:pt idx="47">
                  <c:v>6.075131499495054</c:v>
                </c:pt>
                <c:pt idx="48">
                  <c:v>4.9741151674032347</c:v>
                </c:pt>
                <c:pt idx="50">
                  <c:v>5.559444444444444</c:v>
                </c:pt>
                <c:pt idx="51">
                  <c:v>4.6393754217810566</c:v>
                </c:pt>
                <c:pt idx="52">
                  <c:v>4.2666666666666666</c:v>
                </c:pt>
                <c:pt idx="54">
                  <c:v>6.4</c:v>
                </c:pt>
                <c:pt idx="55">
                  <c:v>7.4</c:v>
                </c:pt>
                <c:pt idx="56">
                  <c:v>6.09375</c:v>
                </c:pt>
                <c:pt idx="58">
                  <c:v>7.666666666666667</c:v>
                </c:pt>
                <c:pt idx="59">
                  <c:v>6.791666666666667</c:v>
                </c:pt>
                <c:pt idx="63">
                  <c:v>5.4636363636363638</c:v>
                </c:pt>
              </c:numCache>
            </c:numRef>
          </c:yVal>
          <c:smooth val="0"/>
        </c:ser>
        <c:dLbls>
          <c:showLegendKey val="0"/>
          <c:showVal val="0"/>
          <c:showCatName val="0"/>
          <c:showSerName val="0"/>
          <c:showPercent val="0"/>
          <c:showBubbleSize val="0"/>
        </c:dLbls>
        <c:axId val="107717376"/>
        <c:axId val="107719296"/>
      </c:scatterChart>
      <c:valAx>
        <c:axId val="107717376"/>
        <c:scaling>
          <c:orientation val="minMax"/>
        </c:scaling>
        <c:delete val="0"/>
        <c:axPos val="b"/>
        <c:title>
          <c:tx>
            <c:rich>
              <a:bodyPr/>
              <a:lstStyle/>
              <a:p>
                <a:pPr>
                  <a:defRPr/>
                </a:pPr>
                <a:r>
                  <a:rPr lang="en-US"/>
                  <a:t>Packing Factor</a:t>
                </a:r>
              </a:p>
            </c:rich>
          </c:tx>
          <c:overlay val="0"/>
        </c:title>
        <c:numFmt formatCode="0.00" sourceLinked="1"/>
        <c:majorTickMark val="out"/>
        <c:minorTickMark val="none"/>
        <c:tickLblPos val="nextTo"/>
        <c:crossAx val="107719296"/>
        <c:crosses val="autoZero"/>
        <c:crossBetween val="midCat"/>
      </c:valAx>
      <c:valAx>
        <c:axId val="107719296"/>
        <c:scaling>
          <c:orientation val="minMax"/>
        </c:scaling>
        <c:delete val="0"/>
        <c:axPos val="l"/>
        <c:majorGridlines/>
        <c:title>
          <c:tx>
            <c:rich>
              <a:bodyPr rot="-5400000" vert="horz"/>
              <a:lstStyle/>
              <a:p>
                <a:pPr>
                  <a:defRPr/>
                </a:pPr>
                <a:r>
                  <a:rPr lang="en-US"/>
                  <a:t>Hectare/MW</a:t>
                </a:r>
              </a:p>
            </c:rich>
          </c:tx>
          <c:overlay val="0"/>
        </c:title>
        <c:numFmt formatCode="0.00" sourceLinked="1"/>
        <c:majorTickMark val="out"/>
        <c:minorTickMark val="none"/>
        <c:tickLblPos val="nextTo"/>
        <c:crossAx val="107717376"/>
        <c:crosses val="autoZero"/>
        <c:crossBetween val="midCat"/>
      </c:valAx>
    </c:plotArea>
    <c:legend>
      <c:legendPos val="r"/>
      <c:layout>
        <c:manualLayout>
          <c:xMode val="edge"/>
          <c:yMode val="edge"/>
          <c:x val="0.88382911951909815"/>
          <c:y val="0.13465348579672382"/>
          <c:w val="8.6646125783610778E-2"/>
          <c:h val="0.18252015192726601"/>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Packing Factor VS Latitude</a:t>
            </a:r>
          </a:p>
        </c:rich>
      </c:tx>
      <c:overlay val="0"/>
    </c:title>
    <c:autoTitleDeleted val="0"/>
    <c:plotArea>
      <c:layout/>
      <c:scatterChart>
        <c:scatterStyle val="lineMarker"/>
        <c:varyColors val="0"/>
        <c:ser>
          <c:idx val="0"/>
          <c:order val="0"/>
          <c:tx>
            <c:v>1 Axis</c:v>
          </c:tx>
          <c:spPr>
            <a:ln w="28575">
              <a:noFill/>
            </a:ln>
          </c:spPr>
          <c:xVal>
            <c:numRef>
              <c:f>(Data!$T$3:$T$57,Data!$T$178:$T$210)</c:f>
              <c:numCache>
                <c:formatCode>0.00</c:formatCode>
                <c:ptCount val="88"/>
                <c:pt idx="0">
                  <c:v>0.33333333333333337</c:v>
                </c:pt>
                <c:pt idx="1">
                  <c:v>0.38182151365218986</c:v>
                </c:pt>
                <c:pt idx="2">
                  <c:v>0.33467741935483869</c:v>
                </c:pt>
                <c:pt idx="3">
                  <c:v>0.39444444444444449</c:v>
                </c:pt>
                <c:pt idx="6">
                  <c:v>0.19500000000000001</c:v>
                </c:pt>
                <c:pt idx="7">
                  <c:v>0.20949999999999999</c:v>
                </c:pt>
                <c:pt idx="8">
                  <c:v>0.37963021289005539</c:v>
                </c:pt>
                <c:pt idx="10">
                  <c:v>0.34265793410404016</c:v>
                </c:pt>
                <c:pt idx="11" formatCode="General">
                  <c:v>0.23</c:v>
                </c:pt>
                <c:pt idx="12" formatCode="General">
                  <c:v>0.38575999999999999</c:v>
                </c:pt>
                <c:pt idx="13">
                  <c:v>0.32795698924731181</c:v>
                </c:pt>
                <c:pt idx="14">
                  <c:v>0.46391787390673017</c:v>
                </c:pt>
                <c:pt idx="17">
                  <c:v>0.33333333333333331</c:v>
                </c:pt>
                <c:pt idx="18">
                  <c:v>0.43749957817867674</c:v>
                </c:pt>
                <c:pt idx="19">
                  <c:v>0.315</c:v>
                </c:pt>
                <c:pt idx="20">
                  <c:v>0.47</c:v>
                </c:pt>
                <c:pt idx="22">
                  <c:v>0.32400000000000001</c:v>
                </c:pt>
                <c:pt idx="23">
                  <c:v>0.51</c:v>
                </c:pt>
                <c:pt idx="25">
                  <c:v>0.44827706048968663</c:v>
                </c:pt>
                <c:pt idx="31" formatCode="General">
                  <c:v>0.44768999999999998</c:v>
                </c:pt>
                <c:pt idx="32">
                  <c:v>0.45100000000000001</c:v>
                </c:pt>
                <c:pt idx="33">
                  <c:v>0.28499999999999998</c:v>
                </c:pt>
                <c:pt idx="35">
                  <c:v>0.38806340610368367</c:v>
                </c:pt>
                <c:pt idx="38">
                  <c:v>0.51359999999999995</c:v>
                </c:pt>
                <c:pt idx="40" formatCode="General">
                  <c:v>0.32450000000000001</c:v>
                </c:pt>
                <c:pt idx="41" formatCode="General">
                  <c:v>0.32679999999999998</c:v>
                </c:pt>
                <c:pt idx="42" formatCode="General">
                  <c:v>0.45944000000000002</c:v>
                </c:pt>
                <c:pt idx="47">
                  <c:v>0.20730499999999999</c:v>
                </c:pt>
                <c:pt idx="50" formatCode="General">
                  <c:v>0.35339999999999999</c:v>
                </c:pt>
                <c:pt idx="51" formatCode="General">
                  <c:v>0.50570000000000004</c:v>
                </c:pt>
                <c:pt idx="52" formatCode="General">
                  <c:v>0.34799999999999998</c:v>
                </c:pt>
                <c:pt idx="55">
                  <c:v>0.223</c:v>
                </c:pt>
                <c:pt idx="56" formatCode="General">
                  <c:v>0.28508600000000001</c:v>
                </c:pt>
                <c:pt idx="57" formatCode="General">
                  <c:v>0.33400000000000002</c:v>
                </c:pt>
                <c:pt idx="61">
                  <c:v>0.25222</c:v>
                </c:pt>
                <c:pt idx="71" formatCode="General">
                  <c:v>0.24359348049999999</c:v>
                </c:pt>
                <c:pt idx="74" formatCode="General">
                  <c:v>0.51100000000000001</c:v>
                </c:pt>
                <c:pt idx="76">
                  <c:v>0.33</c:v>
                </c:pt>
                <c:pt idx="77">
                  <c:v>0.48899999999999999</c:v>
                </c:pt>
                <c:pt idx="78">
                  <c:v>0.4264</c:v>
                </c:pt>
                <c:pt idx="80">
                  <c:v>0.47220000000000001</c:v>
                </c:pt>
                <c:pt idx="81">
                  <c:v>0.45341999999999999</c:v>
                </c:pt>
                <c:pt idx="85">
                  <c:v>0.44827706048968663</c:v>
                </c:pt>
              </c:numCache>
            </c:numRef>
          </c:xVal>
          <c:yVal>
            <c:numRef>
              <c:f>(Data!$W$3:$W$57,Data!$W$178:$W$210)</c:f>
              <c:numCache>
                <c:formatCode>General</c:formatCode>
                <c:ptCount val="88"/>
                <c:pt idx="0">
                  <c:v>37.460360999999999</c:v>
                </c:pt>
                <c:pt idx="1">
                  <c:v>39.821038000000001</c:v>
                </c:pt>
                <c:pt idx="2">
                  <c:v>39.531663999999999</c:v>
                </c:pt>
                <c:pt idx="3">
                  <c:v>39.744937999999998</c:v>
                </c:pt>
                <c:pt idx="4">
                  <c:v>32.29</c:v>
                </c:pt>
                <c:pt idx="5">
                  <c:v>36.353563999999999</c:v>
                </c:pt>
                <c:pt idx="6">
                  <c:v>33.926340000000003</c:v>
                </c:pt>
                <c:pt idx="7">
                  <c:v>33.964523</c:v>
                </c:pt>
                <c:pt idx="8">
                  <c:v>38.231990000000003</c:v>
                </c:pt>
                <c:pt idx="9">
                  <c:v>33.052171999999999</c:v>
                </c:pt>
                <c:pt idx="10">
                  <c:v>34.594321000000001</c:v>
                </c:pt>
                <c:pt idx="11">
                  <c:v>33.536287999999999</c:v>
                </c:pt>
                <c:pt idx="12">
                  <c:v>35.25421</c:v>
                </c:pt>
                <c:pt idx="13">
                  <c:v>33.563845999999998</c:v>
                </c:pt>
                <c:pt idx="14">
                  <c:v>39.909672999999998</c:v>
                </c:pt>
                <c:pt idx="15">
                  <c:v>35.629170000000002</c:v>
                </c:pt>
                <c:pt idx="16">
                  <c:v>37.633339999999997</c:v>
                </c:pt>
                <c:pt idx="17">
                  <c:v>34.288353999999998</c:v>
                </c:pt>
                <c:pt idx="18">
                  <c:v>39.525114000000002</c:v>
                </c:pt>
                <c:pt idx="19">
                  <c:v>40.592049000000003</c:v>
                </c:pt>
                <c:pt idx="20">
                  <c:v>39.838630000000002</c:v>
                </c:pt>
                <c:pt idx="21">
                  <c:v>37.031095999999998</c:v>
                </c:pt>
                <c:pt idx="22">
                  <c:v>35.813828999999998</c:v>
                </c:pt>
                <c:pt idx="23">
                  <c:v>34.677352999999997</c:v>
                </c:pt>
                <c:pt idx="24">
                  <c:v>34.852480999999997</c:v>
                </c:pt>
                <c:pt idx="25">
                  <c:v>40.292326000000003</c:v>
                </c:pt>
                <c:pt idx="26">
                  <c:v>40.168641999999998</c:v>
                </c:pt>
                <c:pt idx="27">
                  <c:v>40.353589999999997</c:v>
                </c:pt>
                <c:pt idx="28">
                  <c:v>21.325299999999999</c:v>
                </c:pt>
                <c:pt idx="29">
                  <c:v>40.336129999999997</c:v>
                </c:pt>
                <c:pt idx="30">
                  <c:v>28.488683999999999</c:v>
                </c:pt>
                <c:pt idx="31">
                  <c:v>36.424790000000002</c:v>
                </c:pt>
                <c:pt idx="32">
                  <c:v>38.608604999999997</c:v>
                </c:pt>
                <c:pt idx="33">
                  <c:v>38.956650000000003</c:v>
                </c:pt>
                <c:pt idx="34">
                  <c:v>40.300800000000002</c:v>
                </c:pt>
                <c:pt idx="35">
                  <c:v>37.688524000000001</c:v>
                </c:pt>
                <c:pt idx="36">
                  <c:v>33.885300000000001</c:v>
                </c:pt>
                <c:pt idx="37">
                  <c:v>41.395600000000002</c:v>
                </c:pt>
                <c:pt idx="38">
                  <c:v>41.674954999999997</c:v>
                </c:pt>
                <c:pt idx="39">
                  <c:v>35.177590000000002</c:v>
                </c:pt>
                <c:pt idx="40">
                  <c:v>32.195472717285199</c:v>
                </c:pt>
                <c:pt idx="41">
                  <c:v>32.341262817382798</c:v>
                </c:pt>
                <c:pt idx="42">
                  <c:v>38.464930000000003</c:v>
                </c:pt>
                <c:pt idx="43">
                  <c:v>34.690739999999998</c:v>
                </c:pt>
                <c:pt idx="44">
                  <c:v>39.184851000000002</c:v>
                </c:pt>
                <c:pt idx="45">
                  <c:v>35.684399999999997</c:v>
                </c:pt>
                <c:pt idx="46">
                  <c:v>39.605580000000003</c:v>
                </c:pt>
                <c:pt idx="47">
                  <c:v>36.256827000000001</c:v>
                </c:pt>
                <c:pt idx="48">
                  <c:v>33.517000000000003</c:v>
                </c:pt>
                <c:pt idx="49">
                  <c:v>32.841700000000003</c:v>
                </c:pt>
                <c:pt idx="50">
                  <c:v>38.347709999999999</c:v>
                </c:pt>
                <c:pt idx="51">
                  <c:v>38.365569999999998</c:v>
                </c:pt>
                <c:pt idx="52">
                  <c:v>35.749160000000003</c:v>
                </c:pt>
                <c:pt idx="53">
                  <c:v>35.484279999999998</c:v>
                </c:pt>
                <c:pt idx="54">
                  <c:v>33.031500000000001</c:v>
                </c:pt>
                <c:pt idx="55">
                  <c:v>37.688209999999998</c:v>
                </c:pt>
                <c:pt idx="56">
                  <c:v>33.159303000000001</c:v>
                </c:pt>
                <c:pt idx="57">
                  <c:v>31.80245</c:v>
                </c:pt>
                <c:pt idx="58">
                  <c:v>34.72484</c:v>
                </c:pt>
                <c:pt idx="59">
                  <c:v>32.369999999999997</c:v>
                </c:pt>
                <c:pt idx="60">
                  <c:v>37.736260000000001</c:v>
                </c:pt>
                <c:pt idx="61">
                  <c:v>27.316666666666698</c:v>
                </c:pt>
                <c:pt idx="62">
                  <c:v>32.371899999999997</c:v>
                </c:pt>
                <c:pt idx="64">
                  <c:v>37.119799999999998</c:v>
                </c:pt>
                <c:pt idx="65">
                  <c:v>32.664499999999997</c:v>
                </c:pt>
                <c:pt idx="67">
                  <c:v>34.7879</c:v>
                </c:pt>
                <c:pt idx="68">
                  <c:v>35.3074997663498</c:v>
                </c:pt>
                <c:pt idx="69">
                  <c:v>35.59751</c:v>
                </c:pt>
                <c:pt idx="70">
                  <c:v>33.2393</c:v>
                </c:pt>
                <c:pt idx="71">
                  <c:v>37.598750000000003</c:v>
                </c:pt>
                <c:pt idx="72">
                  <c:v>32.772010000000002</c:v>
                </c:pt>
                <c:pt idx="73">
                  <c:v>40.098574999999997</c:v>
                </c:pt>
                <c:pt idx="74">
                  <c:v>39.614260000000002</c:v>
                </c:pt>
                <c:pt idx="76">
                  <c:v>33.591261000000003</c:v>
                </c:pt>
                <c:pt idx="77">
                  <c:v>36.466596000000003</c:v>
                </c:pt>
                <c:pt idx="78">
                  <c:v>40.864069999999998</c:v>
                </c:pt>
                <c:pt idx="79">
                  <c:v>28.837299999999999</c:v>
                </c:pt>
                <c:pt idx="80">
                  <c:v>35.984084000000003</c:v>
                </c:pt>
                <c:pt idx="81">
                  <c:v>35.783332999999999</c:v>
                </c:pt>
                <c:pt idx="82">
                  <c:v>28.837299999999999</c:v>
                </c:pt>
                <c:pt idx="83">
                  <c:v>34.59751</c:v>
                </c:pt>
                <c:pt idx="84">
                  <c:v>32.965800000000002</c:v>
                </c:pt>
                <c:pt idx="85">
                  <c:v>33.812399999999997</c:v>
                </c:pt>
                <c:pt idx="86">
                  <c:v>35.365969911217697</c:v>
                </c:pt>
              </c:numCache>
            </c:numRef>
          </c:yVal>
          <c:smooth val="0"/>
        </c:ser>
        <c:ser>
          <c:idx val="1"/>
          <c:order val="1"/>
          <c:tx>
            <c:v>2 Axis</c:v>
          </c:tx>
          <c:spPr>
            <a:ln w="28575">
              <a:noFill/>
            </a:ln>
          </c:spPr>
          <c:xVal>
            <c:numRef>
              <c:f>(Data!$T$58:$T$65,Data!$T$194)</c:f>
              <c:numCache>
                <c:formatCode>General</c:formatCode>
                <c:ptCount val="9"/>
                <c:pt idx="0">
                  <c:v>0.23130000000000001</c:v>
                </c:pt>
                <c:pt idx="1">
                  <c:v>0.22</c:v>
                </c:pt>
                <c:pt idx="2">
                  <c:v>0.21</c:v>
                </c:pt>
                <c:pt idx="3">
                  <c:v>0.22450000000000001</c:v>
                </c:pt>
                <c:pt idx="4">
                  <c:v>0.133627</c:v>
                </c:pt>
                <c:pt idx="5">
                  <c:v>0.22</c:v>
                </c:pt>
                <c:pt idx="6">
                  <c:v>0.18</c:v>
                </c:pt>
                <c:pt idx="7">
                  <c:v>0.32200000000000001</c:v>
                </c:pt>
                <c:pt idx="8">
                  <c:v>0.24359348049999999</c:v>
                </c:pt>
              </c:numCache>
            </c:numRef>
          </c:xVal>
          <c:yVal>
            <c:numRef>
              <c:f>(Data!$W$58:$W$65,Data!$W$194)</c:f>
              <c:numCache>
                <c:formatCode>General</c:formatCode>
                <c:ptCount val="9"/>
                <c:pt idx="0">
                  <c:v>37.966814999999997</c:v>
                </c:pt>
                <c:pt idx="1">
                  <c:v>37.688524000000001</c:v>
                </c:pt>
                <c:pt idx="2">
                  <c:v>36.942748999999999</c:v>
                </c:pt>
                <c:pt idx="3">
                  <c:v>44.435600000000001</c:v>
                </c:pt>
                <c:pt idx="4">
                  <c:v>34.674278000000001</c:v>
                </c:pt>
                <c:pt idx="5">
                  <c:v>36.271884</c:v>
                </c:pt>
                <c:pt idx="6">
                  <c:v>36.706257000000001</c:v>
                </c:pt>
                <c:pt idx="7">
                  <c:v>32.627780000000001</c:v>
                </c:pt>
                <c:pt idx="8">
                  <c:v>37.598750000000003</c:v>
                </c:pt>
              </c:numCache>
            </c:numRef>
          </c:yVal>
          <c:smooth val="0"/>
        </c:ser>
        <c:ser>
          <c:idx val="2"/>
          <c:order val="2"/>
          <c:tx>
            <c:v>Fixed</c:v>
          </c:tx>
          <c:spPr>
            <a:ln w="28575">
              <a:noFill/>
            </a:ln>
          </c:spPr>
          <c:xVal>
            <c:numRef>
              <c:f>(Data!$T$66:$T$117,Data!$T$197:$T$208)</c:f>
              <c:numCache>
                <c:formatCode>General</c:formatCode>
                <c:ptCount val="64"/>
                <c:pt idx="0">
                  <c:v>0.35799999999999998</c:v>
                </c:pt>
                <c:pt idx="2">
                  <c:v>0.52</c:v>
                </c:pt>
                <c:pt idx="3">
                  <c:v>0.57999999999999996</c:v>
                </c:pt>
                <c:pt idx="4">
                  <c:v>0.44400000000000001</c:v>
                </c:pt>
                <c:pt idx="5">
                  <c:v>0.31</c:v>
                </c:pt>
                <c:pt idx="8">
                  <c:v>0.44827706048968663</c:v>
                </c:pt>
                <c:pt idx="12">
                  <c:v>0.41635</c:v>
                </c:pt>
                <c:pt idx="13">
                  <c:v>0.48630000000000001</c:v>
                </c:pt>
                <c:pt idx="14">
                  <c:v>0.59</c:v>
                </c:pt>
                <c:pt idx="18">
                  <c:v>0.43</c:v>
                </c:pt>
                <c:pt idx="20">
                  <c:v>0.62</c:v>
                </c:pt>
                <c:pt idx="21">
                  <c:v>0.56999999999999995</c:v>
                </c:pt>
                <c:pt idx="22">
                  <c:v>0.40860000000000002</c:v>
                </c:pt>
                <c:pt idx="23">
                  <c:v>0.63200000000000001</c:v>
                </c:pt>
                <c:pt idx="25">
                  <c:v>0.41320000000000001</c:v>
                </c:pt>
                <c:pt idx="26">
                  <c:v>0.4</c:v>
                </c:pt>
                <c:pt idx="27">
                  <c:v>0.462337</c:v>
                </c:pt>
                <c:pt idx="28">
                  <c:v>0.47499999999999998</c:v>
                </c:pt>
                <c:pt idx="30">
                  <c:v>0.60821000000000003</c:v>
                </c:pt>
                <c:pt idx="31">
                  <c:v>0.39328999999999997</c:v>
                </c:pt>
                <c:pt idx="34">
                  <c:v>0.9</c:v>
                </c:pt>
                <c:pt idx="35">
                  <c:v>0.60396000000000005</c:v>
                </c:pt>
                <c:pt idx="36">
                  <c:v>0.50600000000000001</c:v>
                </c:pt>
                <c:pt idx="37">
                  <c:v>0.92</c:v>
                </c:pt>
                <c:pt idx="39">
                  <c:v>0.5</c:v>
                </c:pt>
                <c:pt idx="41">
                  <c:v>0.61839999999999995</c:v>
                </c:pt>
                <c:pt idx="42">
                  <c:v>0.46</c:v>
                </c:pt>
                <c:pt idx="43">
                  <c:v>0.48530000000000001</c:v>
                </c:pt>
                <c:pt idx="45" formatCode="0.00">
                  <c:v>0.56999999999999995</c:v>
                </c:pt>
                <c:pt idx="46" formatCode="0.00">
                  <c:v>0.59</c:v>
                </c:pt>
                <c:pt idx="50">
                  <c:v>0.58758500000000002</c:v>
                </c:pt>
                <c:pt idx="51">
                  <c:v>0.52844999999999998</c:v>
                </c:pt>
                <c:pt idx="52">
                  <c:v>0.51100000000000001</c:v>
                </c:pt>
                <c:pt idx="54" formatCode="0.00">
                  <c:v>0.33</c:v>
                </c:pt>
                <c:pt idx="55" formatCode="0.00">
                  <c:v>0.48899999999999999</c:v>
                </c:pt>
                <c:pt idx="56" formatCode="0.00">
                  <c:v>0.4264</c:v>
                </c:pt>
                <c:pt idx="58" formatCode="0.00">
                  <c:v>0.47220000000000001</c:v>
                </c:pt>
                <c:pt idx="59" formatCode="0.00">
                  <c:v>0.45341999999999999</c:v>
                </c:pt>
                <c:pt idx="63" formatCode="0.00">
                  <c:v>0.44827706048968663</c:v>
                </c:pt>
              </c:numCache>
            </c:numRef>
          </c:xVal>
          <c:yVal>
            <c:numRef>
              <c:f>(Data!$W$66:$W$117,Data!$W$197:$W$208)</c:f>
              <c:numCache>
                <c:formatCode>General</c:formatCode>
                <c:ptCount val="64"/>
                <c:pt idx="0">
                  <c:v>37.688524000000001</c:v>
                </c:pt>
                <c:pt idx="1">
                  <c:v>34.842637000000003</c:v>
                </c:pt>
                <c:pt idx="2">
                  <c:v>39.724755999999999</c:v>
                </c:pt>
                <c:pt idx="3">
                  <c:v>28.516894000000001</c:v>
                </c:pt>
                <c:pt idx="4">
                  <c:v>39.600969999999997</c:v>
                </c:pt>
                <c:pt idx="5">
                  <c:v>39.700001999999998</c:v>
                </c:pt>
                <c:pt idx="6">
                  <c:v>21.316091</c:v>
                </c:pt>
                <c:pt idx="7">
                  <c:v>45.113630000000001</c:v>
                </c:pt>
                <c:pt idx="8">
                  <c:v>33.564914000000002</c:v>
                </c:pt>
                <c:pt idx="9">
                  <c:v>38.312379</c:v>
                </c:pt>
                <c:pt idx="10">
                  <c:v>38.991762999999999</c:v>
                </c:pt>
                <c:pt idx="11">
                  <c:v>36.477252999999997</c:v>
                </c:pt>
                <c:pt idx="12">
                  <c:v>38.449382999999997</c:v>
                </c:pt>
                <c:pt idx="13">
                  <c:v>34.238880000000002</c:v>
                </c:pt>
                <c:pt idx="14">
                  <c:v>40.592049000000003</c:v>
                </c:pt>
                <c:pt idx="15">
                  <c:v>40.168640000000003</c:v>
                </c:pt>
                <c:pt idx="16">
                  <c:v>35.720629000000002</c:v>
                </c:pt>
                <c:pt idx="17">
                  <c:v>33.234802000000002</c:v>
                </c:pt>
                <c:pt idx="18">
                  <c:v>39.900089999999999</c:v>
                </c:pt>
                <c:pt idx="19">
                  <c:v>45.110570000000003</c:v>
                </c:pt>
                <c:pt idx="20">
                  <c:v>42.452694000000001</c:v>
                </c:pt>
                <c:pt idx="21">
                  <c:v>38.722852000000003</c:v>
                </c:pt>
                <c:pt idx="22">
                  <c:v>42.114750000000001</c:v>
                </c:pt>
                <c:pt idx="23">
                  <c:v>35.170215606689503</c:v>
                </c:pt>
                <c:pt idx="24">
                  <c:v>40.494008000000001</c:v>
                </c:pt>
                <c:pt idx="25">
                  <c:v>38.411070000000002</c:v>
                </c:pt>
                <c:pt idx="26">
                  <c:v>40.860551999999998</c:v>
                </c:pt>
                <c:pt idx="27">
                  <c:v>41.061152</c:v>
                </c:pt>
                <c:pt idx="28">
                  <c:v>40.148798999999997</c:v>
                </c:pt>
                <c:pt idx="29">
                  <c:v>40.751061</c:v>
                </c:pt>
                <c:pt idx="30">
                  <c:v>39.464311000000002</c:v>
                </c:pt>
                <c:pt idx="31">
                  <c:v>39.902560000000001</c:v>
                </c:pt>
                <c:pt idx="32">
                  <c:v>42.189540000000001</c:v>
                </c:pt>
                <c:pt idx="33">
                  <c:v>35.409700000000001</c:v>
                </c:pt>
                <c:pt idx="34">
                  <c:v>37.749599456787102</c:v>
                </c:pt>
                <c:pt idx="35">
                  <c:v>32.166899889707601</c:v>
                </c:pt>
                <c:pt idx="36">
                  <c:v>36.759613000000002</c:v>
                </c:pt>
                <c:pt idx="37">
                  <c:v>42.145809999999997</c:v>
                </c:pt>
                <c:pt idx="38">
                  <c:v>34.297060999999999</c:v>
                </c:pt>
                <c:pt idx="39">
                  <c:v>36.028709999999997</c:v>
                </c:pt>
                <c:pt idx="40">
                  <c:v>39.69556</c:v>
                </c:pt>
                <c:pt idx="41">
                  <c:v>28.48742</c:v>
                </c:pt>
                <c:pt idx="42">
                  <c:v>35.788820000000001</c:v>
                </c:pt>
                <c:pt idx="43">
                  <c:v>40.879255999999998</c:v>
                </c:pt>
                <c:pt idx="44">
                  <c:v>39.380499999999998</c:v>
                </c:pt>
                <c:pt idx="45">
                  <c:v>30.320170000000001</c:v>
                </c:pt>
                <c:pt idx="46">
                  <c:v>29.300809999999998</c:v>
                </c:pt>
                <c:pt idx="47">
                  <c:v>39.677639999999997</c:v>
                </c:pt>
                <c:pt idx="48">
                  <c:v>40.120260000000002</c:v>
                </c:pt>
                <c:pt idx="49">
                  <c:v>33.031500000000001</c:v>
                </c:pt>
                <c:pt idx="50">
                  <c:v>38.365569999999998</c:v>
                </c:pt>
                <c:pt idx="51">
                  <c:v>42.610520000000001</c:v>
                </c:pt>
                <c:pt idx="52">
                  <c:v>39.614260000000002</c:v>
                </c:pt>
                <c:pt idx="54">
                  <c:v>33.591261000000003</c:v>
                </c:pt>
                <c:pt idx="55">
                  <c:v>36.466596000000003</c:v>
                </c:pt>
                <c:pt idx="56">
                  <c:v>40.864069999999998</c:v>
                </c:pt>
                <c:pt idx="57">
                  <c:v>28.837299999999999</c:v>
                </c:pt>
                <c:pt idx="58">
                  <c:v>35.984084000000003</c:v>
                </c:pt>
                <c:pt idx="59">
                  <c:v>35.783332999999999</c:v>
                </c:pt>
                <c:pt idx="60">
                  <c:v>28.837299999999999</c:v>
                </c:pt>
                <c:pt idx="61">
                  <c:v>34.59751</c:v>
                </c:pt>
                <c:pt idx="62">
                  <c:v>32.965800000000002</c:v>
                </c:pt>
                <c:pt idx="63">
                  <c:v>33.812399999999997</c:v>
                </c:pt>
              </c:numCache>
            </c:numRef>
          </c:yVal>
          <c:smooth val="0"/>
        </c:ser>
        <c:dLbls>
          <c:showLegendKey val="0"/>
          <c:showVal val="0"/>
          <c:showCatName val="0"/>
          <c:showSerName val="0"/>
          <c:showPercent val="0"/>
          <c:showBubbleSize val="0"/>
        </c:dLbls>
        <c:axId val="107775488"/>
        <c:axId val="107777408"/>
      </c:scatterChart>
      <c:valAx>
        <c:axId val="107775488"/>
        <c:scaling>
          <c:orientation val="minMax"/>
        </c:scaling>
        <c:delete val="0"/>
        <c:axPos val="b"/>
        <c:title>
          <c:tx>
            <c:rich>
              <a:bodyPr/>
              <a:lstStyle/>
              <a:p>
                <a:pPr>
                  <a:defRPr/>
                </a:pPr>
                <a:r>
                  <a:rPr lang="en-US"/>
                  <a:t>Packing Factor</a:t>
                </a:r>
              </a:p>
            </c:rich>
          </c:tx>
          <c:overlay val="0"/>
        </c:title>
        <c:numFmt formatCode="0.00" sourceLinked="1"/>
        <c:majorTickMark val="out"/>
        <c:minorTickMark val="none"/>
        <c:tickLblPos val="nextTo"/>
        <c:crossAx val="107777408"/>
        <c:crosses val="autoZero"/>
        <c:crossBetween val="midCat"/>
      </c:valAx>
      <c:valAx>
        <c:axId val="107777408"/>
        <c:scaling>
          <c:orientation val="minMax"/>
          <c:max val="45"/>
          <c:min val="25"/>
        </c:scaling>
        <c:delete val="0"/>
        <c:axPos val="l"/>
        <c:majorGridlines/>
        <c:title>
          <c:tx>
            <c:rich>
              <a:bodyPr rot="-5400000" vert="horz"/>
              <a:lstStyle/>
              <a:p>
                <a:pPr>
                  <a:defRPr/>
                </a:pPr>
                <a:r>
                  <a:rPr lang="en-US"/>
                  <a:t>Latitude (Degrees)</a:t>
                </a:r>
              </a:p>
            </c:rich>
          </c:tx>
          <c:overlay val="0"/>
        </c:title>
        <c:numFmt formatCode="General" sourceLinked="1"/>
        <c:majorTickMark val="out"/>
        <c:minorTickMark val="none"/>
        <c:tickLblPos val="nextTo"/>
        <c:crossAx val="107775488"/>
        <c:crosses val="autoZero"/>
        <c:crossBetween val="midCat"/>
      </c:valAx>
    </c:plotArea>
    <c:legend>
      <c:legendPos val="r"/>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Latitude VS Land Use</a:t>
            </a:r>
          </a:p>
        </c:rich>
      </c:tx>
      <c:overlay val="0"/>
    </c:title>
    <c:autoTitleDeleted val="0"/>
    <c:plotArea>
      <c:layout>
        <c:manualLayout>
          <c:layoutTarget val="inner"/>
          <c:xMode val="edge"/>
          <c:yMode val="edge"/>
          <c:x val="7.2792650918635862E-2"/>
          <c:y val="0.22676529070229995"/>
          <c:w val="0.72758245844269454"/>
          <c:h val="0.67998197195047905"/>
        </c:manualLayout>
      </c:layout>
      <c:scatterChart>
        <c:scatterStyle val="lineMarker"/>
        <c:varyColors val="0"/>
        <c:ser>
          <c:idx val="0"/>
          <c:order val="0"/>
          <c:spPr>
            <a:ln w="28575">
              <a:noFill/>
            </a:ln>
          </c:spPr>
          <c:xVal>
            <c:numRef>
              <c:f>Data!$W$3:$W$128</c:f>
              <c:numCache>
                <c:formatCode>General</c:formatCode>
                <c:ptCount val="126"/>
                <c:pt idx="0">
                  <c:v>37.460360999999999</c:v>
                </c:pt>
                <c:pt idx="1">
                  <c:v>39.821038000000001</c:v>
                </c:pt>
                <c:pt idx="2">
                  <c:v>39.531663999999999</c:v>
                </c:pt>
                <c:pt idx="3">
                  <c:v>39.744937999999998</c:v>
                </c:pt>
                <c:pt idx="4">
                  <c:v>32.29</c:v>
                </c:pt>
                <c:pt idx="5">
                  <c:v>36.353563999999999</c:v>
                </c:pt>
                <c:pt idx="6">
                  <c:v>33.926340000000003</c:v>
                </c:pt>
                <c:pt idx="7">
                  <c:v>33.964523</c:v>
                </c:pt>
                <c:pt idx="8">
                  <c:v>38.231990000000003</c:v>
                </c:pt>
                <c:pt idx="9">
                  <c:v>33.052171999999999</c:v>
                </c:pt>
                <c:pt idx="10">
                  <c:v>34.594321000000001</c:v>
                </c:pt>
                <c:pt idx="11">
                  <c:v>33.536287999999999</c:v>
                </c:pt>
                <c:pt idx="12">
                  <c:v>35.25421</c:v>
                </c:pt>
                <c:pt idx="13">
                  <c:v>33.563845999999998</c:v>
                </c:pt>
                <c:pt idx="14">
                  <c:v>39.909672999999998</c:v>
                </c:pt>
                <c:pt idx="15">
                  <c:v>35.629170000000002</c:v>
                </c:pt>
                <c:pt idx="16">
                  <c:v>37.633339999999997</c:v>
                </c:pt>
                <c:pt idx="17">
                  <c:v>34.288353999999998</c:v>
                </c:pt>
                <c:pt idx="18">
                  <c:v>39.525114000000002</c:v>
                </c:pt>
                <c:pt idx="19">
                  <c:v>40.592049000000003</c:v>
                </c:pt>
                <c:pt idx="20">
                  <c:v>39.838630000000002</c:v>
                </c:pt>
                <c:pt idx="21">
                  <c:v>37.031095999999998</c:v>
                </c:pt>
                <c:pt idx="22">
                  <c:v>35.813828999999998</c:v>
                </c:pt>
                <c:pt idx="23">
                  <c:v>34.677352999999997</c:v>
                </c:pt>
                <c:pt idx="24">
                  <c:v>34.852480999999997</c:v>
                </c:pt>
                <c:pt idx="25">
                  <c:v>40.292326000000003</c:v>
                </c:pt>
                <c:pt idx="26">
                  <c:v>40.168641999999998</c:v>
                </c:pt>
                <c:pt idx="27">
                  <c:v>40.353589999999997</c:v>
                </c:pt>
                <c:pt idx="28">
                  <c:v>21.325299999999999</c:v>
                </c:pt>
                <c:pt idx="29">
                  <c:v>40.336129999999997</c:v>
                </c:pt>
                <c:pt idx="30">
                  <c:v>28.488683999999999</c:v>
                </c:pt>
                <c:pt idx="31">
                  <c:v>36.424790000000002</c:v>
                </c:pt>
                <c:pt idx="32">
                  <c:v>38.608604999999997</c:v>
                </c:pt>
                <c:pt idx="33">
                  <c:v>38.956650000000003</c:v>
                </c:pt>
                <c:pt idx="34">
                  <c:v>40.300800000000002</c:v>
                </c:pt>
                <c:pt idx="35">
                  <c:v>37.688524000000001</c:v>
                </c:pt>
                <c:pt idx="36">
                  <c:v>33.885300000000001</c:v>
                </c:pt>
                <c:pt idx="37">
                  <c:v>41.395600000000002</c:v>
                </c:pt>
                <c:pt idx="38">
                  <c:v>41.674954999999997</c:v>
                </c:pt>
                <c:pt idx="39">
                  <c:v>35.177590000000002</c:v>
                </c:pt>
                <c:pt idx="40">
                  <c:v>32.195472717285199</c:v>
                </c:pt>
                <c:pt idx="41">
                  <c:v>32.341262817382798</c:v>
                </c:pt>
                <c:pt idx="42">
                  <c:v>38.464930000000003</c:v>
                </c:pt>
                <c:pt idx="43">
                  <c:v>34.690739999999998</c:v>
                </c:pt>
                <c:pt idx="44">
                  <c:v>39.184851000000002</c:v>
                </c:pt>
                <c:pt idx="45">
                  <c:v>35.684399999999997</c:v>
                </c:pt>
                <c:pt idx="46">
                  <c:v>39.605580000000003</c:v>
                </c:pt>
                <c:pt idx="47">
                  <c:v>36.256827000000001</c:v>
                </c:pt>
                <c:pt idx="48">
                  <c:v>33.517000000000003</c:v>
                </c:pt>
                <c:pt idx="49">
                  <c:v>32.841700000000003</c:v>
                </c:pt>
                <c:pt idx="50">
                  <c:v>38.347709999999999</c:v>
                </c:pt>
                <c:pt idx="51">
                  <c:v>38.365569999999998</c:v>
                </c:pt>
                <c:pt idx="52">
                  <c:v>35.749160000000003</c:v>
                </c:pt>
                <c:pt idx="53">
                  <c:v>35.484279999999998</c:v>
                </c:pt>
                <c:pt idx="54">
                  <c:v>33.031500000000001</c:v>
                </c:pt>
                <c:pt idx="55">
                  <c:v>37.966814999999997</c:v>
                </c:pt>
                <c:pt idx="56">
                  <c:v>37.688524000000001</c:v>
                </c:pt>
                <c:pt idx="57">
                  <c:v>36.942748999999999</c:v>
                </c:pt>
                <c:pt idx="58">
                  <c:v>44.435600000000001</c:v>
                </c:pt>
                <c:pt idx="59">
                  <c:v>34.674278000000001</c:v>
                </c:pt>
                <c:pt idx="60">
                  <c:v>36.271884</c:v>
                </c:pt>
                <c:pt idx="61">
                  <c:v>36.706257000000001</c:v>
                </c:pt>
                <c:pt idx="62">
                  <c:v>32.627780000000001</c:v>
                </c:pt>
                <c:pt idx="63">
                  <c:v>37.688524000000001</c:v>
                </c:pt>
                <c:pt idx="64">
                  <c:v>34.842637000000003</c:v>
                </c:pt>
                <c:pt idx="65">
                  <c:v>39.724755999999999</c:v>
                </c:pt>
                <c:pt idx="66">
                  <c:v>28.516894000000001</c:v>
                </c:pt>
                <c:pt idx="67">
                  <c:v>39.600969999999997</c:v>
                </c:pt>
                <c:pt idx="68">
                  <c:v>39.700001999999998</c:v>
                </c:pt>
                <c:pt idx="69">
                  <c:v>21.316091</c:v>
                </c:pt>
                <c:pt idx="70">
                  <c:v>45.113630000000001</c:v>
                </c:pt>
                <c:pt idx="71">
                  <c:v>33.564914000000002</c:v>
                </c:pt>
                <c:pt idx="72">
                  <c:v>38.312379</c:v>
                </c:pt>
                <c:pt idx="73">
                  <c:v>38.991762999999999</c:v>
                </c:pt>
                <c:pt idx="74">
                  <c:v>36.477252999999997</c:v>
                </c:pt>
                <c:pt idx="75">
                  <c:v>38.449382999999997</c:v>
                </c:pt>
                <c:pt idx="76">
                  <c:v>34.238880000000002</c:v>
                </c:pt>
                <c:pt idx="77">
                  <c:v>40.592049000000003</c:v>
                </c:pt>
                <c:pt idx="78">
                  <c:v>40.168640000000003</c:v>
                </c:pt>
                <c:pt idx="79">
                  <c:v>35.720629000000002</c:v>
                </c:pt>
                <c:pt idx="80">
                  <c:v>33.234802000000002</c:v>
                </c:pt>
                <c:pt idx="81">
                  <c:v>39.900089999999999</c:v>
                </c:pt>
                <c:pt idx="82">
                  <c:v>45.110570000000003</c:v>
                </c:pt>
                <c:pt idx="83">
                  <c:v>42.452694000000001</c:v>
                </c:pt>
                <c:pt idx="84">
                  <c:v>38.722852000000003</c:v>
                </c:pt>
                <c:pt idx="85">
                  <c:v>42.114750000000001</c:v>
                </c:pt>
                <c:pt idx="86">
                  <c:v>35.170215606689503</c:v>
                </c:pt>
                <c:pt idx="87">
                  <c:v>40.494008000000001</c:v>
                </c:pt>
                <c:pt idx="88">
                  <c:v>38.411070000000002</c:v>
                </c:pt>
                <c:pt idx="89">
                  <c:v>40.860551999999998</c:v>
                </c:pt>
                <c:pt idx="90">
                  <c:v>41.061152</c:v>
                </c:pt>
                <c:pt idx="91">
                  <c:v>40.148798999999997</c:v>
                </c:pt>
                <c:pt idx="92">
                  <c:v>40.751061</c:v>
                </c:pt>
                <c:pt idx="93">
                  <c:v>39.464311000000002</c:v>
                </c:pt>
                <c:pt idx="94">
                  <c:v>39.902560000000001</c:v>
                </c:pt>
                <c:pt idx="95">
                  <c:v>42.189540000000001</c:v>
                </c:pt>
                <c:pt idx="96">
                  <c:v>35.409700000000001</c:v>
                </c:pt>
                <c:pt idx="97">
                  <c:v>37.749599456787102</c:v>
                </c:pt>
                <c:pt idx="98">
                  <c:v>32.166899889707601</c:v>
                </c:pt>
                <c:pt idx="99">
                  <c:v>36.759613000000002</c:v>
                </c:pt>
                <c:pt idx="100">
                  <c:v>42.145809999999997</c:v>
                </c:pt>
                <c:pt idx="101">
                  <c:v>34.297060999999999</c:v>
                </c:pt>
                <c:pt idx="102">
                  <c:v>36.028709999999997</c:v>
                </c:pt>
                <c:pt idx="103">
                  <c:v>39.69556</c:v>
                </c:pt>
                <c:pt idx="104">
                  <c:v>28.48742</c:v>
                </c:pt>
                <c:pt idx="105">
                  <c:v>35.788820000000001</c:v>
                </c:pt>
                <c:pt idx="106">
                  <c:v>40.879255999999998</c:v>
                </c:pt>
                <c:pt idx="107">
                  <c:v>39.380499999999998</c:v>
                </c:pt>
                <c:pt idx="108">
                  <c:v>30.320170000000001</c:v>
                </c:pt>
                <c:pt idx="109">
                  <c:v>29.300809999999998</c:v>
                </c:pt>
                <c:pt idx="110">
                  <c:v>39.677639999999997</c:v>
                </c:pt>
                <c:pt idx="111">
                  <c:v>40.120260000000002</c:v>
                </c:pt>
                <c:pt idx="112">
                  <c:v>33.031500000000001</c:v>
                </c:pt>
                <c:pt idx="113">
                  <c:v>38.365569999999998</c:v>
                </c:pt>
                <c:pt idx="114">
                  <c:v>42.610520000000001</c:v>
                </c:pt>
                <c:pt idx="115">
                  <c:v>42.152920000000002</c:v>
                </c:pt>
                <c:pt idx="117">
                  <c:v>42.144219999999997</c:v>
                </c:pt>
                <c:pt idx="118">
                  <c:v>35.199890000000003</c:v>
                </c:pt>
                <c:pt idx="120">
                  <c:v>32.865855000000003</c:v>
                </c:pt>
                <c:pt idx="121">
                  <c:v>28.768840000000001</c:v>
                </c:pt>
                <c:pt idx="122">
                  <c:v>40.26643</c:v>
                </c:pt>
                <c:pt idx="123">
                  <c:v>34.7119</c:v>
                </c:pt>
                <c:pt idx="124">
                  <c:v>34.935099999999998</c:v>
                </c:pt>
                <c:pt idx="125">
                  <c:v>41.150500000000001</c:v>
                </c:pt>
              </c:numCache>
            </c:numRef>
          </c:xVal>
          <c:yVal>
            <c:numRef>
              <c:f>Data!$R$3:$R$128</c:f>
              <c:numCache>
                <c:formatCode>0.00</c:formatCode>
                <c:ptCount val="126"/>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pt idx="55">
                  <c:v>6.8340236657699132</c:v>
                </c:pt>
                <c:pt idx="56">
                  <c:v>7.0097761276815929</c:v>
                </c:pt>
                <c:pt idx="57">
                  <c:v>9.1205598007949913</c:v>
                </c:pt>
                <c:pt idx="58">
                  <c:v>11.745254232357103</c:v>
                </c:pt>
                <c:pt idx="59">
                  <c:v>5.7719535084726346</c:v>
                </c:pt>
                <c:pt idx="60">
                  <c:v>7.6282453467075744</c:v>
                </c:pt>
                <c:pt idx="61">
                  <c:v>10.7</c:v>
                </c:pt>
                <c:pt idx="62">
                  <c:v>6.0079365079365079</c:v>
                </c:pt>
                <c:pt idx="63">
                  <c:v>6.046848387291849</c:v>
                </c:pt>
                <c:pt idx="65">
                  <c:v>5.0477857046708845</c:v>
                </c:pt>
                <c:pt idx="66">
                  <c:v>2.7777777777777777</c:v>
                </c:pt>
                <c:pt idx="67">
                  <c:v>7.6664477625749097</c:v>
                </c:pt>
                <c:pt idx="68">
                  <c:v>3.3557869235306015</c:v>
                </c:pt>
                <c:pt idx="69">
                  <c:v>2.6874734260478124</c:v>
                </c:pt>
                <c:pt idx="71">
                  <c:v>4.1513487132919158</c:v>
                </c:pt>
                <c:pt idx="72">
                  <c:v>3.4256991511041552</c:v>
                </c:pt>
                <c:pt idx="73">
                  <c:v>5.5386703875051984</c:v>
                </c:pt>
                <c:pt idx="75">
                  <c:v>6.4833803362611224</c:v>
                </c:pt>
                <c:pt idx="76">
                  <c:v>5.4586774124045414</c:v>
                </c:pt>
                <c:pt idx="77">
                  <c:v>4.235409859546956</c:v>
                </c:pt>
                <c:pt idx="78">
                  <c:v>4.0656649265851517</c:v>
                </c:pt>
                <c:pt idx="80">
                  <c:v>3.987166666666667</c:v>
                </c:pt>
                <c:pt idx="81">
                  <c:v>5.2119565656084648</c:v>
                </c:pt>
                <c:pt idx="83">
                  <c:v>3.9362473643575164</c:v>
                </c:pt>
                <c:pt idx="84">
                  <c:v>6.2837110143110504</c:v>
                </c:pt>
                <c:pt idx="85">
                  <c:v>4.6981016929428421</c:v>
                </c:pt>
                <c:pt idx="86">
                  <c:v>6.3835456752860864</c:v>
                </c:pt>
                <c:pt idx="87">
                  <c:v>3.1879975773540714</c:v>
                </c:pt>
                <c:pt idx="88">
                  <c:v>4.42</c:v>
                </c:pt>
                <c:pt idx="89">
                  <c:v>5.5117015820979933</c:v>
                </c:pt>
                <c:pt idx="90">
                  <c:v>5.9509288110609333</c:v>
                </c:pt>
                <c:pt idx="91">
                  <c:v>4.3065932185309386</c:v>
                </c:pt>
                <c:pt idx="93">
                  <c:v>4.29704423135016</c:v>
                </c:pt>
                <c:pt idx="94">
                  <c:v>6.1128709527494927</c:v>
                </c:pt>
                <c:pt idx="96">
                  <c:v>5.3793264384195538</c:v>
                </c:pt>
                <c:pt idx="97">
                  <c:v>3.0537661004128474</c:v>
                </c:pt>
                <c:pt idx="98">
                  <c:v>8.0055652847746028</c:v>
                </c:pt>
                <c:pt idx="99">
                  <c:v>7.5</c:v>
                </c:pt>
                <c:pt idx="100">
                  <c:v>2.2320000000000002</c:v>
                </c:pt>
                <c:pt idx="101">
                  <c:v>6.9853493613824194</c:v>
                </c:pt>
                <c:pt idx="102">
                  <c:v>4.6335444445025811</c:v>
                </c:pt>
                <c:pt idx="104">
                  <c:v>3</c:v>
                </c:pt>
                <c:pt idx="105">
                  <c:v>7</c:v>
                </c:pt>
                <c:pt idx="106">
                  <c:v>6.1909999999999998</c:v>
                </c:pt>
                <c:pt idx="107">
                  <c:v>7.8</c:v>
                </c:pt>
                <c:pt idx="108">
                  <c:v>5.5873015873015879</c:v>
                </c:pt>
                <c:pt idx="109">
                  <c:v>5.9428571428571431</c:v>
                </c:pt>
                <c:pt idx="110">
                  <c:v>6.075131499495054</c:v>
                </c:pt>
                <c:pt idx="111">
                  <c:v>4.9741151674032347</c:v>
                </c:pt>
                <c:pt idx="113">
                  <c:v>5.559444444444444</c:v>
                </c:pt>
                <c:pt idx="114">
                  <c:v>4.6393754217810566</c:v>
                </c:pt>
                <c:pt idx="117">
                  <c:v>11.185956411768672</c:v>
                </c:pt>
              </c:numCache>
            </c:numRef>
          </c:yVal>
          <c:smooth val="0"/>
        </c:ser>
        <c:dLbls>
          <c:showLegendKey val="0"/>
          <c:showVal val="0"/>
          <c:showCatName val="0"/>
          <c:showSerName val="0"/>
          <c:showPercent val="0"/>
          <c:showBubbleSize val="0"/>
        </c:dLbls>
        <c:axId val="107794432"/>
        <c:axId val="107795968"/>
      </c:scatterChart>
      <c:valAx>
        <c:axId val="107794432"/>
        <c:scaling>
          <c:orientation val="minMax"/>
          <c:max val="46"/>
          <c:min val="20"/>
        </c:scaling>
        <c:delete val="0"/>
        <c:axPos val="b"/>
        <c:numFmt formatCode="General" sourceLinked="1"/>
        <c:majorTickMark val="out"/>
        <c:minorTickMark val="none"/>
        <c:tickLblPos val="nextTo"/>
        <c:crossAx val="107795968"/>
        <c:crosses val="autoZero"/>
        <c:crossBetween val="midCat"/>
      </c:valAx>
      <c:valAx>
        <c:axId val="107795968"/>
        <c:scaling>
          <c:orientation val="minMax"/>
        </c:scaling>
        <c:delete val="0"/>
        <c:axPos val="l"/>
        <c:majorGridlines/>
        <c:numFmt formatCode="0.00" sourceLinked="1"/>
        <c:majorTickMark val="out"/>
        <c:minorTickMark val="none"/>
        <c:tickLblPos val="nextTo"/>
        <c:crossAx val="107794432"/>
        <c:crosses val="autoZero"/>
        <c:crossBetween val="midCat"/>
      </c:valAx>
    </c:plotArea>
    <c:legend>
      <c:legendPos val="r"/>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Longitude</a:t>
            </a:r>
            <a:r>
              <a:rPr lang="en-US" baseline="0"/>
              <a:t> </a:t>
            </a:r>
            <a:r>
              <a:rPr lang="en-US"/>
              <a:t>VS Land Use</a:t>
            </a:r>
          </a:p>
        </c:rich>
      </c:tx>
      <c:overlay val="0"/>
    </c:title>
    <c:autoTitleDeleted val="0"/>
    <c:plotArea>
      <c:layout>
        <c:manualLayout>
          <c:layoutTarget val="inner"/>
          <c:xMode val="edge"/>
          <c:yMode val="edge"/>
          <c:x val="0.1150148731408574"/>
          <c:y val="0.2267652907023"/>
          <c:w val="0.68536027996500437"/>
          <c:h val="0.66651395848246242"/>
        </c:manualLayout>
      </c:layout>
      <c:scatterChart>
        <c:scatterStyle val="lineMarker"/>
        <c:varyColors val="0"/>
        <c:ser>
          <c:idx val="0"/>
          <c:order val="0"/>
          <c:spPr>
            <a:ln w="28575">
              <a:noFill/>
            </a:ln>
          </c:spPr>
          <c:xVal>
            <c:numRef>
              <c:f>Data!$X$3:$X$128</c:f>
              <c:numCache>
                <c:formatCode>General</c:formatCode>
                <c:ptCount val="126"/>
                <c:pt idx="0">
                  <c:v>-105.852617</c:v>
                </c:pt>
                <c:pt idx="1">
                  <c:v>-105.22041</c:v>
                </c:pt>
                <c:pt idx="2">
                  <c:v>-107.757302</c:v>
                </c:pt>
                <c:pt idx="3">
                  <c:v>-105.176754</c:v>
                </c:pt>
                <c:pt idx="4">
                  <c:v>-111.03294</c:v>
                </c:pt>
                <c:pt idx="5">
                  <c:v>-119.400734</c:v>
                </c:pt>
                <c:pt idx="6">
                  <c:v>-117.60604600000001</c:v>
                </c:pt>
                <c:pt idx="7">
                  <c:v>-117.674453</c:v>
                </c:pt>
                <c:pt idx="8">
                  <c:v>-122.092904</c:v>
                </c:pt>
                <c:pt idx="9">
                  <c:v>-111.489773</c:v>
                </c:pt>
                <c:pt idx="10">
                  <c:v>-117.19450999999999</c:v>
                </c:pt>
                <c:pt idx="11">
                  <c:v>-117.193406</c:v>
                </c:pt>
                <c:pt idx="12">
                  <c:v>-81.595889999999997</c:v>
                </c:pt>
                <c:pt idx="13">
                  <c:v>-114.918655</c:v>
                </c:pt>
                <c:pt idx="14">
                  <c:v>-105.231408</c:v>
                </c:pt>
                <c:pt idx="15">
                  <c:v>-106.08602999999999</c:v>
                </c:pt>
                <c:pt idx="16">
                  <c:v>-122.139881</c:v>
                </c:pt>
                <c:pt idx="17">
                  <c:v>-77.981172000000001</c:v>
                </c:pt>
                <c:pt idx="18">
                  <c:v>-107.814288</c:v>
                </c:pt>
                <c:pt idx="19">
                  <c:v>-105.14837</c:v>
                </c:pt>
                <c:pt idx="20">
                  <c:v>-104.67359</c:v>
                </c:pt>
                <c:pt idx="21">
                  <c:v>-86.333764000000002</c:v>
                </c:pt>
                <c:pt idx="22">
                  <c:v>-78.750386000000006</c:v>
                </c:pt>
                <c:pt idx="23">
                  <c:v>-112.405838</c:v>
                </c:pt>
                <c:pt idx="24">
                  <c:v>-116.68293</c:v>
                </c:pt>
                <c:pt idx="25">
                  <c:v>-74.855862000000002</c:v>
                </c:pt>
                <c:pt idx="26">
                  <c:v>-74.657978999999997</c:v>
                </c:pt>
                <c:pt idx="27">
                  <c:v>-74.185940000000002</c:v>
                </c:pt>
                <c:pt idx="28">
                  <c:v>-158.0873</c:v>
                </c:pt>
                <c:pt idx="29">
                  <c:v>-74.642099999999999</c:v>
                </c:pt>
                <c:pt idx="30">
                  <c:v>-81.181970000000007</c:v>
                </c:pt>
                <c:pt idx="31">
                  <c:v>-77.06438</c:v>
                </c:pt>
                <c:pt idx="32">
                  <c:v>-121.16918</c:v>
                </c:pt>
                <c:pt idx="33">
                  <c:v>-104.80674</c:v>
                </c:pt>
                <c:pt idx="34">
                  <c:v>-74.719300000000004</c:v>
                </c:pt>
                <c:pt idx="35">
                  <c:v>-105.87646700000001</c:v>
                </c:pt>
                <c:pt idx="36">
                  <c:v>-116.5189</c:v>
                </c:pt>
                <c:pt idx="37">
                  <c:v>-84.108149999999995</c:v>
                </c:pt>
                <c:pt idx="38">
                  <c:v>-87.650760000000005</c:v>
                </c:pt>
                <c:pt idx="39">
                  <c:v>-113.97976</c:v>
                </c:pt>
                <c:pt idx="40">
                  <c:v>-103.191032409668</c:v>
                </c:pt>
                <c:pt idx="41">
                  <c:v>-104.23040008544901</c:v>
                </c:pt>
                <c:pt idx="42">
                  <c:v>-121.17901000000001</c:v>
                </c:pt>
                <c:pt idx="43">
                  <c:v>-112.40475000000001</c:v>
                </c:pt>
                <c:pt idx="44">
                  <c:v>-75.502167</c:v>
                </c:pt>
                <c:pt idx="45">
                  <c:v>-117.6878</c:v>
                </c:pt>
                <c:pt idx="46">
                  <c:v>-75.1999</c:v>
                </c:pt>
                <c:pt idx="47">
                  <c:v>-115.05431</c:v>
                </c:pt>
                <c:pt idx="48">
                  <c:v>-112.36750000000001</c:v>
                </c:pt>
                <c:pt idx="49">
                  <c:v>-113.4362</c:v>
                </c:pt>
                <c:pt idx="50">
                  <c:v>-121.41285000000001</c:v>
                </c:pt>
                <c:pt idx="51">
                  <c:v>-121.41294000000001</c:v>
                </c:pt>
                <c:pt idx="52">
                  <c:v>-80.292460000000005</c:v>
                </c:pt>
                <c:pt idx="53">
                  <c:v>-114.93731</c:v>
                </c:pt>
                <c:pt idx="54">
                  <c:v>-112.6606</c:v>
                </c:pt>
                <c:pt idx="55">
                  <c:v>-122.379823</c:v>
                </c:pt>
                <c:pt idx="56">
                  <c:v>-105.87646700000001</c:v>
                </c:pt>
                <c:pt idx="57">
                  <c:v>-120.158908</c:v>
                </c:pt>
                <c:pt idx="58">
                  <c:v>-73.146010000000004</c:v>
                </c:pt>
                <c:pt idx="59">
                  <c:v>-112.406209</c:v>
                </c:pt>
                <c:pt idx="60">
                  <c:v>-119.478266</c:v>
                </c:pt>
                <c:pt idx="61">
                  <c:v>-105.624189</c:v>
                </c:pt>
                <c:pt idx="62">
                  <c:v>-107.25798</c:v>
                </c:pt>
                <c:pt idx="63">
                  <c:v>-105.87646700000001</c:v>
                </c:pt>
                <c:pt idx="64">
                  <c:v>-84.033394000000001</c:v>
                </c:pt>
                <c:pt idx="65">
                  <c:v>-105.118824</c:v>
                </c:pt>
                <c:pt idx="66">
                  <c:v>-80.649524</c:v>
                </c:pt>
                <c:pt idx="67">
                  <c:v>-84.205460000000002</c:v>
                </c:pt>
                <c:pt idx="68">
                  <c:v>-104.757407</c:v>
                </c:pt>
                <c:pt idx="69">
                  <c:v>-158.10544400000001</c:v>
                </c:pt>
                <c:pt idx="70">
                  <c:v>-123.2368</c:v>
                </c:pt>
                <c:pt idx="71">
                  <c:v>-114.904048</c:v>
                </c:pt>
                <c:pt idx="72">
                  <c:v>-104.575934</c:v>
                </c:pt>
                <c:pt idx="73">
                  <c:v>-75.440185999999997</c:v>
                </c:pt>
                <c:pt idx="74">
                  <c:v>-80.599850000000004</c:v>
                </c:pt>
                <c:pt idx="75">
                  <c:v>-121.16465700000001</c:v>
                </c:pt>
                <c:pt idx="76">
                  <c:v>-116.05292</c:v>
                </c:pt>
                <c:pt idx="77">
                  <c:v>-105.14837</c:v>
                </c:pt>
                <c:pt idx="78">
                  <c:v>-74.753636999999998</c:v>
                </c:pt>
                <c:pt idx="79">
                  <c:v>-78.486500000000007</c:v>
                </c:pt>
                <c:pt idx="80">
                  <c:v>-117.38078400000001</c:v>
                </c:pt>
                <c:pt idx="81">
                  <c:v>-104.673615</c:v>
                </c:pt>
                <c:pt idx="82">
                  <c:v>-123.2795</c:v>
                </c:pt>
                <c:pt idx="83">
                  <c:v>-73.240791000000002</c:v>
                </c:pt>
                <c:pt idx="84">
                  <c:v>-104.78174</c:v>
                </c:pt>
                <c:pt idx="85">
                  <c:v>-73.405109999999993</c:v>
                </c:pt>
                <c:pt idx="86">
                  <c:v>-106.601098106934</c:v>
                </c:pt>
                <c:pt idx="87">
                  <c:v>-74.398899</c:v>
                </c:pt>
                <c:pt idx="88">
                  <c:v>-121.92645</c:v>
                </c:pt>
                <c:pt idx="89">
                  <c:v>-74.822644999999994</c:v>
                </c:pt>
                <c:pt idx="90">
                  <c:v>-75.514830000000003</c:v>
                </c:pt>
                <c:pt idx="91">
                  <c:v>-74.777175999999997</c:v>
                </c:pt>
                <c:pt idx="92">
                  <c:v>-74.109864000000002</c:v>
                </c:pt>
                <c:pt idx="93">
                  <c:v>-75.067610000000002</c:v>
                </c:pt>
                <c:pt idx="94">
                  <c:v>-104.65940999999999</c:v>
                </c:pt>
                <c:pt idx="95">
                  <c:v>-72.683090000000007</c:v>
                </c:pt>
                <c:pt idx="96">
                  <c:v>-89.38964</c:v>
                </c:pt>
                <c:pt idx="97">
                  <c:v>-122.48329925537099</c:v>
                </c:pt>
                <c:pt idx="98">
                  <c:v>-107.751079872251</c:v>
                </c:pt>
                <c:pt idx="99">
                  <c:v>-120.365853</c:v>
                </c:pt>
                <c:pt idx="100">
                  <c:v>-71.132459999999995</c:v>
                </c:pt>
                <c:pt idx="101">
                  <c:v>-109.26690000000001</c:v>
                </c:pt>
                <c:pt idx="102">
                  <c:v>-119.07588</c:v>
                </c:pt>
                <c:pt idx="103">
                  <c:v>-86.315439999999995</c:v>
                </c:pt>
                <c:pt idx="104">
                  <c:v>-80.679969999999997</c:v>
                </c:pt>
                <c:pt idx="105">
                  <c:v>-114.99776</c:v>
                </c:pt>
                <c:pt idx="106">
                  <c:v>-83.318020000000004</c:v>
                </c:pt>
                <c:pt idx="107">
                  <c:v>-75.188900000000004</c:v>
                </c:pt>
                <c:pt idx="108">
                  <c:v>-81.955389999999994</c:v>
                </c:pt>
                <c:pt idx="109">
                  <c:v>-98.392099999999999</c:v>
                </c:pt>
                <c:pt idx="110">
                  <c:v>-77.341440000000006</c:v>
                </c:pt>
                <c:pt idx="111">
                  <c:v>-80.437110000000004</c:v>
                </c:pt>
                <c:pt idx="112">
                  <c:v>-112.6606</c:v>
                </c:pt>
                <c:pt idx="113">
                  <c:v>-121.41294000000001</c:v>
                </c:pt>
                <c:pt idx="114">
                  <c:v>-72.475325999999995</c:v>
                </c:pt>
                <c:pt idx="115">
                  <c:v>-72.49915</c:v>
                </c:pt>
                <c:pt idx="117">
                  <c:v>-72.543379999999999</c:v>
                </c:pt>
                <c:pt idx="118">
                  <c:v>-81.409350000000003</c:v>
                </c:pt>
                <c:pt idx="120">
                  <c:v>-106.000299</c:v>
                </c:pt>
                <c:pt idx="121">
                  <c:v>-81.348789999999994</c:v>
                </c:pt>
                <c:pt idx="122">
                  <c:v>-74.084199999999996</c:v>
                </c:pt>
                <c:pt idx="123">
                  <c:v>-118.3296</c:v>
                </c:pt>
                <c:pt idx="124">
                  <c:v>-118.1452</c:v>
                </c:pt>
                <c:pt idx="125">
                  <c:v>-88.758799999999994</c:v>
                </c:pt>
              </c:numCache>
            </c:numRef>
          </c:xVal>
          <c:yVal>
            <c:numRef>
              <c:f>Data!$R$3:$R$128</c:f>
              <c:numCache>
                <c:formatCode>0.00</c:formatCode>
                <c:ptCount val="126"/>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pt idx="55">
                  <c:v>6.8340236657699132</c:v>
                </c:pt>
                <c:pt idx="56">
                  <c:v>7.0097761276815929</c:v>
                </c:pt>
                <c:pt idx="57">
                  <c:v>9.1205598007949913</c:v>
                </c:pt>
                <c:pt idx="58">
                  <c:v>11.745254232357103</c:v>
                </c:pt>
                <c:pt idx="59">
                  <c:v>5.7719535084726346</c:v>
                </c:pt>
                <c:pt idx="60">
                  <c:v>7.6282453467075744</c:v>
                </c:pt>
                <c:pt idx="61">
                  <c:v>10.7</c:v>
                </c:pt>
                <c:pt idx="62">
                  <c:v>6.0079365079365079</c:v>
                </c:pt>
                <c:pt idx="63">
                  <c:v>6.046848387291849</c:v>
                </c:pt>
                <c:pt idx="65">
                  <c:v>5.0477857046708845</c:v>
                </c:pt>
                <c:pt idx="66">
                  <c:v>2.7777777777777777</c:v>
                </c:pt>
                <c:pt idx="67">
                  <c:v>7.6664477625749097</c:v>
                </c:pt>
                <c:pt idx="68">
                  <c:v>3.3557869235306015</c:v>
                </c:pt>
                <c:pt idx="69">
                  <c:v>2.6874734260478124</c:v>
                </c:pt>
                <c:pt idx="71">
                  <c:v>4.1513487132919158</c:v>
                </c:pt>
                <c:pt idx="72">
                  <c:v>3.4256991511041552</c:v>
                </c:pt>
                <c:pt idx="73">
                  <c:v>5.5386703875051984</c:v>
                </c:pt>
                <c:pt idx="75">
                  <c:v>6.4833803362611224</c:v>
                </c:pt>
                <c:pt idx="76">
                  <c:v>5.4586774124045414</c:v>
                </c:pt>
                <c:pt idx="77">
                  <c:v>4.235409859546956</c:v>
                </c:pt>
                <c:pt idx="78">
                  <c:v>4.0656649265851517</c:v>
                </c:pt>
                <c:pt idx="80">
                  <c:v>3.987166666666667</c:v>
                </c:pt>
                <c:pt idx="81">
                  <c:v>5.2119565656084648</c:v>
                </c:pt>
                <c:pt idx="83">
                  <c:v>3.9362473643575164</c:v>
                </c:pt>
                <c:pt idx="84">
                  <c:v>6.2837110143110504</c:v>
                </c:pt>
                <c:pt idx="85">
                  <c:v>4.6981016929428421</c:v>
                </c:pt>
                <c:pt idx="86">
                  <c:v>6.3835456752860864</c:v>
                </c:pt>
                <c:pt idx="87">
                  <c:v>3.1879975773540714</c:v>
                </c:pt>
                <c:pt idx="88">
                  <c:v>4.42</c:v>
                </c:pt>
                <c:pt idx="89">
                  <c:v>5.5117015820979933</c:v>
                </c:pt>
                <c:pt idx="90">
                  <c:v>5.9509288110609333</c:v>
                </c:pt>
                <c:pt idx="91">
                  <c:v>4.3065932185309386</c:v>
                </c:pt>
                <c:pt idx="93">
                  <c:v>4.29704423135016</c:v>
                </c:pt>
                <c:pt idx="94">
                  <c:v>6.1128709527494927</c:v>
                </c:pt>
                <c:pt idx="96">
                  <c:v>5.3793264384195538</c:v>
                </c:pt>
                <c:pt idx="97">
                  <c:v>3.0537661004128474</c:v>
                </c:pt>
                <c:pt idx="98">
                  <c:v>8.0055652847746028</c:v>
                </c:pt>
                <c:pt idx="99">
                  <c:v>7.5</c:v>
                </c:pt>
                <c:pt idx="100">
                  <c:v>2.2320000000000002</c:v>
                </c:pt>
                <c:pt idx="101">
                  <c:v>6.9853493613824194</c:v>
                </c:pt>
                <c:pt idx="102">
                  <c:v>4.6335444445025811</c:v>
                </c:pt>
                <c:pt idx="104">
                  <c:v>3</c:v>
                </c:pt>
                <c:pt idx="105">
                  <c:v>7</c:v>
                </c:pt>
                <c:pt idx="106">
                  <c:v>6.1909999999999998</c:v>
                </c:pt>
                <c:pt idx="107">
                  <c:v>7.8</c:v>
                </c:pt>
                <c:pt idx="108">
                  <c:v>5.5873015873015879</c:v>
                </c:pt>
                <c:pt idx="109">
                  <c:v>5.9428571428571431</c:v>
                </c:pt>
                <c:pt idx="110">
                  <c:v>6.075131499495054</c:v>
                </c:pt>
                <c:pt idx="111">
                  <c:v>4.9741151674032347</c:v>
                </c:pt>
                <c:pt idx="113">
                  <c:v>5.559444444444444</c:v>
                </c:pt>
                <c:pt idx="114">
                  <c:v>4.6393754217810566</c:v>
                </c:pt>
                <c:pt idx="117">
                  <c:v>11.185956411768672</c:v>
                </c:pt>
              </c:numCache>
            </c:numRef>
          </c:yVal>
          <c:smooth val="0"/>
        </c:ser>
        <c:dLbls>
          <c:showLegendKey val="0"/>
          <c:showVal val="0"/>
          <c:showCatName val="0"/>
          <c:showSerName val="0"/>
          <c:showPercent val="0"/>
          <c:showBubbleSize val="0"/>
        </c:dLbls>
        <c:axId val="107816448"/>
        <c:axId val="107817984"/>
      </c:scatterChart>
      <c:valAx>
        <c:axId val="107816448"/>
        <c:scaling>
          <c:orientation val="minMax"/>
        </c:scaling>
        <c:delete val="0"/>
        <c:axPos val="b"/>
        <c:numFmt formatCode="General" sourceLinked="1"/>
        <c:majorTickMark val="out"/>
        <c:minorTickMark val="none"/>
        <c:tickLblPos val="nextTo"/>
        <c:crossAx val="107817984"/>
        <c:crosses val="autoZero"/>
        <c:crossBetween val="midCat"/>
      </c:valAx>
      <c:valAx>
        <c:axId val="107817984"/>
        <c:scaling>
          <c:orientation val="minMax"/>
        </c:scaling>
        <c:delete val="0"/>
        <c:axPos val="l"/>
        <c:majorGridlines/>
        <c:numFmt formatCode="0.00" sourceLinked="1"/>
        <c:majorTickMark val="out"/>
        <c:minorTickMark val="none"/>
        <c:tickLblPos val="nextTo"/>
        <c:crossAx val="107816448"/>
        <c:crosses val="autoZero"/>
        <c:crossBetween val="midCat"/>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Wholesale Distributed</a:t>
            </a:r>
            <a:r>
              <a:rPr lang="en-US" sz="2000" baseline="0"/>
              <a:t> PV</a:t>
            </a:r>
            <a:endParaRPr lang="en-US" sz="2000"/>
          </a:p>
        </c:rich>
      </c:tx>
      <c:layout>
        <c:manualLayout>
          <c:xMode val="edge"/>
          <c:yMode val="edge"/>
          <c:x val="0.39269297516424334"/>
          <c:y val="3.1974439161312006E-2"/>
        </c:manualLayout>
      </c:layout>
      <c:overlay val="1"/>
    </c:title>
    <c:autoTitleDeleted val="0"/>
    <c:plotArea>
      <c:layout>
        <c:manualLayout>
          <c:layoutTarget val="inner"/>
          <c:xMode val="edge"/>
          <c:yMode val="edge"/>
          <c:x val="0.12253669468016316"/>
          <c:y val="7.66379022766039E-2"/>
          <c:w val="0.80722261869725098"/>
          <c:h val="0.75802642316769264"/>
        </c:manualLayout>
      </c:layout>
      <c:scatterChart>
        <c:scatterStyle val="lineMarker"/>
        <c:varyColors val="0"/>
        <c:ser>
          <c:idx val="0"/>
          <c:order val="0"/>
          <c:tx>
            <c:v>1-axis</c:v>
          </c:tx>
          <c:spPr>
            <a:ln w="28575">
              <a:noFill/>
            </a:ln>
          </c:spP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Data!$M$3:$M$57</c:f>
              <c:numCache>
                <c:formatCode>0.00</c:formatCode>
                <c:ptCount val="55"/>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numCache>
            </c:numRef>
          </c:yVal>
          <c:smooth val="0"/>
        </c:ser>
        <c:ser>
          <c:idx val="1"/>
          <c:order val="1"/>
          <c:tx>
            <c:v>2-axis</c:v>
          </c:tx>
          <c:spPr>
            <a:ln w="28575">
              <a:noFill/>
            </a:ln>
          </c:spPr>
          <c:xVal>
            <c:numRef>
              <c:f>Data!$F$58:$F$65</c:f>
              <c:numCache>
                <c:formatCode>0</c:formatCode>
                <c:ptCount val="8"/>
                <c:pt idx="0">
                  <c:v>1014</c:v>
                </c:pt>
                <c:pt idx="1">
                  <c:v>1037</c:v>
                </c:pt>
                <c:pt idx="2">
                  <c:v>1159</c:v>
                </c:pt>
                <c:pt idx="3">
                  <c:v>2200</c:v>
                </c:pt>
                <c:pt idx="4">
                  <c:v>175</c:v>
                </c:pt>
                <c:pt idx="5">
                  <c:v>1047</c:v>
                </c:pt>
                <c:pt idx="6">
                  <c:v>1174.5254232357104</c:v>
                </c:pt>
                <c:pt idx="7">
                  <c:v>6468</c:v>
                </c:pt>
              </c:numCache>
            </c:numRef>
          </c:xVal>
          <c:yVal>
            <c:numRef>
              <c:f>Data!$M$58:$M$65</c:f>
              <c:numCache>
                <c:formatCode>0.00</c:formatCode>
                <c:ptCount val="8"/>
                <c:pt idx="0">
                  <c:v>11.583090958932056</c:v>
                </c:pt>
                <c:pt idx="1">
                  <c:v>13.500828821914748</c:v>
                </c:pt>
                <c:pt idx="2">
                  <c:v>9.6272575675058238</c:v>
                </c:pt>
                <c:pt idx="3">
                  <c:v>14.414630194256446</c:v>
                </c:pt>
                <c:pt idx="4">
                  <c:v>10.973423239945067</c:v>
                </c:pt>
                <c:pt idx="5">
                  <c:v>7.6282453467075744</c:v>
                </c:pt>
                <c:pt idx="6">
                  <c:v>17</c:v>
                </c:pt>
                <c:pt idx="7">
                  <c:v>7.7380952380952381</c:v>
                </c:pt>
              </c:numCache>
            </c:numRef>
          </c:yVal>
          <c:smooth val="0"/>
        </c:ser>
        <c:ser>
          <c:idx val="2"/>
          <c:order val="2"/>
          <c:tx>
            <c:v>fixed</c:v>
          </c:tx>
          <c:spPr>
            <a:ln w="28575">
              <a:noFill/>
            </a:ln>
          </c:spP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Data!$M$66:$M$116</c:f>
              <c:numCache>
                <c:formatCode>0.00</c:formatCode>
                <c:ptCount val="51"/>
                <c:pt idx="0">
                  <c:v>11.6462299939241</c:v>
                </c:pt>
                <c:pt idx="1">
                  <c:v>5.6964483026931951</c:v>
                </c:pt>
                <c:pt idx="2">
                  <c:v>6.3938618925831197</c:v>
                </c:pt>
                <c:pt idx="3">
                  <c:v>6.1111111111111107</c:v>
                </c:pt>
                <c:pt idx="4">
                  <c:v>10.410566251407433</c:v>
                </c:pt>
                <c:pt idx="5">
                  <c:v>3.9849969716925888</c:v>
                </c:pt>
                <c:pt idx="6">
                  <c:v>3.9814421126634252</c:v>
                </c:pt>
                <c:pt idx="7">
                  <c:v>9.2777638474081332</c:v>
                </c:pt>
                <c:pt idx="8">
                  <c:v>7.260609891230863</c:v>
                </c:pt>
                <c:pt idx="9">
                  <c:v>4.2087160999279618</c:v>
                </c:pt>
                <c:pt idx="10">
                  <c:v>5.8726271161785517</c:v>
                </c:pt>
                <c:pt idx="11">
                  <c:v>5.8726271161785517</c:v>
                </c:pt>
                <c:pt idx="12">
                  <c:v>7.9867728780028315</c:v>
                </c:pt>
                <c:pt idx="13">
                  <c:v>8.1880161186068126</c:v>
                </c:pt>
                <c:pt idx="14">
                  <c:v>4.6731875172984489</c:v>
                </c:pt>
                <c:pt idx="15">
                  <c:v>4.9691460213818521</c:v>
                </c:pt>
                <c:pt idx="16">
                  <c:v>9.0001948140667469</c:v>
                </c:pt>
                <c:pt idx="17">
                  <c:v>6.8250000000000002</c:v>
                </c:pt>
                <c:pt idx="18">
                  <c:v>6.6067055057008712</c:v>
                </c:pt>
                <c:pt idx="19">
                  <c:v>8.4197906846415407</c:v>
                </c:pt>
                <c:pt idx="20">
                  <c:v>5.8726271161785526</c:v>
                </c:pt>
                <c:pt idx="21">
                  <c:v>7.3407838952231907</c:v>
                </c:pt>
                <c:pt idx="22">
                  <c:v>5.3851990655357325</c:v>
                </c:pt>
                <c:pt idx="23">
                  <c:v>10.864360164930321</c:v>
                </c:pt>
                <c:pt idx="24">
                  <c:v>4.4743825647074686</c:v>
                </c:pt>
                <c:pt idx="25">
                  <c:v>6.85</c:v>
                </c:pt>
                <c:pt idx="26">
                  <c:v>6.7098975782062533</c:v>
                </c:pt>
                <c:pt idx="27">
                  <c:v>9.0829966063561614</c:v>
                </c:pt>
                <c:pt idx="28">
                  <c:v>6.4598898277964079</c:v>
                </c:pt>
                <c:pt idx="29">
                  <c:v>5.0896101673547456</c:v>
                </c:pt>
                <c:pt idx="30">
                  <c:v>8.0211492318536326</c:v>
                </c:pt>
                <c:pt idx="31">
                  <c:v>8.0081278856980251</c:v>
                </c:pt>
                <c:pt idx="32">
                  <c:v>4.9591073425507775</c:v>
                </c:pt>
                <c:pt idx="33">
                  <c:v>5.8726271161785526</c:v>
                </c:pt>
                <c:pt idx="34">
                  <c:v>3.0537661004128474</c:v>
                </c:pt>
                <c:pt idx="35">
                  <c:v>11.745254232357105</c:v>
                </c:pt>
                <c:pt idx="36">
                  <c:v>9.74</c:v>
                </c:pt>
                <c:pt idx="37">
                  <c:v>3</c:v>
                </c:pt>
                <c:pt idx="38">
                  <c:v>13.14800901577761</c:v>
                </c:pt>
                <c:pt idx="39">
                  <c:v>5.5533116937858651</c:v>
                </c:pt>
                <c:pt idx="40">
                  <c:v>7.0471525394142631</c:v>
                </c:pt>
                <c:pt idx="41">
                  <c:v>4.5</c:v>
                </c:pt>
                <c:pt idx="42">
                  <c:v>8</c:v>
                </c:pt>
                <c:pt idx="43">
                  <c:v>7.7</c:v>
                </c:pt>
                <c:pt idx="44">
                  <c:v>9.8000000000000007</c:v>
                </c:pt>
                <c:pt idx="45">
                  <c:v>7.6190476190476195</c:v>
                </c:pt>
                <c:pt idx="46">
                  <c:v>7.7142857142857144</c:v>
                </c:pt>
                <c:pt idx="47">
                  <c:v>9.1126972492425811</c:v>
                </c:pt>
                <c:pt idx="48">
                  <c:v>5.8726271161785526</c:v>
                </c:pt>
                <c:pt idx="49">
                  <c:v>11.574074074074073</c:v>
                </c:pt>
                <c:pt idx="50">
                  <c:v>7.7333333333333325</c:v>
                </c:pt>
              </c:numCache>
            </c:numRef>
          </c:yVal>
          <c:smooth val="0"/>
        </c:ser>
        <c:dLbls>
          <c:showLegendKey val="0"/>
          <c:showVal val="0"/>
          <c:showCatName val="0"/>
          <c:showSerName val="0"/>
          <c:showPercent val="0"/>
          <c:showBubbleSize val="0"/>
        </c:dLbls>
        <c:axId val="107942656"/>
        <c:axId val="107944960"/>
      </c:scatterChart>
      <c:valAx>
        <c:axId val="107942656"/>
        <c:scaling>
          <c:orientation val="minMax"/>
        </c:scaling>
        <c:delete val="0"/>
        <c:axPos val="b"/>
        <c:title>
          <c:tx>
            <c:rich>
              <a:bodyPr/>
              <a:lstStyle/>
              <a:p>
                <a:pPr>
                  <a:defRPr sz="1800"/>
                </a:pPr>
                <a:r>
                  <a:rPr lang="en-US" sz="1800"/>
                  <a:t>System</a:t>
                </a:r>
                <a:r>
                  <a:rPr lang="en-US" sz="1800" baseline="0"/>
                  <a:t> Size (</a:t>
                </a:r>
                <a:r>
                  <a:rPr lang="en-US" sz="1800"/>
                  <a:t>MW-DC)</a:t>
                </a:r>
              </a:p>
            </c:rich>
          </c:tx>
          <c:overlay val="0"/>
        </c:title>
        <c:numFmt formatCode="0" sourceLinked="1"/>
        <c:majorTickMark val="out"/>
        <c:minorTickMark val="none"/>
        <c:tickLblPos val="nextTo"/>
        <c:txPr>
          <a:bodyPr/>
          <a:lstStyle/>
          <a:p>
            <a:pPr>
              <a:defRPr sz="1600"/>
            </a:pPr>
            <a:endParaRPr lang="en-US"/>
          </a:p>
        </c:txPr>
        <c:crossAx val="107944960"/>
        <c:crosses val="autoZero"/>
        <c:crossBetween val="midCat"/>
        <c:majorUnit val="2000"/>
        <c:dispUnits>
          <c:builtInUnit val="thousands"/>
        </c:dispUnits>
      </c:valAx>
      <c:valAx>
        <c:axId val="107944960"/>
        <c:scaling>
          <c:orientation val="minMax"/>
        </c:scaling>
        <c:delete val="0"/>
        <c:axPos val="l"/>
        <c:title>
          <c:tx>
            <c:rich>
              <a:bodyPr rot="-5400000" vert="horz"/>
              <a:lstStyle/>
              <a:p>
                <a:pPr>
                  <a:defRPr sz="1800"/>
                </a:pPr>
                <a:r>
                  <a:rPr lang="en-US" sz="1800"/>
                  <a:t>Total Area (Hectares</a:t>
                </a:r>
                <a:r>
                  <a:rPr lang="en-US" sz="1800" baseline="0"/>
                  <a:t> / MW)</a:t>
                </a:r>
                <a:endParaRPr lang="en-US" sz="1800"/>
              </a:p>
            </c:rich>
          </c:tx>
          <c:overlay val="0"/>
        </c:title>
        <c:numFmt formatCode="0" sourceLinked="0"/>
        <c:majorTickMark val="out"/>
        <c:minorTickMark val="none"/>
        <c:tickLblPos val="nextTo"/>
        <c:txPr>
          <a:bodyPr/>
          <a:lstStyle/>
          <a:p>
            <a:pPr>
              <a:defRPr sz="1600"/>
            </a:pPr>
            <a:endParaRPr lang="en-US"/>
          </a:p>
        </c:txPr>
        <c:crossAx val="107942656"/>
        <c:crosses val="autoZero"/>
        <c:crossBetween val="midCat"/>
      </c:valAx>
    </c:plotArea>
    <c:legend>
      <c:legendPos val="r"/>
      <c:layout>
        <c:manualLayout>
          <c:xMode val="edge"/>
          <c:yMode val="edge"/>
          <c:x val="0.84404105702771381"/>
          <c:y val="3.2684222216543851E-2"/>
          <c:w val="0.13366303975117449"/>
          <c:h val="0.18437258598085088"/>
        </c:manualLayout>
      </c:layout>
      <c:overlay val="0"/>
      <c:txPr>
        <a:bodyPr/>
        <a:lstStyle/>
        <a:p>
          <a:pPr>
            <a:defRPr sz="18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Utility-Scale</a:t>
            </a:r>
            <a:r>
              <a:rPr lang="en-US" sz="2000" baseline="0"/>
              <a:t> PV</a:t>
            </a:r>
            <a:endParaRPr lang="en-US" sz="2000"/>
          </a:p>
        </c:rich>
      </c:tx>
      <c:layout>
        <c:manualLayout>
          <c:xMode val="edge"/>
          <c:yMode val="edge"/>
          <c:x val="0.40511739864545848"/>
          <c:y val="4.2071048830742516E-2"/>
        </c:manualLayout>
      </c:layout>
      <c:overlay val="1"/>
    </c:title>
    <c:autoTitleDeleted val="0"/>
    <c:plotArea>
      <c:layout>
        <c:manualLayout>
          <c:layoutTarget val="inner"/>
          <c:xMode val="edge"/>
          <c:yMode val="edge"/>
          <c:x val="9.9959656514198345E-2"/>
          <c:y val="8.5929349344985265E-2"/>
          <c:w val="0.81775574342644164"/>
          <c:h val="0.76122020733502882"/>
        </c:manualLayout>
      </c:layout>
      <c:scatterChart>
        <c:scatterStyle val="lineMarker"/>
        <c:varyColors val="0"/>
        <c:ser>
          <c:idx val="0"/>
          <c:order val="0"/>
          <c:tx>
            <c:v>1-axis</c:v>
          </c:tx>
          <c:spPr>
            <a:ln w="28575">
              <a:noFill/>
            </a:ln>
          </c:spPr>
          <c:xVal>
            <c:numRef>
              <c:f>Data!$F$178:$F$193</c:f>
              <c:numCache>
                <c:formatCode>0</c:formatCode>
                <c:ptCount val="16"/>
                <c:pt idx="0">
                  <c:v>20000</c:v>
                </c:pt>
                <c:pt idx="1">
                  <c:v>23490.50846471421</c:v>
                </c:pt>
                <c:pt idx="2">
                  <c:v>23490.50846471421</c:v>
                </c:pt>
                <c:pt idx="3">
                  <c:v>23490.50846471421</c:v>
                </c:pt>
                <c:pt idx="4" formatCode="General">
                  <c:v>25000</c:v>
                </c:pt>
                <c:pt idx="5">
                  <c:v>29363.135580892762</c:v>
                </c:pt>
                <c:pt idx="6">
                  <c:v>28000</c:v>
                </c:pt>
                <c:pt idx="7">
                  <c:v>30537.661004128473</c:v>
                </c:pt>
                <c:pt idx="8">
                  <c:v>35200</c:v>
                </c:pt>
                <c:pt idx="9" formatCode="General">
                  <c:v>110000</c:v>
                </c:pt>
                <c:pt idx="10" formatCode="General">
                  <c:v>130000</c:v>
                </c:pt>
                <c:pt idx="11">
                  <c:v>176178.81348535657</c:v>
                </c:pt>
                <c:pt idx="12">
                  <c:v>284000</c:v>
                </c:pt>
                <c:pt idx="13">
                  <c:v>293631.35580892762</c:v>
                </c:pt>
                <c:pt idx="14">
                  <c:v>350000</c:v>
                </c:pt>
                <c:pt idx="15">
                  <c:v>352357.62697071314</c:v>
                </c:pt>
              </c:numCache>
            </c:numRef>
          </c:xVal>
          <c:yVal>
            <c:numRef>
              <c:f>Data!$M$178:$M$193</c:f>
              <c:numCache>
                <c:formatCode>0.00</c:formatCode>
                <c:ptCount val="16"/>
                <c:pt idx="0">
                  <c:v>10.331176470588234</c:v>
                </c:pt>
                <c:pt idx="1">
                  <c:v>7.2</c:v>
                </c:pt>
                <c:pt idx="2">
                  <c:v>10.5</c:v>
                </c:pt>
                <c:pt idx="3">
                  <c:v>8</c:v>
                </c:pt>
                <c:pt idx="4">
                  <c:v>9.349222368956255</c:v>
                </c:pt>
                <c:pt idx="5">
                  <c:v>6.16</c:v>
                </c:pt>
                <c:pt idx="6">
                  <c:v>9.4</c:v>
                </c:pt>
                <c:pt idx="7">
                  <c:v>11.538461538461538</c:v>
                </c:pt>
                <c:pt idx="8">
                  <c:v>7.333333333333333</c:v>
                </c:pt>
                <c:pt idx="9">
                  <c:v>10.826988901463732</c:v>
                </c:pt>
                <c:pt idx="10">
                  <c:v>8.5469311567767843</c:v>
                </c:pt>
                <c:pt idx="11">
                  <c:v>7.4</c:v>
                </c:pt>
                <c:pt idx="12">
                  <c:v>9.1304347826086953</c:v>
                </c:pt>
                <c:pt idx="13">
                  <c:v>6.94</c:v>
                </c:pt>
                <c:pt idx="14">
                  <c:v>9.7317820782387443</c:v>
                </c:pt>
                <c:pt idx="15">
                  <c:v>6.71</c:v>
                </c:pt>
              </c:numCache>
            </c:numRef>
          </c:yVal>
          <c:smooth val="0"/>
        </c:ser>
        <c:ser>
          <c:idx val="3"/>
          <c:order val="1"/>
          <c:tx>
            <c:v>2-axis</c:v>
          </c:tx>
          <c:spPr>
            <a:ln w="28575">
              <a:noFill/>
            </a:ln>
          </c:spPr>
          <c:marker>
            <c:symbol val="square"/>
            <c:size val="6"/>
            <c:spPr>
              <a:solidFill>
                <a:srgbClr val="C00000"/>
              </a:solidFill>
            </c:spPr>
          </c:marker>
          <c:xVal>
            <c:numRef>
              <c:f>Data!$F$194:$F$195</c:f>
              <c:numCache>
                <c:formatCode>General</c:formatCode>
                <c:ptCount val="2"/>
                <c:pt idx="0" formatCode="0">
                  <c:v>37000</c:v>
                </c:pt>
                <c:pt idx="1">
                  <c:v>150000</c:v>
                </c:pt>
              </c:numCache>
            </c:numRef>
          </c:xVal>
          <c:yVal>
            <c:numRef>
              <c:f>Data!$M$194:$M$195</c:f>
              <c:numCache>
                <c:formatCode>0.00</c:formatCode>
                <c:ptCount val="2"/>
                <c:pt idx="0">
                  <c:v>7.32421875</c:v>
                </c:pt>
                <c:pt idx="1">
                  <c:v>8.2764891490676398</c:v>
                </c:pt>
              </c:numCache>
            </c:numRef>
          </c:yVal>
          <c:smooth val="0"/>
        </c:ser>
        <c:ser>
          <c:idx val="1"/>
          <c:order val="2"/>
          <c:tx>
            <c:v>Fixed</c:v>
          </c:tx>
          <c:spPr>
            <a:ln w="28575">
              <a:noFill/>
            </a:ln>
          </c:spPr>
          <c:marker>
            <c:symbol val="triangle"/>
            <c:size val="7"/>
            <c:spPr>
              <a:solidFill>
                <a:schemeClr val="accent3"/>
              </a:solidFill>
              <a:ln>
                <a:solidFill>
                  <a:schemeClr val="accent3"/>
                </a:solidFill>
              </a:ln>
            </c:spPr>
          </c:marker>
          <c:xVal>
            <c:numRef>
              <c:f>Data!$F$196:$F$209</c:f>
              <c:numCache>
                <c:formatCode>0</c:formatCode>
                <c:ptCount val="14"/>
                <c:pt idx="0">
                  <c:v>20592</c:v>
                </c:pt>
                <c:pt idx="1">
                  <c:v>20000</c:v>
                </c:pt>
                <c:pt idx="2">
                  <c:v>22000</c:v>
                </c:pt>
                <c:pt idx="3">
                  <c:v>25200</c:v>
                </c:pt>
                <c:pt idx="4">
                  <c:v>35235.762697071317</c:v>
                </c:pt>
                <c:pt idx="5">
                  <c:v>37000</c:v>
                </c:pt>
                <c:pt idx="6">
                  <c:v>40000</c:v>
                </c:pt>
                <c:pt idx="7">
                  <c:v>57715</c:v>
                </c:pt>
                <c:pt idx="8">
                  <c:v>58000</c:v>
                </c:pt>
                <c:pt idx="9">
                  <c:v>60000</c:v>
                </c:pt>
                <c:pt idx="10">
                  <c:v>65100</c:v>
                </c:pt>
                <c:pt idx="11">
                  <c:v>340612.37273835606</c:v>
                </c:pt>
                <c:pt idx="12">
                  <c:v>645988.98277964082</c:v>
                </c:pt>
                <c:pt idx="13">
                  <c:v>645988.98277964082</c:v>
                </c:pt>
              </c:numCache>
            </c:numRef>
          </c:xVal>
          <c:yVal>
            <c:numRef>
              <c:f>Data!$M$196:$M$207</c:f>
              <c:numCache>
                <c:formatCode>0.00</c:formatCode>
                <c:ptCount val="12"/>
                <c:pt idx="0">
                  <c:v>10.266830622689778</c:v>
                </c:pt>
                <c:pt idx="1">
                  <c:v>7.4444444444444446</c:v>
                </c:pt>
                <c:pt idx="2">
                  <c:v>8.5420030780778937</c:v>
                </c:pt>
                <c:pt idx="3">
                  <c:v>8.8571428571428577</c:v>
                </c:pt>
                <c:pt idx="4">
                  <c:v>8.3333333333333339</c:v>
                </c:pt>
                <c:pt idx="5">
                  <c:v>6.25</c:v>
                </c:pt>
                <c:pt idx="6">
                  <c:v>4.1108389813249868</c:v>
                </c:pt>
                <c:pt idx="7">
                  <c:v>11.111111111111111</c:v>
                </c:pt>
                <c:pt idx="8">
                  <c:v>7.916666666666667</c:v>
                </c:pt>
                <c:pt idx="9">
                  <c:v>7.0471525394142631</c:v>
                </c:pt>
                <c:pt idx="10">
                  <c:v>11.904761904761905</c:v>
                </c:pt>
                <c:pt idx="11">
                  <c:v>8.2758620689655178</c:v>
                </c:pt>
              </c:numCache>
            </c:numRef>
          </c:yVal>
          <c:smooth val="0"/>
        </c:ser>
        <c:dLbls>
          <c:showLegendKey val="0"/>
          <c:showVal val="0"/>
          <c:showCatName val="0"/>
          <c:showSerName val="0"/>
          <c:showPercent val="0"/>
          <c:showBubbleSize val="0"/>
        </c:dLbls>
        <c:axId val="107987712"/>
        <c:axId val="107990400"/>
      </c:scatterChart>
      <c:valAx>
        <c:axId val="107987712"/>
        <c:scaling>
          <c:orientation val="minMax"/>
        </c:scaling>
        <c:delete val="0"/>
        <c:axPos val="b"/>
        <c:title>
          <c:tx>
            <c:rich>
              <a:bodyPr/>
              <a:lstStyle/>
              <a:p>
                <a:pPr>
                  <a:defRPr sz="1800"/>
                </a:pPr>
                <a:r>
                  <a:rPr lang="en-US" sz="1800" b="1" i="0" baseline="0"/>
                  <a:t>System Size (MW-DC)</a:t>
                </a:r>
                <a:endParaRPr lang="en-US"/>
              </a:p>
            </c:rich>
          </c:tx>
          <c:overlay val="0"/>
        </c:title>
        <c:numFmt formatCode="0" sourceLinked="1"/>
        <c:majorTickMark val="out"/>
        <c:minorTickMark val="none"/>
        <c:tickLblPos val="nextTo"/>
        <c:txPr>
          <a:bodyPr/>
          <a:lstStyle/>
          <a:p>
            <a:pPr>
              <a:defRPr sz="1600"/>
            </a:pPr>
            <a:endParaRPr lang="en-US"/>
          </a:p>
        </c:txPr>
        <c:crossAx val="107990400"/>
        <c:crosses val="autoZero"/>
        <c:crossBetween val="midCat"/>
        <c:dispUnits>
          <c:builtInUnit val="thousands"/>
        </c:dispUnits>
      </c:valAx>
      <c:valAx>
        <c:axId val="107990400"/>
        <c:scaling>
          <c:orientation val="minMax"/>
        </c:scaling>
        <c:delete val="0"/>
        <c:axPos val="l"/>
        <c:title>
          <c:tx>
            <c:rich>
              <a:bodyPr rot="-5400000" vert="horz"/>
              <a:lstStyle/>
              <a:p>
                <a:pPr>
                  <a:defRPr sz="1800"/>
                </a:pPr>
                <a:r>
                  <a:rPr lang="en-US" sz="1800" b="1" i="0" baseline="0"/>
                  <a:t>Total Area (Hectares / MW)</a:t>
                </a:r>
              </a:p>
            </c:rich>
          </c:tx>
          <c:overlay val="0"/>
        </c:title>
        <c:numFmt formatCode="0" sourceLinked="0"/>
        <c:majorTickMark val="out"/>
        <c:minorTickMark val="none"/>
        <c:tickLblPos val="nextTo"/>
        <c:txPr>
          <a:bodyPr/>
          <a:lstStyle/>
          <a:p>
            <a:pPr>
              <a:defRPr sz="1600"/>
            </a:pPr>
            <a:endParaRPr lang="en-US"/>
          </a:p>
        </c:txPr>
        <c:crossAx val="107987712"/>
        <c:crosses val="autoZero"/>
        <c:crossBetween val="midCat"/>
      </c:valAx>
    </c:plotArea>
    <c:legend>
      <c:legendPos val="r"/>
      <c:layout>
        <c:manualLayout>
          <c:xMode val="edge"/>
          <c:yMode val="edge"/>
          <c:x val="0.79287064335062085"/>
          <c:y val="1.8686694328722143E-2"/>
          <c:w val="0.17564776062461515"/>
          <c:h val="0.18206354799748253"/>
        </c:manualLayout>
      </c:layout>
      <c:overlay val="0"/>
      <c:txPr>
        <a:bodyPr/>
        <a:lstStyle/>
        <a:p>
          <a:pPr>
            <a:defRPr sz="18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Wholesale Distributed PV</a:t>
            </a:r>
          </a:p>
        </c:rich>
      </c:tx>
      <c:layout>
        <c:manualLayout>
          <c:xMode val="edge"/>
          <c:yMode val="edge"/>
          <c:x val="0.33598017346826459"/>
          <c:y val="3.1974515262779134E-2"/>
        </c:manualLayout>
      </c:layout>
      <c:overlay val="1"/>
    </c:title>
    <c:autoTitleDeleted val="0"/>
    <c:plotArea>
      <c:layout>
        <c:manualLayout>
          <c:layoutTarget val="inner"/>
          <c:xMode val="edge"/>
          <c:yMode val="edge"/>
          <c:x val="0.12078146832264321"/>
          <c:y val="7.66379022766039E-2"/>
          <c:w val="0.80897761227889653"/>
          <c:h val="0.75802642316769264"/>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Data!$R$3:$R$57</c:f>
              <c:numCache>
                <c:formatCode>0.00</c:formatCode>
                <c:ptCount val="55"/>
                <c:pt idx="0">
                  <c:v>9.4432509846043668</c:v>
                </c:pt>
                <c:pt idx="1">
                  <c:v>7.0343927044502008</c:v>
                </c:pt>
                <c:pt idx="2">
                  <c:v>7.1349073853247464</c:v>
                </c:pt>
                <c:pt idx="3">
                  <c:v>4.6209737486129479</c:v>
                </c:pt>
                <c:pt idx="4">
                  <c:v>5.9652533106548411</c:v>
                </c:pt>
                <c:pt idx="5">
                  <c:v>5.8726271161785526</c:v>
                </c:pt>
                <c:pt idx="6">
                  <c:v>10.570728809121395</c:v>
                </c:pt>
                <c:pt idx="7">
                  <c:v>8.8764044943820224</c:v>
                </c:pt>
                <c:pt idx="8">
                  <c:v>6.6237214202217425</c:v>
                </c:pt>
                <c:pt idx="9">
                  <c:v>6.8336024624623155</c:v>
                </c:pt>
                <c:pt idx="10">
                  <c:v>7.0704032099241019</c:v>
                </c:pt>
                <c:pt idx="11">
                  <c:v>7.9699939433851776</c:v>
                </c:pt>
                <c:pt idx="12">
                  <c:v>6.4893617021276597</c:v>
                </c:pt>
                <c:pt idx="13">
                  <c:v>7.6342472330876303</c:v>
                </c:pt>
                <c:pt idx="14">
                  <c:v>6.6</c:v>
                </c:pt>
                <c:pt idx="15">
                  <c:v>6.91</c:v>
                </c:pt>
                <c:pt idx="16">
                  <c:v>7.44</c:v>
                </c:pt>
                <c:pt idx="17">
                  <c:v>7.66</c:v>
                </c:pt>
                <c:pt idx="18">
                  <c:v>5.7227080967671586</c:v>
                </c:pt>
                <c:pt idx="19">
                  <c:v>7.5169627087085473</c:v>
                </c:pt>
                <c:pt idx="20">
                  <c:v>5.8491366077138389</c:v>
                </c:pt>
                <c:pt idx="21">
                  <c:v>5.2853644045606973</c:v>
                </c:pt>
                <c:pt idx="22">
                  <c:v>6.4065023085584203</c:v>
                </c:pt>
                <c:pt idx="23">
                  <c:v>7.885506375080741</c:v>
                </c:pt>
                <c:pt idx="25">
                  <c:v>5.3426583276453652</c:v>
                </c:pt>
                <c:pt idx="26">
                  <c:v>3.7638201062780721</c:v>
                </c:pt>
                <c:pt idx="27">
                  <c:v>3.9150847441190346</c:v>
                </c:pt>
                <c:pt idx="30">
                  <c:v>4.9183003678912636</c:v>
                </c:pt>
                <c:pt idx="31">
                  <c:v>4.7799999999999994</c:v>
                </c:pt>
                <c:pt idx="32">
                  <c:v>5.3832415231636732</c:v>
                </c:pt>
                <c:pt idx="33">
                  <c:v>5.2364258452592098</c:v>
                </c:pt>
                <c:pt idx="35">
                  <c:v>5.8272820771285758</c:v>
                </c:pt>
                <c:pt idx="38">
                  <c:v>3.7584813543542737</c:v>
                </c:pt>
                <c:pt idx="40">
                  <c:v>8.0789786121633913</c:v>
                </c:pt>
                <c:pt idx="41">
                  <c:v>8.3630560228542734</c:v>
                </c:pt>
                <c:pt idx="42">
                  <c:v>5.8645744680851069</c:v>
                </c:pt>
                <c:pt idx="44">
                  <c:v>5.0329999999999995</c:v>
                </c:pt>
                <c:pt idx="47">
                  <c:v>8.2222222222222214</c:v>
                </c:pt>
                <c:pt idx="50">
                  <c:v>5.6496000000000004</c:v>
                </c:pt>
                <c:pt idx="51">
                  <c:v>6.6919999999999993</c:v>
                </c:pt>
                <c:pt idx="52">
                  <c:v>7.5161290322580649</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Data!$R$58:$R$65</c:f>
              <c:numCache>
                <c:formatCode>0.00</c:formatCode>
                <c:ptCount val="8"/>
                <c:pt idx="0">
                  <c:v>6.8340236657699132</c:v>
                </c:pt>
                <c:pt idx="1">
                  <c:v>7.0097761276815929</c:v>
                </c:pt>
                <c:pt idx="2">
                  <c:v>9.1205598007949913</c:v>
                </c:pt>
                <c:pt idx="3">
                  <c:v>11.745254232357103</c:v>
                </c:pt>
                <c:pt idx="4">
                  <c:v>5.7719535084726346</c:v>
                </c:pt>
                <c:pt idx="5">
                  <c:v>7.6282453467075744</c:v>
                </c:pt>
                <c:pt idx="6">
                  <c:v>10.7</c:v>
                </c:pt>
                <c:pt idx="7">
                  <c:v>6.0079365079365079</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Data!$R$66:$R$116</c:f>
              <c:numCache>
                <c:formatCode>0.00</c:formatCode>
                <c:ptCount val="51"/>
                <c:pt idx="0">
                  <c:v>6.046848387291849</c:v>
                </c:pt>
                <c:pt idx="2">
                  <c:v>5.0477857046708845</c:v>
                </c:pt>
                <c:pt idx="3">
                  <c:v>2.7777777777777777</c:v>
                </c:pt>
                <c:pt idx="4">
                  <c:v>7.6664477625749097</c:v>
                </c:pt>
                <c:pt idx="5">
                  <c:v>3.3557869235306015</c:v>
                </c:pt>
                <c:pt idx="6">
                  <c:v>2.6874734260478124</c:v>
                </c:pt>
                <c:pt idx="8">
                  <c:v>4.1513487132919158</c:v>
                </c:pt>
                <c:pt idx="9">
                  <c:v>3.4256991511041552</c:v>
                </c:pt>
                <c:pt idx="10">
                  <c:v>5.5386703875051984</c:v>
                </c:pt>
                <c:pt idx="12">
                  <c:v>6.4833803362611224</c:v>
                </c:pt>
                <c:pt idx="13">
                  <c:v>5.4586774124045414</c:v>
                </c:pt>
                <c:pt idx="14">
                  <c:v>4.235409859546956</c:v>
                </c:pt>
                <c:pt idx="15">
                  <c:v>4.0656649265851517</c:v>
                </c:pt>
                <c:pt idx="17">
                  <c:v>3.987166666666667</c:v>
                </c:pt>
                <c:pt idx="18">
                  <c:v>5.2119565656084648</c:v>
                </c:pt>
                <c:pt idx="20">
                  <c:v>3.9362473643575164</c:v>
                </c:pt>
                <c:pt idx="21">
                  <c:v>6.2837110143110504</c:v>
                </c:pt>
                <c:pt idx="22">
                  <c:v>4.6981016929428421</c:v>
                </c:pt>
                <c:pt idx="23">
                  <c:v>6.3835456752860864</c:v>
                </c:pt>
                <c:pt idx="24">
                  <c:v>3.1879975773540714</c:v>
                </c:pt>
                <c:pt idx="25">
                  <c:v>4.42</c:v>
                </c:pt>
                <c:pt idx="26">
                  <c:v>5.5117015820979933</c:v>
                </c:pt>
                <c:pt idx="27">
                  <c:v>5.9509288110609333</c:v>
                </c:pt>
                <c:pt idx="28">
                  <c:v>4.3065932185309386</c:v>
                </c:pt>
                <c:pt idx="30">
                  <c:v>4.29704423135016</c:v>
                </c:pt>
                <c:pt idx="31">
                  <c:v>6.1128709527494927</c:v>
                </c:pt>
                <c:pt idx="33">
                  <c:v>5.3793264384195538</c:v>
                </c:pt>
                <c:pt idx="34">
                  <c:v>3.0537661004128474</c:v>
                </c:pt>
                <c:pt idx="35">
                  <c:v>8.0055652847746028</c:v>
                </c:pt>
                <c:pt idx="36">
                  <c:v>7.5</c:v>
                </c:pt>
                <c:pt idx="37">
                  <c:v>2.2320000000000002</c:v>
                </c:pt>
                <c:pt idx="38">
                  <c:v>6.9853493613824194</c:v>
                </c:pt>
                <c:pt idx="39">
                  <c:v>4.6335444445025811</c:v>
                </c:pt>
                <c:pt idx="41">
                  <c:v>3</c:v>
                </c:pt>
                <c:pt idx="42">
                  <c:v>7</c:v>
                </c:pt>
                <c:pt idx="43">
                  <c:v>6.1909999999999998</c:v>
                </c:pt>
                <c:pt idx="44">
                  <c:v>7.8</c:v>
                </c:pt>
                <c:pt idx="45">
                  <c:v>5.5873015873015879</c:v>
                </c:pt>
                <c:pt idx="46">
                  <c:v>5.9428571428571431</c:v>
                </c:pt>
                <c:pt idx="47">
                  <c:v>6.075131499495054</c:v>
                </c:pt>
                <c:pt idx="48">
                  <c:v>4.9741151674032347</c:v>
                </c:pt>
                <c:pt idx="50">
                  <c:v>5.559444444444444</c:v>
                </c:pt>
              </c:numCache>
            </c:numRef>
          </c:yVal>
          <c:smooth val="0"/>
        </c:ser>
        <c:dLbls>
          <c:showLegendKey val="0"/>
          <c:showVal val="0"/>
          <c:showCatName val="0"/>
          <c:showSerName val="0"/>
          <c:showPercent val="0"/>
          <c:showBubbleSize val="0"/>
        </c:dLbls>
        <c:axId val="108094976"/>
        <c:axId val="108096896"/>
      </c:scatterChart>
      <c:valAx>
        <c:axId val="108094976"/>
        <c:scaling>
          <c:orientation val="minMax"/>
          <c:min val="0.1"/>
        </c:scaling>
        <c:delete val="0"/>
        <c:axPos val="b"/>
        <c:title>
          <c:tx>
            <c:rich>
              <a:bodyPr/>
              <a:lstStyle/>
              <a:p>
                <a:pPr>
                  <a:defRPr sz="1800"/>
                </a:pPr>
                <a:r>
                  <a:rPr lang="en-US" sz="1800"/>
                  <a:t>Module Efficiency</a:t>
                </a:r>
              </a:p>
            </c:rich>
          </c:tx>
          <c:overlay val="0"/>
        </c:title>
        <c:numFmt formatCode="0%" sourceLinked="0"/>
        <c:majorTickMark val="out"/>
        <c:minorTickMark val="none"/>
        <c:tickLblPos val="nextTo"/>
        <c:txPr>
          <a:bodyPr/>
          <a:lstStyle/>
          <a:p>
            <a:pPr>
              <a:defRPr sz="1600"/>
            </a:pPr>
            <a:endParaRPr lang="en-US"/>
          </a:p>
        </c:txPr>
        <c:crossAx val="108096896"/>
        <c:crosses val="autoZero"/>
        <c:crossBetween val="midCat"/>
      </c:valAx>
      <c:valAx>
        <c:axId val="108096896"/>
        <c:scaling>
          <c:orientation val="minMax"/>
        </c:scaling>
        <c:delete val="0"/>
        <c:axPos val="l"/>
        <c:title>
          <c:tx>
            <c:rich>
              <a:bodyPr rot="-5400000" vert="horz"/>
              <a:lstStyle/>
              <a:p>
                <a:pPr>
                  <a:defRPr sz="1800"/>
                </a:pPr>
                <a:r>
                  <a:rPr lang="en-US" sz="1800"/>
                  <a:t>Direct Area (Hectares/MW)</a:t>
                </a:r>
              </a:p>
            </c:rich>
          </c:tx>
          <c:overlay val="0"/>
        </c:title>
        <c:numFmt formatCode="0" sourceLinked="0"/>
        <c:majorTickMark val="out"/>
        <c:minorTickMark val="none"/>
        <c:tickLblPos val="nextTo"/>
        <c:txPr>
          <a:bodyPr/>
          <a:lstStyle/>
          <a:p>
            <a:pPr>
              <a:defRPr sz="1600"/>
            </a:pPr>
            <a:endParaRPr lang="en-US"/>
          </a:p>
        </c:txPr>
        <c:crossAx val="108094976"/>
        <c:crosses val="autoZero"/>
        <c:crossBetween val="midCat"/>
        <c:majorUnit val="1"/>
      </c:valAx>
    </c:plotArea>
    <c:legend>
      <c:legendPos val="r"/>
      <c:layout>
        <c:manualLayout>
          <c:xMode val="edge"/>
          <c:yMode val="edge"/>
          <c:x val="0.81107941261168393"/>
          <c:y val="4.6224159383719453E-2"/>
          <c:w val="0.14685094198844564"/>
          <c:h val="0.17443396931670829"/>
        </c:manualLayout>
      </c:layout>
      <c:overlay val="0"/>
      <c:txPr>
        <a:bodyPr/>
        <a:lstStyle/>
        <a:p>
          <a:pPr>
            <a:defRPr sz="18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a:t>
            </a:r>
          </a:p>
        </c:rich>
      </c:tx>
      <c:layout>
        <c:manualLayout>
          <c:xMode val="edge"/>
          <c:yMode val="edge"/>
          <c:x val="0.42740555157877991"/>
          <c:y val="3.1974430615527911E-2"/>
        </c:manualLayout>
      </c:layout>
      <c:overlay val="1"/>
    </c:title>
    <c:autoTitleDeleted val="0"/>
    <c:plotArea>
      <c:layout>
        <c:manualLayout>
          <c:layoutTarget val="inner"/>
          <c:xMode val="edge"/>
          <c:yMode val="edge"/>
          <c:x val="0.16159905011873521"/>
          <c:y val="7.6637879942426823E-2"/>
          <c:w val="0.76815997099461664"/>
          <c:h val="0.75802642316769264"/>
        </c:manualLayout>
      </c:layout>
      <c:scatterChart>
        <c:scatterStyle val="lineMarker"/>
        <c:varyColors val="0"/>
        <c:ser>
          <c:idx val="0"/>
          <c:order val="0"/>
          <c:tx>
            <c:strRef>
              <c:f>Data!$Y$3</c:f>
              <c:strCache>
                <c:ptCount val="1"/>
                <c:pt idx="0">
                  <c:v>1 axis</c:v>
                </c:pt>
              </c:strCache>
            </c:strRef>
          </c:tx>
          <c:spPr>
            <a:ln w="28575">
              <a:noFill/>
            </a:ln>
          </c:spP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Data!$J$3:$J$57</c:f>
              <c:numCache>
                <c:formatCode>General</c:formatCode>
                <c:ptCount val="55"/>
                <c:pt idx="0">
                  <c:v>4.91</c:v>
                </c:pt>
                <c:pt idx="1">
                  <c:v>5.3470000000000004</c:v>
                </c:pt>
                <c:pt idx="2">
                  <c:v>4.42</c:v>
                </c:pt>
                <c:pt idx="3" formatCode="0.00">
                  <c:v>5.38</c:v>
                </c:pt>
                <c:pt idx="4">
                  <c:v>6.5</c:v>
                </c:pt>
                <c:pt idx="5">
                  <c:v>5</c:v>
                </c:pt>
                <c:pt idx="6">
                  <c:v>9.5</c:v>
                </c:pt>
                <c:pt idx="7">
                  <c:v>11.2</c:v>
                </c:pt>
                <c:pt idx="8">
                  <c:v>7.95</c:v>
                </c:pt>
                <c:pt idx="9">
                  <c:v>9</c:v>
                </c:pt>
                <c:pt idx="10">
                  <c:v>9</c:v>
                </c:pt>
                <c:pt idx="11">
                  <c:v>11.54</c:v>
                </c:pt>
                <c:pt idx="12">
                  <c:v>10</c:v>
                </c:pt>
                <c:pt idx="13">
                  <c:v>12.13</c:v>
                </c:pt>
                <c:pt idx="14">
                  <c:v>10.66</c:v>
                </c:pt>
                <c:pt idx="15">
                  <c:v>9.1539999999999999</c:v>
                </c:pt>
                <c:pt idx="16">
                  <c:v>11.4</c:v>
                </c:pt>
                <c:pt idx="17">
                  <c:v>9.5</c:v>
                </c:pt>
                <c:pt idx="18">
                  <c:v>10.78</c:v>
                </c:pt>
                <c:pt idx="19">
                  <c:v>15</c:v>
                </c:pt>
                <c:pt idx="20">
                  <c:v>9.9600000000000009</c:v>
                </c:pt>
                <c:pt idx="21">
                  <c:v>13</c:v>
                </c:pt>
                <c:pt idx="22">
                  <c:v>17</c:v>
                </c:pt>
                <c:pt idx="23">
                  <c:v>19.2</c:v>
                </c:pt>
                <c:pt idx="24">
                  <c:v>22</c:v>
                </c:pt>
                <c:pt idx="25">
                  <c:v>25</c:v>
                </c:pt>
                <c:pt idx="26">
                  <c:v>15.7</c:v>
                </c:pt>
                <c:pt idx="27">
                  <c:v>34</c:v>
                </c:pt>
                <c:pt idx="28">
                  <c:v>40</c:v>
                </c:pt>
                <c:pt idx="29">
                  <c:v>27</c:v>
                </c:pt>
                <c:pt idx="30">
                  <c:v>35</c:v>
                </c:pt>
                <c:pt idx="31">
                  <c:v>28.7</c:v>
                </c:pt>
                <c:pt idx="32">
                  <c:v>40</c:v>
                </c:pt>
                <c:pt idx="33">
                  <c:v>43</c:v>
                </c:pt>
                <c:pt idx="34">
                  <c:v>30</c:v>
                </c:pt>
                <c:pt idx="35">
                  <c:v>63.1</c:v>
                </c:pt>
                <c:pt idx="36">
                  <c:v>36.5</c:v>
                </c:pt>
                <c:pt idx="37">
                  <c:v>60</c:v>
                </c:pt>
                <c:pt idx="38">
                  <c:v>41</c:v>
                </c:pt>
                <c:pt idx="39">
                  <c:v>60</c:v>
                </c:pt>
                <c:pt idx="40">
                  <c:v>100</c:v>
                </c:pt>
                <c:pt idx="41">
                  <c:v>85.71</c:v>
                </c:pt>
                <c:pt idx="42">
                  <c:v>73.849999999999994</c:v>
                </c:pt>
                <c:pt idx="43">
                  <c:v>80</c:v>
                </c:pt>
                <c:pt idx="44">
                  <c:v>103</c:v>
                </c:pt>
                <c:pt idx="45">
                  <c:v>118</c:v>
                </c:pt>
                <c:pt idx="46">
                  <c:v>90</c:v>
                </c:pt>
                <c:pt idx="47">
                  <c:v>140</c:v>
                </c:pt>
                <c:pt idx="48">
                  <c:v>100</c:v>
                </c:pt>
                <c:pt idx="49">
                  <c:v>130</c:v>
                </c:pt>
                <c:pt idx="50">
                  <c:v>119.67</c:v>
                </c:pt>
                <c:pt idx="51">
                  <c:v>116.61</c:v>
                </c:pt>
                <c:pt idx="52">
                  <c:v>200</c:v>
                </c:pt>
                <c:pt idx="53">
                  <c:v>212</c:v>
                </c:pt>
                <c:pt idx="54">
                  <c:v>145</c:v>
                </c:pt>
              </c:numCache>
            </c:numRef>
          </c:yVal>
          <c:smooth val="0"/>
        </c:ser>
        <c:ser>
          <c:idx val="1"/>
          <c:order val="1"/>
          <c:tx>
            <c:strRef>
              <c:f>Data!$Y$59</c:f>
              <c:strCache>
                <c:ptCount val="1"/>
                <c:pt idx="0">
                  <c:v>2 axis</c:v>
                </c:pt>
              </c:strCache>
            </c:strRef>
          </c:tx>
          <c:spPr>
            <a:ln w="28575">
              <a:noFill/>
            </a:ln>
          </c:spPr>
          <c:xVal>
            <c:numRef>
              <c:f>Data!$F$58:$F$65</c:f>
              <c:numCache>
                <c:formatCode>0</c:formatCode>
                <c:ptCount val="8"/>
                <c:pt idx="0">
                  <c:v>1014</c:v>
                </c:pt>
                <c:pt idx="1">
                  <c:v>1037</c:v>
                </c:pt>
                <c:pt idx="2">
                  <c:v>1159</c:v>
                </c:pt>
                <c:pt idx="3">
                  <c:v>2200</c:v>
                </c:pt>
                <c:pt idx="4">
                  <c:v>175</c:v>
                </c:pt>
                <c:pt idx="5">
                  <c:v>1047</c:v>
                </c:pt>
                <c:pt idx="6">
                  <c:v>1174.5254232357104</c:v>
                </c:pt>
                <c:pt idx="7">
                  <c:v>6468</c:v>
                </c:pt>
              </c:numCache>
            </c:numRef>
          </c:xVal>
          <c:yVal>
            <c:numRef>
              <c:f>Data!$J$58:$J$65</c:f>
              <c:numCache>
                <c:formatCode>General</c:formatCode>
                <c:ptCount val="8"/>
                <c:pt idx="0">
                  <c:v>10</c:v>
                </c:pt>
                <c:pt idx="1">
                  <c:v>11.920014</c:v>
                </c:pt>
                <c:pt idx="2">
                  <c:v>9.5</c:v>
                </c:pt>
                <c:pt idx="3">
                  <c:v>27</c:v>
                </c:pt>
                <c:pt idx="4">
                  <c:v>1.635</c:v>
                </c:pt>
                <c:pt idx="5">
                  <c:v>6.8</c:v>
                </c:pt>
                <c:pt idx="6">
                  <c:v>17</c:v>
                </c:pt>
                <c:pt idx="7">
                  <c:v>39</c:v>
                </c:pt>
              </c:numCache>
            </c:numRef>
          </c:yVal>
          <c:smooth val="0"/>
        </c:ser>
        <c:ser>
          <c:idx val="2"/>
          <c:order val="2"/>
          <c:tx>
            <c:v>fixed</c:v>
          </c:tx>
          <c:spPr>
            <a:ln w="28575">
              <a:noFill/>
            </a:ln>
          </c:spP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Data!$J$66:$J$116</c:f>
              <c:numCache>
                <c:formatCode>General</c:formatCode>
                <c:ptCount val="51"/>
                <c:pt idx="0">
                  <c:v>5.949414</c:v>
                </c:pt>
                <c:pt idx="1">
                  <c:v>4.8499999999999996</c:v>
                </c:pt>
                <c:pt idx="2">
                  <c:v>5.7</c:v>
                </c:pt>
                <c:pt idx="3">
                  <c:v>5.5</c:v>
                </c:pt>
                <c:pt idx="4">
                  <c:v>9.75</c:v>
                </c:pt>
                <c:pt idx="5">
                  <c:v>3.8</c:v>
                </c:pt>
                <c:pt idx="6">
                  <c:v>4</c:v>
                </c:pt>
                <c:pt idx="7">
                  <c:v>9.4</c:v>
                </c:pt>
                <c:pt idx="8">
                  <c:v>7.26</c:v>
                </c:pt>
                <c:pt idx="9">
                  <c:v>4.3</c:v>
                </c:pt>
                <c:pt idx="10">
                  <c:v>6</c:v>
                </c:pt>
                <c:pt idx="11">
                  <c:v>6</c:v>
                </c:pt>
                <c:pt idx="12">
                  <c:v>8.5</c:v>
                </c:pt>
                <c:pt idx="13">
                  <c:v>9</c:v>
                </c:pt>
                <c:pt idx="14">
                  <c:v>13.13</c:v>
                </c:pt>
                <c:pt idx="15">
                  <c:v>5.5</c:v>
                </c:pt>
                <c:pt idx="16">
                  <c:v>10</c:v>
                </c:pt>
                <c:pt idx="17">
                  <c:v>8.19</c:v>
                </c:pt>
                <c:pt idx="18">
                  <c:v>9</c:v>
                </c:pt>
                <c:pt idx="19">
                  <c:v>11.9</c:v>
                </c:pt>
                <c:pt idx="20">
                  <c:v>9.25</c:v>
                </c:pt>
                <c:pt idx="21">
                  <c:v>12.5</c:v>
                </c:pt>
                <c:pt idx="22">
                  <c:v>9.17</c:v>
                </c:pt>
                <c:pt idx="23">
                  <c:v>18.5</c:v>
                </c:pt>
                <c:pt idx="24">
                  <c:v>8</c:v>
                </c:pt>
                <c:pt idx="25">
                  <c:v>13.7</c:v>
                </c:pt>
                <c:pt idx="26">
                  <c:v>14</c:v>
                </c:pt>
                <c:pt idx="27">
                  <c:v>23.2</c:v>
                </c:pt>
                <c:pt idx="28">
                  <c:v>16.5</c:v>
                </c:pt>
                <c:pt idx="29">
                  <c:v>13</c:v>
                </c:pt>
                <c:pt idx="30">
                  <c:v>28</c:v>
                </c:pt>
                <c:pt idx="31">
                  <c:v>30</c:v>
                </c:pt>
                <c:pt idx="32">
                  <c:v>19</c:v>
                </c:pt>
                <c:pt idx="33">
                  <c:v>25</c:v>
                </c:pt>
                <c:pt idx="34">
                  <c:v>13</c:v>
                </c:pt>
                <c:pt idx="35">
                  <c:v>50</c:v>
                </c:pt>
                <c:pt idx="36">
                  <c:v>48.7</c:v>
                </c:pt>
                <c:pt idx="37">
                  <c:v>15</c:v>
                </c:pt>
                <c:pt idx="38">
                  <c:v>70</c:v>
                </c:pt>
                <c:pt idx="39">
                  <c:v>32</c:v>
                </c:pt>
                <c:pt idx="40">
                  <c:v>60</c:v>
                </c:pt>
                <c:pt idx="41">
                  <c:v>45</c:v>
                </c:pt>
                <c:pt idx="42">
                  <c:v>80</c:v>
                </c:pt>
                <c:pt idx="43">
                  <c:v>77</c:v>
                </c:pt>
                <c:pt idx="44">
                  <c:v>98</c:v>
                </c:pt>
                <c:pt idx="45">
                  <c:v>96</c:v>
                </c:pt>
                <c:pt idx="46">
                  <c:v>108</c:v>
                </c:pt>
                <c:pt idx="47">
                  <c:v>135</c:v>
                </c:pt>
                <c:pt idx="48">
                  <c:v>100</c:v>
                </c:pt>
                <c:pt idx="49">
                  <c:v>200</c:v>
                </c:pt>
                <c:pt idx="50">
                  <c:v>139.19999999999999</c:v>
                </c:pt>
              </c:numCache>
            </c:numRef>
          </c:yVal>
          <c:smooth val="0"/>
        </c:ser>
        <c:ser>
          <c:idx val="3"/>
          <c:order val="3"/>
          <c:tx>
            <c:v>unknown</c:v>
          </c:tx>
          <c:spPr>
            <a:ln w="28575">
              <a:noFill/>
            </a:ln>
          </c:spPr>
          <c:xVal>
            <c:numRef>
              <c:f>Data!$F$83:$F$128</c:f>
              <c:numCache>
                <c:formatCode>0</c:formatCode>
                <c:ptCount val="46"/>
                <c:pt idx="0">
                  <c:v>1400</c:v>
                </c:pt>
                <c:pt idx="1">
                  <c:v>1600</c:v>
                </c:pt>
                <c:pt idx="2">
                  <c:v>1660</c:v>
                </c:pt>
                <c:pt idx="3">
                  <c:v>1850</c:v>
                </c:pt>
                <c:pt idx="4">
                  <c:v>2000</c:v>
                </c:pt>
                <c:pt idx="5">
                  <c:v>2000</c:v>
                </c:pt>
                <c:pt idx="6">
                  <c:v>2000</c:v>
                </c:pt>
                <c:pt idx="7">
                  <c:v>2100</c:v>
                </c:pt>
                <c:pt idx="8">
                  <c:v>2592</c:v>
                </c:pt>
                <c:pt idx="9">
                  <c:v>2151</c:v>
                </c:pt>
                <c:pt idx="10">
                  <c:v>3000</c:v>
                </c:pt>
                <c:pt idx="11">
                  <c:v>3000</c:v>
                </c:pt>
                <c:pt idx="12">
                  <c:v>3000</c:v>
                </c:pt>
                <c:pt idx="13">
                  <c:v>4100</c:v>
                </c:pt>
                <c:pt idx="14">
                  <c:v>4400</c:v>
                </c:pt>
                <c:pt idx="15">
                  <c:v>4500</c:v>
                </c:pt>
                <c:pt idx="16">
                  <c:v>5000</c:v>
                </c:pt>
                <c:pt idx="17">
                  <c:v>5000</c:v>
                </c:pt>
                <c:pt idx="18">
                  <c:v>5000</c:v>
                </c:pt>
                <c:pt idx="19" formatCode="General">
                  <c:v>6200</c:v>
                </c:pt>
                <c:pt idx="20" formatCode="General">
                  <c:v>5742</c:v>
                </c:pt>
                <c:pt idx="21">
                  <c:v>6480</c:v>
                </c:pt>
                <c:pt idx="22">
                  <c:v>6768</c:v>
                </c:pt>
                <c:pt idx="23" formatCode="General">
                  <c:v>10000</c:v>
                </c:pt>
                <c:pt idx="24">
                  <c:v>11745.254232357105</c:v>
                </c:pt>
                <c:pt idx="25">
                  <c:v>12000</c:v>
                </c:pt>
                <c:pt idx="26">
                  <c:v>12600</c:v>
                </c:pt>
                <c:pt idx="27">
                  <c:v>12502</c:v>
                </c:pt>
                <c:pt idx="28">
                  <c:v>15010</c:v>
                </c:pt>
                <c:pt idx="29">
                  <c:v>16100</c:v>
                </c:pt>
                <c:pt idx="30">
                  <c:v>17400</c:v>
                </c:pt>
                <c:pt idx="31" formatCode="General">
                  <c:v>20000</c:v>
                </c:pt>
                <c:pt idx="32">
                  <c:v>20295.799313513078</c:v>
                </c:pt>
                <c:pt idx="33">
                  <c:v>21141.457618242788</c:v>
                </c:pt>
                <c:pt idx="34">
                  <c:v>2000</c:v>
                </c:pt>
                <c:pt idx="35">
                  <c:v>2300</c:v>
                </c:pt>
                <c:pt idx="36">
                  <c:v>3200</c:v>
                </c:pt>
                <c:pt idx="37">
                  <c:v>4200</c:v>
                </c:pt>
                <c:pt idx="38">
                  <c:v>5000</c:v>
                </c:pt>
                <c:pt idx="39">
                  <c:v>5000</c:v>
                </c:pt>
                <c:pt idx="40">
                  <c:v>5000</c:v>
                </c:pt>
                <c:pt idx="41" formatCode="General">
                  <c:v>8000</c:v>
                </c:pt>
                <c:pt idx="42" formatCode="General">
                  <c:v>19880</c:v>
                </c:pt>
                <c:pt idx="43" formatCode="General">
                  <c:v>20000</c:v>
                </c:pt>
                <c:pt idx="44" formatCode="General">
                  <c:v>20000</c:v>
                </c:pt>
                <c:pt idx="45" formatCode="General">
                  <c:v>23000</c:v>
                </c:pt>
              </c:numCache>
            </c:numRef>
          </c:xVal>
          <c:yVal>
            <c:numRef>
              <c:f>Data!$J$83:$J$128</c:f>
              <c:numCache>
                <c:formatCode>General</c:formatCode>
                <c:ptCount val="46"/>
                <c:pt idx="0">
                  <c:v>8.19</c:v>
                </c:pt>
                <c:pt idx="1">
                  <c:v>9</c:v>
                </c:pt>
                <c:pt idx="2">
                  <c:v>11.9</c:v>
                </c:pt>
                <c:pt idx="3">
                  <c:v>9.25</c:v>
                </c:pt>
                <c:pt idx="4">
                  <c:v>12.5</c:v>
                </c:pt>
                <c:pt idx="5">
                  <c:v>9.17</c:v>
                </c:pt>
                <c:pt idx="6">
                  <c:v>18.5</c:v>
                </c:pt>
                <c:pt idx="7">
                  <c:v>8</c:v>
                </c:pt>
                <c:pt idx="8">
                  <c:v>13.7</c:v>
                </c:pt>
                <c:pt idx="9">
                  <c:v>14</c:v>
                </c:pt>
                <c:pt idx="10">
                  <c:v>23.2</c:v>
                </c:pt>
                <c:pt idx="11">
                  <c:v>16.5</c:v>
                </c:pt>
                <c:pt idx="12">
                  <c:v>13</c:v>
                </c:pt>
                <c:pt idx="13">
                  <c:v>28</c:v>
                </c:pt>
                <c:pt idx="14">
                  <c:v>30</c:v>
                </c:pt>
                <c:pt idx="15">
                  <c:v>19</c:v>
                </c:pt>
                <c:pt idx="16">
                  <c:v>25</c:v>
                </c:pt>
                <c:pt idx="17">
                  <c:v>13</c:v>
                </c:pt>
                <c:pt idx="18">
                  <c:v>50</c:v>
                </c:pt>
                <c:pt idx="19">
                  <c:v>48.7</c:v>
                </c:pt>
                <c:pt idx="20">
                  <c:v>15</c:v>
                </c:pt>
                <c:pt idx="21">
                  <c:v>70</c:v>
                </c:pt>
                <c:pt idx="22">
                  <c:v>32</c:v>
                </c:pt>
                <c:pt idx="23">
                  <c:v>60</c:v>
                </c:pt>
                <c:pt idx="24">
                  <c:v>45</c:v>
                </c:pt>
                <c:pt idx="25">
                  <c:v>80</c:v>
                </c:pt>
                <c:pt idx="26">
                  <c:v>77</c:v>
                </c:pt>
                <c:pt idx="27">
                  <c:v>98</c:v>
                </c:pt>
                <c:pt idx="28">
                  <c:v>96</c:v>
                </c:pt>
                <c:pt idx="29">
                  <c:v>108</c:v>
                </c:pt>
                <c:pt idx="30">
                  <c:v>135</c:v>
                </c:pt>
                <c:pt idx="31">
                  <c:v>100</c:v>
                </c:pt>
                <c:pt idx="32">
                  <c:v>200</c:v>
                </c:pt>
                <c:pt idx="33">
                  <c:v>139.19999999999999</c:v>
                </c:pt>
                <c:pt idx="34">
                  <c:v>11</c:v>
                </c:pt>
                <c:pt idx="35">
                  <c:v>12</c:v>
                </c:pt>
                <c:pt idx="36">
                  <c:v>10</c:v>
                </c:pt>
                <c:pt idx="37">
                  <c:v>62</c:v>
                </c:pt>
                <c:pt idx="38">
                  <c:v>28</c:v>
                </c:pt>
                <c:pt idx="39">
                  <c:v>50</c:v>
                </c:pt>
                <c:pt idx="40">
                  <c:v>50</c:v>
                </c:pt>
                <c:pt idx="41">
                  <c:v>24</c:v>
                </c:pt>
                <c:pt idx="42">
                  <c:v>95</c:v>
                </c:pt>
                <c:pt idx="43">
                  <c:v>200</c:v>
                </c:pt>
                <c:pt idx="44">
                  <c:v>174</c:v>
                </c:pt>
                <c:pt idx="45">
                  <c:v>160</c:v>
                </c:pt>
              </c:numCache>
            </c:numRef>
          </c:yVal>
          <c:smooth val="0"/>
        </c:ser>
        <c:dLbls>
          <c:showLegendKey val="0"/>
          <c:showVal val="0"/>
          <c:showCatName val="0"/>
          <c:showSerName val="0"/>
          <c:showPercent val="0"/>
          <c:showBubbleSize val="0"/>
        </c:dLbls>
        <c:axId val="71872512"/>
        <c:axId val="71874816"/>
      </c:scatterChart>
      <c:valAx>
        <c:axId val="71872512"/>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71874816"/>
        <c:crosses val="autoZero"/>
        <c:crossBetween val="midCat"/>
        <c:dispUnits>
          <c:builtInUnit val="thousands"/>
        </c:dispUnits>
      </c:valAx>
      <c:valAx>
        <c:axId val="71874816"/>
        <c:scaling>
          <c:orientation val="minMax"/>
        </c:scaling>
        <c:delete val="0"/>
        <c:axPos val="l"/>
        <c:title>
          <c:tx>
            <c:rich>
              <a:bodyPr rot="-5400000" vert="horz"/>
              <a:lstStyle/>
              <a:p>
                <a:pPr>
                  <a:defRPr/>
                </a:pPr>
                <a:r>
                  <a:rPr lang="en-US"/>
                  <a:t>Acres</a:t>
                </a:r>
              </a:p>
            </c:rich>
          </c:tx>
          <c:overlay val="0"/>
        </c:title>
        <c:numFmt formatCode="0" sourceLinked="0"/>
        <c:majorTickMark val="out"/>
        <c:minorTickMark val="none"/>
        <c:tickLblPos val="nextTo"/>
        <c:crossAx val="71872512"/>
        <c:crosses val="autoZero"/>
        <c:crossBetween val="midCat"/>
      </c:valAx>
    </c:plotArea>
    <c:legend>
      <c:legendPos val="r"/>
      <c:layout>
        <c:manualLayout>
          <c:xMode val="edge"/>
          <c:yMode val="edge"/>
          <c:x val="0.17574753155855521"/>
          <c:y val="0.11245745491490983"/>
          <c:w val="0.22751293612897341"/>
          <c:h val="0.31312404131302096"/>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Wholesale Distributed PV</a:t>
            </a:r>
          </a:p>
        </c:rich>
      </c:tx>
      <c:layout>
        <c:manualLayout>
          <c:xMode val="edge"/>
          <c:yMode val="edge"/>
          <c:x val="0.38847132480532981"/>
          <c:y val="1.7268337641000983E-2"/>
        </c:manualLayout>
      </c:layout>
      <c:overlay val="1"/>
    </c:title>
    <c:autoTitleDeleted val="0"/>
    <c:plotArea>
      <c:layout>
        <c:manualLayout>
          <c:layoutTarget val="inner"/>
          <c:xMode val="edge"/>
          <c:yMode val="edge"/>
          <c:x val="0.10903509154378981"/>
          <c:y val="0.13685310303953938"/>
          <c:w val="0.79951006124234325"/>
          <c:h val="0.7168580072529106"/>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Data!$U$3:$U$57</c:f>
              <c:numCache>
                <c:formatCode>0.00</c:formatCode>
                <c:ptCount val="55"/>
                <c:pt idx="0">
                  <c:v>2.9999999999999996</c:v>
                </c:pt>
                <c:pt idx="1">
                  <c:v>2.6190247648301015</c:v>
                </c:pt>
                <c:pt idx="2">
                  <c:v>2.987951807228916</c:v>
                </c:pt>
                <c:pt idx="3">
                  <c:v>2.5352112676056335</c:v>
                </c:pt>
                <c:pt idx="6">
                  <c:v>5.1282051282051277</c:v>
                </c:pt>
                <c:pt idx="7">
                  <c:v>4.7732696897374707</c:v>
                </c:pt>
                <c:pt idx="8">
                  <c:v>2.6341422943847985</c:v>
                </c:pt>
                <c:pt idx="10">
                  <c:v>2.918362309674035</c:v>
                </c:pt>
                <c:pt idx="11">
                  <c:v>4.3478260869565215</c:v>
                </c:pt>
                <c:pt idx="12">
                  <c:v>2.5922853587722936</c:v>
                </c:pt>
                <c:pt idx="13">
                  <c:v>3.0491803278688527</c:v>
                </c:pt>
                <c:pt idx="14">
                  <c:v>2.1555539379822388</c:v>
                </c:pt>
                <c:pt idx="17">
                  <c:v>3</c:v>
                </c:pt>
                <c:pt idx="18">
                  <c:v>2.2857164895176094</c:v>
                </c:pt>
                <c:pt idx="19">
                  <c:v>3.1746031746031744</c:v>
                </c:pt>
                <c:pt idx="20">
                  <c:v>2.1276595744680851</c:v>
                </c:pt>
                <c:pt idx="22">
                  <c:v>3.0864197530864197</c:v>
                </c:pt>
                <c:pt idx="23">
                  <c:v>1.9607843137254901</c:v>
                </c:pt>
                <c:pt idx="25">
                  <c:v>2.230763267046556</c:v>
                </c:pt>
                <c:pt idx="31">
                  <c:v>2.2336884898032121</c:v>
                </c:pt>
                <c:pt idx="32">
                  <c:v>2.2172949002217295</c:v>
                </c:pt>
                <c:pt idx="33">
                  <c:v>3.5087719298245617</c:v>
                </c:pt>
                <c:pt idx="35">
                  <c:v>2.5768984765670426</c:v>
                </c:pt>
                <c:pt idx="38">
                  <c:v>1.9470404984423677</c:v>
                </c:pt>
                <c:pt idx="40">
                  <c:v>3.0816640986132509</c:v>
                </c:pt>
                <c:pt idx="41">
                  <c:v>3.0599755201958385</c:v>
                </c:pt>
                <c:pt idx="42">
                  <c:v>2.1765627720703464</c:v>
                </c:pt>
                <c:pt idx="47">
                  <c:v>4.8238103277779123</c:v>
                </c:pt>
                <c:pt idx="50">
                  <c:v>2.8296547821165818</c:v>
                </c:pt>
                <c:pt idx="51">
                  <c:v>1.9774569903104606</c:v>
                </c:pt>
                <c:pt idx="52">
                  <c:v>2.8735632183908049</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Data!$U$58:$U$65</c:f>
              <c:numCache>
                <c:formatCode>0.00</c:formatCode>
                <c:ptCount val="8"/>
                <c:pt idx="0">
                  <c:v>4.3233895373973192</c:v>
                </c:pt>
                <c:pt idx="1">
                  <c:v>4.5454545454545459</c:v>
                </c:pt>
                <c:pt idx="2">
                  <c:v>4.7619047619047619</c:v>
                </c:pt>
                <c:pt idx="3">
                  <c:v>4.4543429844097995</c:v>
                </c:pt>
                <c:pt idx="4">
                  <c:v>7.4835175525904196</c:v>
                </c:pt>
                <c:pt idx="5">
                  <c:v>4.5454545454545459</c:v>
                </c:pt>
                <c:pt idx="6">
                  <c:v>5.5555555555555554</c:v>
                </c:pt>
                <c:pt idx="7">
                  <c:v>3.1055900621118013</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Data!$U$66:$U$116</c:f>
              <c:numCache>
                <c:formatCode>0.00</c:formatCode>
                <c:ptCount val="51"/>
                <c:pt idx="0">
                  <c:v>2.7932960893854748</c:v>
                </c:pt>
                <c:pt idx="2">
                  <c:v>1.9230769230769229</c:v>
                </c:pt>
                <c:pt idx="3">
                  <c:v>1.7241379310344829</c:v>
                </c:pt>
                <c:pt idx="4">
                  <c:v>2.2522522522522523</c:v>
                </c:pt>
                <c:pt idx="5">
                  <c:v>3.2258064516129035</c:v>
                </c:pt>
                <c:pt idx="8">
                  <c:v>2.230763267046556</c:v>
                </c:pt>
                <c:pt idx="12">
                  <c:v>2.4018253872943438</c:v>
                </c:pt>
                <c:pt idx="13">
                  <c:v>2.056343820686819</c:v>
                </c:pt>
                <c:pt idx="14">
                  <c:v>1.6949152542372883</c:v>
                </c:pt>
                <c:pt idx="18">
                  <c:v>2.3255813953488373</c:v>
                </c:pt>
                <c:pt idx="20">
                  <c:v>1.6129032258064517</c:v>
                </c:pt>
                <c:pt idx="21">
                  <c:v>1.7543859649122808</c:v>
                </c:pt>
                <c:pt idx="22">
                  <c:v>2.4473813020068524</c:v>
                </c:pt>
                <c:pt idx="23">
                  <c:v>1.5822784810126582</c:v>
                </c:pt>
                <c:pt idx="25">
                  <c:v>2.4201355275895451</c:v>
                </c:pt>
                <c:pt idx="26">
                  <c:v>2.5</c:v>
                </c:pt>
                <c:pt idx="27">
                  <c:v>2.1629244468861457</c:v>
                </c:pt>
                <c:pt idx="28">
                  <c:v>2.1052631578947367</c:v>
                </c:pt>
                <c:pt idx="30">
                  <c:v>1.6441689548017953</c:v>
                </c:pt>
                <c:pt idx="31">
                  <c:v>2.5426530041445248</c:v>
                </c:pt>
                <c:pt idx="34">
                  <c:v>1.1111111111111112</c:v>
                </c:pt>
                <c:pt idx="35">
                  <c:v>1.6557387906483871</c:v>
                </c:pt>
                <c:pt idx="36">
                  <c:v>1.9762845849802371</c:v>
                </c:pt>
                <c:pt idx="37">
                  <c:v>1.0869565217391304</c:v>
                </c:pt>
                <c:pt idx="39">
                  <c:v>2</c:v>
                </c:pt>
                <c:pt idx="41">
                  <c:v>1.6170763260025875</c:v>
                </c:pt>
                <c:pt idx="42">
                  <c:v>2.1739130434782608</c:v>
                </c:pt>
                <c:pt idx="43">
                  <c:v>2.06058108386565</c:v>
                </c:pt>
              </c:numCache>
            </c:numRef>
          </c:yVal>
          <c:smooth val="0"/>
        </c:ser>
        <c:dLbls>
          <c:showLegendKey val="0"/>
          <c:showVal val="0"/>
          <c:showCatName val="0"/>
          <c:showSerName val="0"/>
          <c:showPercent val="0"/>
          <c:showBubbleSize val="0"/>
        </c:dLbls>
        <c:axId val="108152320"/>
        <c:axId val="108154240"/>
      </c:scatterChart>
      <c:valAx>
        <c:axId val="108152320"/>
        <c:scaling>
          <c:orientation val="minMax"/>
          <c:min val="0.05"/>
        </c:scaling>
        <c:delete val="0"/>
        <c:axPos val="b"/>
        <c:title>
          <c:tx>
            <c:rich>
              <a:bodyPr/>
              <a:lstStyle/>
              <a:p>
                <a:pPr>
                  <a:defRPr sz="1800"/>
                </a:pPr>
                <a:r>
                  <a:rPr lang="en-US" sz="1800"/>
                  <a:t>Module Efficiency</a:t>
                </a:r>
              </a:p>
            </c:rich>
          </c:tx>
          <c:overlay val="0"/>
        </c:title>
        <c:numFmt formatCode="0%" sourceLinked="0"/>
        <c:majorTickMark val="out"/>
        <c:minorTickMark val="none"/>
        <c:tickLblPos val="nextTo"/>
        <c:txPr>
          <a:bodyPr/>
          <a:lstStyle/>
          <a:p>
            <a:pPr>
              <a:defRPr sz="1600"/>
            </a:pPr>
            <a:endParaRPr lang="en-US"/>
          </a:p>
        </c:txPr>
        <c:crossAx val="108154240"/>
        <c:crosses val="autoZero"/>
        <c:crossBetween val="midCat"/>
      </c:valAx>
      <c:valAx>
        <c:axId val="108154240"/>
        <c:scaling>
          <c:orientation val="minMax"/>
          <c:min val="0"/>
        </c:scaling>
        <c:delete val="0"/>
        <c:axPos val="l"/>
        <c:title>
          <c:tx>
            <c:rich>
              <a:bodyPr rot="-5400000" vert="horz"/>
              <a:lstStyle/>
              <a:p>
                <a:pPr>
                  <a:defRPr sz="1800"/>
                </a:pPr>
                <a:r>
                  <a:rPr lang="en-US" sz="1800"/>
                  <a:t>Packing Factor</a:t>
                </a:r>
              </a:p>
            </c:rich>
          </c:tx>
          <c:overlay val="0"/>
        </c:title>
        <c:numFmt formatCode="0" sourceLinked="0"/>
        <c:majorTickMark val="out"/>
        <c:minorTickMark val="none"/>
        <c:tickLblPos val="nextTo"/>
        <c:txPr>
          <a:bodyPr/>
          <a:lstStyle/>
          <a:p>
            <a:pPr>
              <a:defRPr sz="1600"/>
            </a:pPr>
            <a:endParaRPr lang="en-US"/>
          </a:p>
        </c:txPr>
        <c:crossAx val="108152320"/>
        <c:crosses val="autoZero"/>
        <c:crossBetween val="midCat"/>
      </c:valAx>
    </c:plotArea>
    <c:legend>
      <c:legendPos val="r"/>
      <c:legendEntry>
        <c:idx val="1"/>
        <c:txPr>
          <a:bodyPr/>
          <a:lstStyle/>
          <a:p>
            <a:pPr>
              <a:defRPr sz="1800"/>
            </a:pPr>
            <a:endParaRPr lang="en-US"/>
          </a:p>
        </c:txPr>
      </c:legendEntry>
      <c:layout>
        <c:manualLayout>
          <c:xMode val="edge"/>
          <c:yMode val="edge"/>
          <c:x val="0.84528561836747296"/>
          <c:y val="5.3147001662960047E-2"/>
          <c:w val="0.12054117946573122"/>
          <c:h val="0.18149686441866544"/>
        </c:manualLayout>
      </c:layout>
      <c:overlay val="0"/>
      <c:txPr>
        <a:bodyPr/>
        <a:lstStyle/>
        <a:p>
          <a:pPr>
            <a:defRPr sz="16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Wholesale Distributed PV</a:t>
            </a:r>
            <a:r>
              <a:rPr lang="en-US" sz="2000" baseline="0"/>
              <a:t> (Energy)</a:t>
            </a:r>
          </a:p>
          <a:p>
            <a:pPr>
              <a:defRPr sz="2000"/>
            </a:pPr>
            <a:endParaRPr lang="en-US" sz="2000"/>
          </a:p>
        </c:rich>
      </c:tx>
      <c:layout>
        <c:manualLayout>
          <c:xMode val="edge"/>
          <c:yMode val="edge"/>
          <c:x val="0.30072191876217186"/>
          <c:y val="3.4461942257217895E-2"/>
        </c:manualLayout>
      </c:layout>
      <c:overlay val="1"/>
    </c:title>
    <c:autoTitleDeleted val="0"/>
    <c:plotArea>
      <c:layout>
        <c:manualLayout>
          <c:layoutTarget val="inner"/>
          <c:xMode val="edge"/>
          <c:yMode val="edge"/>
          <c:x val="0.11578521535494601"/>
          <c:y val="0.15704314395609212"/>
          <c:w val="0.81397405337462292"/>
          <c:h val="0.68340893955419868"/>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Data!$AM$3:$AM$57</c:f>
              <c:numCache>
                <c:formatCode>General</c:formatCode>
                <c:ptCount val="55"/>
                <c:pt idx="0">
                  <c:v>4.5867904804598716</c:v>
                </c:pt>
                <c:pt idx="1">
                  <c:v>5.0871380563316118</c:v>
                </c:pt>
                <c:pt idx="2">
                  <c:v>3.6963947289277348</c:v>
                </c:pt>
                <c:pt idx="3">
                  <c:v>3.6655300418737524</c:v>
                </c:pt>
                <c:pt idx="4">
                  <c:v>3.0411462393460944</c:v>
                </c:pt>
                <c:pt idx="5">
                  <c:v>2.6177118489531841</c:v>
                </c:pt>
                <c:pt idx="6">
                  <c:v>4.5075326999322334</c:v>
                </c:pt>
                <c:pt idx="7">
                  <c:v>5.0858890872032445</c:v>
                </c:pt>
                <c:pt idx="8">
                  <c:v>3.8619963025608528</c:v>
                </c:pt>
                <c:pt idx="9">
                  <c:v>3.7871695847554165</c:v>
                </c:pt>
                <c:pt idx="10">
                  <c:v>3.5420301786826274</c:v>
                </c:pt>
                <c:pt idx="11">
                  <c:v>4.6602946687957942</c:v>
                </c:pt>
                <c:pt idx="12">
                  <c:v>5.4884398637681411</c:v>
                </c:pt>
                <c:pt idx="13">
                  <c:v>4.6446594977047893</c:v>
                </c:pt>
                <c:pt idx="14">
                  <c:v>4.7720089889249993</c:v>
                </c:pt>
                <c:pt idx="15">
                  <c:v>3.5343765806045586</c:v>
                </c:pt>
                <c:pt idx="16">
                  <c:v>5.239115049128193</c:v>
                </c:pt>
                <c:pt idx="17">
                  <c:v>4.8864291004855565</c:v>
                </c:pt>
                <c:pt idx="18">
                  <c:v>3.4696577819775949</c:v>
                </c:pt>
                <c:pt idx="19">
                  <c:v>4.1154427899927253</c:v>
                </c:pt>
                <c:pt idx="20">
                  <c:v>2.5780750210304295</c:v>
                </c:pt>
                <c:pt idx="21">
                  <c:v>4.1996948323745737</c:v>
                </c:pt>
                <c:pt idx="22">
                  <c:v>4.7511219783996745</c:v>
                </c:pt>
                <c:pt idx="23">
                  <c:v>2.9844836685461118</c:v>
                </c:pt>
                <c:pt idx="24">
                  <c:v>3.2132280947353431</c:v>
                </c:pt>
                <c:pt idx="25">
                  <c:v>4.0301514797548732</c:v>
                </c:pt>
                <c:pt idx="26">
                  <c:v>2.3312808438507013</c:v>
                </c:pt>
                <c:pt idx="27">
                  <c:v>4.7292502039330753</c:v>
                </c:pt>
                <c:pt idx="29">
                  <c:v>3.3556718719235641</c:v>
                </c:pt>
                <c:pt idx="30">
                  <c:v>3.3512405348712657</c:v>
                </c:pt>
                <c:pt idx="31">
                  <c:v>3.0137086993274282</c:v>
                </c:pt>
                <c:pt idx="32">
                  <c:v>3.5432234437024617</c:v>
                </c:pt>
                <c:pt idx="33">
                  <c:v>3.6227070134347565</c:v>
                </c:pt>
                <c:pt idx="34">
                  <c:v>3.2326482698913708</c:v>
                </c:pt>
                <c:pt idx="35">
                  <c:v>4.3440978287931147</c:v>
                </c:pt>
                <c:pt idx="36">
                  <c:v>2.0845819352592625</c:v>
                </c:pt>
                <c:pt idx="37">
                  <c:v>3.9029824628312308</c:v>
                </c:pt>
                <c:pt idx="38">
                  <c:v>2.7882151312113379</c:v>
                </c:pt>
                <c:pt idx="39">
                  <c:v>2.5552140319491881</c:v>
                </c:pt>
                <c:pt idx="40">
                  <c:v>4.4668827961180089</c:v>
                </c:pt>
                <c:pt idx="41">
                  <c:v>3.799021124982537</c:v>
                </c:pt>
                <c:pt idx="42">
                  <c:v>3.5533648031060592</c:v>
                </c:pt>
                <c:pt idx="43">
                  <c:v>2.9962659036176169</c:v>
                </c:pt>
                <c:pt idx="44">
                  <c:v>5.6204606595037623</c:v>
                </c:pt>
                <c:pt idx="45">
                  <c:v>3.6644452788258262</c:v>
                </c:pt>
                <c:pt idx="47">
                  <c:v>3.8203611605711441</c:v>
                </c:pt>
                <c:pt idx="48">
                  <c:v>2.7623180046782618</c:v>
                </c:pt>
                <c:pt idx="49">
                  <c:v>3.4512078914316997</c:v>
                </c:pt>
                <c:pt idx="50">
                  <c:v>3.5778512263266706</c:v>
                </c:pt>
                <c:pt idx="51">
                  <c:v>3.4862706232145988</c:v>
                </c:pt>
                <c:pt idx="52">
                  <c:v>6.6074496020911253</c:v>
                </c:pt>
                <c:pt idx="53">
                  <c:v>4.4974163721866613</c:v>
                </c:pt>
                <c:pt idx="54">
                  <c:v>3.108716756026193</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Data!$AM$58:$AM$65</c:f>
              <c:numCache>
                <c:formatCode>General</c:formatCode>
                <c:ptCount val="8"/>
                <c:pt idx="0">
                  <c:v>4.7656450660890401</c:v>
                </c:pt>
                <c:pt idx="1">
                  <c:v>4.4611224889270993</c:v>
                </c:pt>
                <c:pt idx="2">
                  <c:v>3.7987537357183871</c:v>
                </c:pt>
                <c:pt idx="3">
                  <c:v>7.106964754790579</c:v>
                </c:pt>
                <c:pt idx="4">
                  <c:v>3.5565757456739888</c:v>
                </c:pt>
                <c:pt idx="5">
                  <c:v>3.0593871583296535</c:v>
                </c:pt>
                <c:pt idx="6">
                  <c:v>5.661476979435518</c:v>
                </c:pt>
                <c:pt idx="7">
                  <c:v>2.5724537536137038</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Data!$AM$66:$AM$116</c:f>
              <c:numCache>
                <c:formatCode>General</c:formatCode>
                <c:ptCount val="51"/>
                <c:pt idx="0">
                  <c:v>5.4329731920415476</c:v>
                </c:pt>
                <c:pt idx="1">
                  <c:v>3.5159354532787681</c:v>
                </c:pt>
                <c:pt idx="2">
                  <c:v>3.4547036598729823</c:v>
                </c:pt>
                <c:pt idx="3">
                  <c:v>3.5167004909313881</c:v>
                </c:pt>
                <c:pt idx="4">
                  <c:v>6.9300286581421302</c:v>
                </c:pt>
                <c:pt idx="5">
                  <c:v>2.0453503385956049</c:v>
                </c:pt>
                <c:pt idx="7">
                  <c:v>6.3511526885324026</c:v>
                </c:pt>
                <c:pt idx="8">
                  <c:v>3.4845630942004955</c:v>
                </c:pt>
                <c:pt idx="9">
                  <c:v>2.0821828031108502</c:v>
                </c:pt>
                <c:pt idx="10">
                  <c:v>3.647549170928654</c:v>
                </c:pt>
                <c:pt idx="11">
                  <c:v>3.6569754190429808</c:v>
                </c:pt>
                <c:pt idx="12">
                  <c:v>4.4132644154912537</c:v>
                </c:pt>
                <c:pt idx="13">
                  <c:v>3.8127775846589613</c:v>
                </c:pt>
                <c:pt idx="14">
                  <c:v>2.5351876860347571</c:v>
                </c:pt>
                <c:pt idx="15">
                  <c:v>3.1563560507529247</c:v>
                </c:pt>
                <c:pt idx="16">
                  <c:v>5.4591631975851289</c:v>
                </c:pt>
                <c:pt idx="17">
                  <c:v>3.5731861826330067</c:v>
                </c:pt>
                <c:pt idx="18">
                  <c:v>3.4257194516638698</c:v>
                </c:pt>
                <c:pt idx="19">
                  <c:v>5.7638216625421288</c:v>
                </c:pt>
                <c:pt idx="20">
                  <c:v>3.9086745179096631</c:v>
                </c:pt>
                <c:pt idx="21">
                  <c:v>3.718697832455188</c:v>
                </c:pt>
                <c:pt idx="22">
                  <c:v>3.5593326187627934</c:v>
                </c:pt>
                <c:pt idx="23">
                  <c:v>5.081053855762681</c:v>
                </c:pt>
                <c:pt idx="24">
                  <c:v>2.8619746606460761</c:v>
                </c:pt>
                <c:pt idx="25">
                  <c:v>3.7094398475068227</c:v>
                </c:pt>
                <c:pt idx="26">
                  <c:v>4.3865861105921997</c:v>
                </c:pt>
                <c:pt idx="27">
                  <c:v>6.1444252368382628</c:v>
                </c:pt>
                <c:pt idx="28">
                  <c:v>4.1032628659788024</c:v>
                </c:pt>
                <c:pt idx="29">
                  <c:v>3.7620002715313361</c:v>
                </c:pt>
                <c:pt idx="30">
                  <c:v>5.1290711648444445</c:v>
                </c:pt>
                <c:pt idx="31">
                  <c:v>4.1523872141380229</c:v>
                </c:pt>
                <c:pt idx="32">
                  <c:v>3.2592470458090621</c:v>
                </c:pt>
                <c:pt idx="33">
                  <c:v>3.6006076702034644</c:v>
                </c:pt>
                <c:pt idx="34">
                  <c:v>1.7513038867775303</c:v>
                </c:pt>
                <c:pt idx="35">
                  <c:v>5.4075258203686456</c:v>
                </c:pt>
                <c:pt idx="36">
                  <c:v>5.1886892965969871</c:v>
                </c:pt>
                <c:pt idx="37">
                  <c:v>2.1936238666276688</c:v>
                </c:pt>
                <c:pt idx="38">
                  <c:v>6.1746294735402225</c:v>
                </c:pt>
                <c:pt idx="39">
                  <c:v>2.9941832607892733</c:v>
                </c:pt>
                <c:pt idx="40">
                  <c:v>4.6400698855739311</c:v>
                </c:pt>
                <c:pt idx="41">
                  <c:v>2.5128574539728277</c:v>
                </c:pt>
                <c:pt idx="42">
                  <c:v>3.7653614982373398</c:v>
                </c:pt>
                <c:pt idx="43">
                  <c:v>5.2975576195390435</c:v>
                </c:pt>
                <c:pt idx="44">
                  <c:v>6.0890366274193051</c:v>
                </c:pt>
                <c:pt idx="45">
                  <c:v>4.4798953496446323</c:v>
                </c:pt>
                <c:pt idx="46">
                  <c:v>4.7103525698898565</c:v>
                </c:pt>
                <c:pt idx="47">
                  <c:v>5.9056013695142004</c:v>
                </c:pt>
                <c:pt idx="48">
                  <c:v>4.0362253200583877</c:v>
                </c:pt>
                <c:pt idx="49">
                  <c:v>5.4866433155127146</c:v>
                </c:pt>
                <c:pt idx="50">
                  <c:v>4.2841578490573005</c:v>
                </c:pt>
              </c:numCache>
            </c:numRef>
          </c:yVal>
          <c:smooth val="0"/>
        </c:ser>
        <c:dLbls>
          <c:showLegendKey val="0"/>
          <c:showVal val="0"/>
          <c:showCatName val="0"/>
          <c:showSerName val="0"/>
          <c:showPercent val="0"/>
          <c:showBubbleSize val="0"/>
        </c:dLbls>
        <c:axId val="108185472"/>
        <c:axId val="108204032"/>
      </c:scatterChart>
      <c:valAx>
        <c:axId val="108185472"/>
        <c:scaling>
          <c:orientation val="minMax"/>
          <c:min val="0.1"/>
        </c:scaling>
        <c:delete val="0"/>
        <c:axPos val="b"/>
        <c:title>
          <c:tx>
            <c:rich>
              <a:bodyPr/>
              <a:lstStyle/>
              <a:p>
                <a:pPr>
                  <a:defRPr sz="1800"/>
                </a:pPr>
                <a:r>
                  <a:rPr lang="en-US" sz="1800"/>
                  <a:t>Module Efficiency</a:t>
                </a:r>
              </a:p>
            </c:rich>
          </c:tx>
          <c:overlay val="0"/>
        </c:title>
        <c:numFmt formatCode="0%" sourceLinked="0"/>
        <c:majorTickMark val="out"/>
        <c:minorTickMark val="none"/>
        <c:tickLblPos val="nextTo"/>
        <c:txPr>
          <a:bodyPr/>
          <a:lstStyle/>
          <a:p>
            <a:pPr>
              <a:defRPr sz="1600"/>
            </a:pPr>
            <a:endParaRPr lang="en-US"/>
          </a:p>
        </c:txPr>
        <c:crossAx val="108204032"/>
        <c:crosses val="autoZero"/>
        <c:crossBetween val="midCat"/>
      </c:valAx>
      <c:valAx>
        <c:axId val="108204032"/>
        <c:scaling>
          <c:orientation val="minMax"/>
        </c:scaling>
        <c:delete val="0"/>
        <c:axPos val="l"/>
        <c:title>
          <c:tx>
            <c:rich>
              <a:bodyPr rot="-5400000" vert="horz"/>
              <a:lstStyle/>
              <a:p>
                <a:pPr>
                  <a:defRPr sz="1800"/>
                </a:pPr>
                <a:r>
                  <a:rPr lang="en-US" sz="1800"/>
                  <a:t>Total Area (Hectares/GWh-ac)</a:t>
                </a:r>
              </a:p>
            </c:rich>
          </c:tx>
          <c:overlay val="0"/>
        </c:title>
        <c:numFmt formatCode="#,##0.0" sourceLinked="0"/>
        <c:majorTickMark val="out"/>
        <c:minorTickMark val="none"/>
        <c:tickLblPos val="nextTo"/>
        <c:txPr>
          <a:bodyPr/>
          <a:lstStyle/>
          <a:p>
            <a:pPr>
              <a:defRPr sz="1600"/>
            </a:pPr>
            <a:endParaRPr lang="en-US"/>
          </a:p>
        </c:txPr>
        <c:crossAx val="108185472"/>
        <c:crosses val="autoZero"/>
        <c:crossBetween val="midCat"/>
      </c:valAx>
    </c:plotArea>
    <c:legend>
      <c:legendPos val="r"/>
      <c:layout>
        <c:manualLayout>
          <c:xMode val="edge"/>
          <c:yMode val="edge"/>
          <c:x val="0.80659154012175649"/>
          <c:y val="6.4104673482978811E-2"/>
          <c:w val="0.15407387916872853"/>
          <c:h val="0.19573451639440592"/>
        </c:manualLayout>
      </c:layout>
      <c:overlay val="0"/>
      <c:txPr>
        <a:bodyPr/>
        <a:lstStyle/>
        <a:p>
          <a:pPr>
            <a:defRPr sz="18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noFill/>
            <a:ln>
              <a:noFill/>
            </a:ln>
          </c:spPr>
          <c:invertIfNegative val="0"/>
          <c:errBars>
            <c:errBarType val="minus"/>
            <c:errValType val="cust"/>
            <c:noEndCap val="0"/>
            <c:plus>
              <c:numLit>
                <c:formatCode>General</c:formatCode>
                <c:ptCount val="1"/>
                <c:pt idx="0">
                  <c:v>1</c:v>
                </c:pt>
              </c:numLit>
            </c:plus>
            <c:minus>
              <c:numRef>
                <c:f>Data!$T$274:$U$274</c:f>
                <c:numCache>
                  <c:formatCode>General</c:formatCode>
                  <c:ptCount val="2"/>
                  <c:pt idx="0">
                    <c:v>3.182325081175013</c:v>
                  </c:pt>
                  <c:pt idx="1">
                    <c:v>1.8075520833333334</c:v>
                  </c:pt>
                </c:numCache>
              </c:numRef>
            </c:minus>
          </c:errBars>
          <c:val>
            <c:numRef>
              <c:f>Data!$T$273:$U$273</c:f>
              <c:numCache>
                <c:formatCode>0.00</c:formatCode>
                <c:ptCount val="2"/>
                <c:pt idx="0">
                  <c:v>7.2931640624999998</c:v>
                </c:pt>
                <c:pt idx="1">
                  <c:v>6.07421875</c:v>
                </c:pt>
              </c:numCache>
            </c:numRef>
          </c:val>
        </c:ser>
        <c:ser>
          <c:idx val="1"/>
          <c:order val="1"/>
          <c:invertIfNegative val="0"/>
          <c:val>
            <c:numRef>
              <c:f>Data!$T$272:$U$272</c:f>
              <c:numCache>
                <c:formatCode>0.00</c:formatCode>
                <c:ptCount val="2"/>
                <c:pt idx="0">
                  <c:v>1.1081173224764358</c:v>
                </c:pt>
                <c:pt idx="1">
                  <c:v>0.84632161203050504</c:v>
                </c:pt>
              </c:numCache>
            </c:numRef>
          </c:val>
        </c:ser>
        <c:ser>
          <c:idx val="2"/>
          <c:order val="2"/>
          <c:tx>
            <c:v>1</c:v>
          </c:tx>
          <c:invertIfNegative val="0"/>
          <c:errBars>
            <c:errBarType val="plus"/>
            <c:errValType val="cust"/>
            <c:noEndCap val="0"/>
            <c:plus>
              <c:numRef>
                <c:f>Data!$T$270:$U$270</c:f>
                <c:numCache>
                  <c:formatCode>General</c:formatCode>
                  <c:ptCount val="2"/>
                  <c:pt idx="0">
                    <c:v>2.4218163852022183</c:v>
                  </c:pt>
                  <c:pt idx="1">
                    <c:v>2.4232864687819617</c:v>
                  </c:pt>
                </c:numCache>
              </c:numRef>
            </c:plus>
            <c:minus>
              <c:numLit>
                <c:formatCode>General</c:formatCode>
                <c:ptCount val="1"/>
                <c:pt idx="0">
                  <c:v>1</c:v>
                </c:pt>
              </c:numLit>
            </c:minus>
          </c:errBars>
          <c:val>
            <c:numRef>
              <c:f>Data!$T$271:$U$271</c:f>
              <c:numCache>
                <c:formatCode>0.00</c:formatCode>
                <c:ptCount val="2"/>
                <c:pt idx="0">
                  <c:v>1.0816641345832512</c:v>
                </c:pt>
                <c:pt idx="1">
                  <c:v>0.61279297130282817</c:v>
                </c:pt>
              </c:numCache>
            </c:numRef>
          </c:val>
        </c:ser>
        <c:dLbls>
          <c:showLegendKey val="0"/>
          <c:showVal val="0"/>
          <c:showCatName val="0"/>
          <c:showSerName val="0"/>
          <c:showPercent val="0"/>
          <c:showBubbleSize val="0"/>
        </c:dLbls>
        <c:gapWidth val="150"/>
        <c:overlap val="100"/>
        <c:axId val="108223104"/>
        <c:axId val="108233088"/>
      </c:barChart>
      <c:catAx>
        <c:axId val="108223104"/>
        <c:scaling>
          <c:orientation val="minMax"/>
        </c:scaling>
        <c:delete val="0"/>
        <c:axPos val="b"/>
        <c:majorTickMark val="out"/>
        <c:minorTickMark val="none"/>
        <c:tickLblPos val="nextTo"/>
        <c:crossAx val="108233088"/>
        <c:crosses val="autoZero"/>
        <c:auto val="1"/>
        <c:lblAlgn val="ctr"/>
        <c:lblOffset val="100"/>
        <c:noMultiLvlLbl val="0"/>
      </c:catAx>
      <c:valAx>
        <c:axId val="108233088"/>
        <c:scaling>
          <c:orientation val="minMax"/>
        </c:scaling>
        <c:delete val="0"/>
        <c:axPos val="l"/>
        <c:majorGridlines/>
        <c:numFmt formatCode="0.00" sourceLinked="1"/>
        <c:majorTickMark val="out"/>
        <c:minorTickMark val="none"/>
        <c:tickLblPos val="nextTo"/>
        <c:crossAx val="108223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PV</a:t>
            </a:r>
          </a:p>
        </c:rich>
      </c:tx>
      <c:layout>
        <c:manualLayout>
          <c:xMode val="edge"/>
          <c:yMode val="edge"/>
          <c:x val="0.4068591393188094"/>
          <c:y val="3.9165756421124041E-2"/>
        </c:manualLayout>
      </c:layout>
      <c:overlay val="1"/>
    </c:title>
    <c:autoTitleDeleted val="0"/>
    <c:plotArea>
      <c:layout>
        <c:manualLayout>
          <c:layoutTarget val="inner"/>
          <c:xMode val="edge"/>
          <c:yMode val="edge"/>
          <c:x val="0.11696916102492207"/>
          <c:y val="8.9525126457596152E-2"/>
          <c:w val="0.8238755326606283"/>
          <c:h val="0.77200713247455988"/>
        </c:manualLayout>
      </c:layout>
      <c:scatterChart>
        <c:scatterStyle val="lineMarker"/>
        <c:varyColors val="0"/>
        <c:ser>
          <c:idx val="1"/>
          <c:order val="0"/>
          <c:tx>
            <c:v>Fixed</c:v>
          </c:tx>
          <c:spPr>
            <a:ln w="28575">
              <a:noFill/>
            </a:ln>
          </c:spPr>
          <c:marker>
            <c:symbol val="triangle"/>
            <c:size val="5"/>
            <c:spPr>
              <a:solidFill>
                <a:schemeClr val="accent3"/>
              </a:solidFill>
              <a:ln>
                <a:solidFill>
                  <a:schemeClr val="accent3"/>
                </a:solidFill>
              </a:ln>
            </c:spPr>
          </c:marker>
          <c:xVal>
            <c:numRef>
              <c:f>Data!$F$196:$F$209</c:f>
              <c:numCache>
                <c:formatCode>0</c:formatCode>
                <c:ptCount val="14"/>
                <c:pt idx="0">
                  <c:v>20592</c:v>
                </c:pt>
                <c:pt idx="1">
                  <c:v>20000</c:v>
                </c:pt>
                <c:pt idx="2">
                  <c:v>22000</c:v>
                </c:pt>
                <c:pt idx="3">
                  <c:v>25200</c:v>
                </c:pt>
                <c:pt idx="4">
                  <c:v>35235.762697071317</c:v>
                </c:pt>
                <c:pt idx="5">
                  <c:v>37000</c:v>
                </c:pt>
                <c:pt idx="6">
                  <c:v>40000</c:v>
                </c:pt>
                <c:pt idx="7">
                  <c:v>57715</c:v>
                </c:pt>
                <c:pt idx="8">
                  <c:v>58000</c:v>
                </c:pt>
                <c:pt idx="9">
                  <c:v>60000</c:v>
                </c:pt>
                <c:pt idx="10">
                  <c:v>65100</c:v>
                </c:pt>
                <c:pt idx="11">
                  <c:v>340612.37273835606</c:v>
                </c:pt>
                <c:pt idx="12">
                  <c:v>645988.98277964082</c:v>
                </c:pt>
                <c:pt idx="13">
                  <c:v>645988.98277964082</c:v>
                </c:pt>
              </c:numCache>
            </c:numRef>
          </c:xVal>
          <c:yVal>
            <c:numRef>
              <c:f>Data!$M$196:$M$207</c:f>
              <c:numCache>
                <c:formatCode>0.00</c:formatCode>
                <c:ptCount val="12"/>
                <c:pt idx="0">
                  <c:v>10.266830622689778</c:v>
                </c:pt>
                <c:pt idx="1">
                  <c:v>7.4444444444444446</c:v>
                </c:pt>
                <c:pt idx="2">
                  <c:v>8.5420030780778937</c:v>
                </c:pt>
                <c:pt idx="3">
                  <c:v>8.8571428571428577</c:v>
                </c:pt>
                <c:pt idx="4">
                  <c:v>8.3333333333333339</c:v>
                </c:pt>
                <c:pt idx="5">
                  <c:v>6.25</c:v>
                </c:pt>
                <c:pt idx="6">
                  <c:v>4.1108389813249868</c:v>
                </c:pt>
                <c:pt idx="7">
                  <c:v>11.111111111111111</c:v>
                </c:pt>
                <c:pt idx="8">
                  <c:v>7.916666666666667</c:v>
                </c:pt>
                <c:pt idx="9">
                  <c:v>7.0471525394142631</c:v>
                </c:pt>
                <c:pt idx="10">
                  <c:v>11.904761904761905</c:v>
                </c:pt>
                <c:pt idx="11">
                  <c:v>8.2758620689655178</c:v>
                </c:pt>
              </c:numCache>
            </c:numRef>
          </c:yVal>
          <c:smooth val="0"/>
        </c:ser>
        <c:ser>
          <c:idx val="0"/>
          <c:order val="1"/>
          <c:tx>
            <c:v>1 Axis</c:v>
          </c:tx>
          <c:spPr>
            <a:ln w="28575">
              <a:noFill/>
            </a:ln>
          </c:spPr>
          <c:marker>
            <c:symbol val="diamond"/>
            <c:size val="5"/>
          </c:marker>
          <c:xVal>
            <c:numRef>
              <c:f>Data!$F$178:$F$193</c:f>
              <c:numCache>
                <c:formatCode>0</c:formatCode>
                <c:ptCount val="16"/>
                <c:pt idx="0">
                  <c:v>20000</c:v>
                </c:pt>
                <c:pt idx="1">
                  <c:v>23490.50846471421</c:v>
                </c:pt>
                <c:pt idx="2">
                  <c:v>23490.50846471421</c:v>
                </c:pt>
                <c:pt idx="3">
                  <c:v>23490.50846471421</c:v>
                </c:pt>
                <c:pt idx="4" formatCode="General">
                  <c:v>25000</c:v>
                </c:pt>
                <c:pt idx="5">
                  <c:v>29363.135580892762</c:v>
                </c:pt>
                <c:pt idx="6">
                  <c:v>28000</c:v>
                </c:pt>
                <c:pt idx="7">
                  <c:v>30537.661004128473</c:v>
                </c:pt>
                <c:pt idx="8">
                  <c:v>35200</c:v>
                </c:pt>
                <c:pt idx="9" formatCode="General">
                  <c:v>110000</c:v>
                </c:pt>
                <c:pt idx="10" formatCode="General">
                  <c:v>130000</c:v>
                </c:pt>
                <c:pt idx="11">
                  <c:v>176178.81348535657</c:v>
                </c:pt>
                <c:pt idx="12">
                  <c:v>284000</c:v>
                </c:pt>
                <c:pt idx="13">
                  <c:v>293631.35580892762</c:v>
                </c:pt>
                <c:pt idx="14">
                  <c:v>350000</c:v>
                </c:pt>
                <c:pt idx="15">
                  <c:v>352357.62697071314</c:v>
                </c:pt>
              </c:numCache>
            </c:numRef>
          </c:xVal>
          <c:yVal>
            <c:numRef>
              <c:f>Data!$M$178:$M$193</c:f>
              <c:numCache>
                <c:formatCode>0.00</c:formatCode>
                <c:ptCount val="16"/>
                <c:pt idx="0">
                  <c:v>10.331176470588234</c:v>
                </c:pt>
                <c:pt idx="1">
                  <c:v>7.2</c:v>
                </c:pt>
                <c:pt idx="2">
                  <c:v>10.5</c:v>
                </c:pt>
                <c:pt idx="3">
                  <c:v>8</c:v>
                </c:pt>
                <c:pt idx="4">
                  <c:v>9.349222368956255</c:v>
                </c:pt>
                <c:pt idx="5">
                  <c:v>6.16</c:v>
                </c:pt>
                <c:pt idx="6">
                  <c:v>9.4</c:v>
                </c:pt>
                <c:pt idx="7">
                  <c:v>11.538461538461538</c:v>
                </c:pt>
                <c:pt idx="8">
                  <c:v>7.333333333333333</c:v>
                </c:pt>
                <c:pt idx="9">
                  <c:v>10.826988901463732</c:v>
                </c:pt>
                <c:pt idx="10">
                  <c:v>8.5469311567767843</c:v>
                </c:pt>
                <c:pt idx="11">
                  <c:v>7.4</c:v>
                </c:pt>
                <c:pt idx="12">
                  <c:v>9.1304347826086953</c:v>
                </c:pt>
                <c:pt idx="13">
                  <c:v>6.94</c:v>
                </c:pt>
                <c:pt idx="14">
                  <c:v>9.7317820782387443</c:v>
                </c:pt>
                <c:pt idx="15">
                  <c:v>6.71</c:v>
                </c:pt>
              </c:numCache>
            </c:numRef>
          </c:yVal>
          <c:smooth val="0"/>
        </c:ser>
        <c:ser>
          <c:idx val="3"/>
          <c:order val="2"/>
          <c:tx>
            <c:v>CPV</c:v>
          </c:tx>
          <c:spPr>
            <a:ln w="28575">
              <a:noFill/>
            </a:ln>
          </c:spPr>
          <c:marker>
            <c:symbol val="square"/>
            <c:size val="5"/>
            <c:spPr>
              <a:solidFill>
                <a:srgbClr val="C00000"/>
              </a:solidFill>
            </c:spPr>
          </c:marker>
          <c:xVal>
            <c:numRef>
              <c:f>Data!$F$194:$F$195</c:f>
              <c:numCache>
                <c:formatCode>General</c:formatCode>
                <c:ptCount val="2"/>
                <c:pt idx="0" formatCode="0">
                  <c:v>37000</c:v>
                </c:pt>
                <c:pt idx="1">
                  <c:v>150000</c:v>
                </c:pt>
              </c:numCache>
            </c:numRef>
          </c:xVal>
          <c:yVal>
            <c:numRef>
              <c:f>Data!$M$194:$M$195</c:f>
              <c:numCache>
                <c:formatCode>0.00</c:formatCode>
                <c:ptCount val="2"/>
                <c:pt idx="0">
                  <c:v>7.32421875</c:v>
                </c:pt>
                <c:pt idx="1">
                  <c:v>8.2764891490676398</c:v>
                </c:pt>
              </c:numCache>
            </c:numRef>
          </c:yVal>
          <c:smooth val="0"/>
        </c:ser>
        <c:dLbls>
          <c:showLegendKey val="0"/>
          <c:showVal val="0"/>
          <c:showCatName val="0"/>
          <c:showSerName val="0"/>
          <c:showPercent val="0"/>
          <c:showBubbleSize val="0"/>
        </c:dLbls>
        <c:axId val="108262528"/>
        <c:axId val="108331008"/>
      </c:scatterChart>
      <c:valAx>
        <c:axId val="108262528"/>
        <c:scaling>
          <c:orientation val="minMax"/>
        </c:scaling>
        <c:delete val="0"/>
        <c:axPos val="b"/>
        <c:title>
          <c:tx>
            <c:rich>
              <a:bodyPr/>
              <a:lstStyle/>
              <a:p>
                <a:pPr>
                  <a:defRPr/>
                </a:pPr>
                <a:r>
                  <a:rPr lang="en-US"/>
                  <a:t>Capacity (MW-DC)</a:t>
                </a:r>
              </a:p>
            </c:rich>
          </c:tx>
          <c:overlay val="0"/>
        </c:title>
        <c:numFmt formatCode="0" sourceLinked="1"/>
        <c:majorTickMark val="out"/>
        <c:minorTickMark val="none"/>
        <c:tickLblPos val="nextTo"/>
        <c:crossAx val="108331008"/>
        <c:crosses val="autoZero"/>
        <c:crossBetween val="midCat"/>
        <c:dispUnits>
          <c:builtInUnit val="thousands"/>
        </c:dispUnits>
      </c:valAx>
      <c:valAx>
        <c:axId val="108331008"/>
        <c:scaling>
          <c:orientation val="minMax"/>
        </c:scaling>
        <c:delete val="0"/>
        <c:axPos val="l"/>
        <c:title>
          <c:tx>
            <c:rich>
              <a:bodyPr rot="-5400000" vert="horz"/>
              <a:lstStyle/>
              <a:p>
                <a:pPr>
                  <a:defRPr/>
                </a:pPr>
                <a:r>
                  <a:rPr lang="en-US"/>
                  <a:t>Total Land Use (Acres/MW)</a:t>
                </a:r>
              </a:p>
            </c:rich>
          </c:tx>
          <c:overlay val="0"/>
        </c:title>
        <c:numFmt formatCode="0" sourceLinked="0"/>
        <c:majorTickMark val="out"/>
        <c:minorTickMark val="none"/>
        <c:tickLblPos val="nextTo"/>
        <c:crossAx val="108262528"/>
        <c:crosses val="autoZero"/>
        <c:crossBetween val="midCat"/>
      </c:valAx>
    </c:plotArea>
    <c:legend>
      <c:legendPos val="r"/>
      <c:layout>
        <c:manualLayout>
          <c:xMode val="edge"/>
          <c:yMode val="edge"/>
          <c:x val="0.82947673203096661"/>
          <c:y val="4.8976306435931448E-2"/>
          <c:w val="0.12903646073530226"/>
          <c:h val="0.23176068951029072"/>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0954714899768195"/>
          <c:y val="0.13685310303953938"/>
          <c:w val="0.8202120658830494"/>
          <c:h val="0.69781153162306364"/>
        </c:manualLayout>
      </c:layout>
      <c:scatterChart>
        <c:scatterStyle val="lineMarker"/>
        <c:varyColors val="0"/>
        <c:ser>
          <c:idx val="3"/>
          <c:order val="0"/>
          <c:tx>
            <c:v>1 Axis</c:v>
          </c:tx>
          <c:spPr>
            <a:ln w="28575">
              <a:noFill/>
            </a:ln>
          </c:spPr>
          <c:marker>
            <c:symbol val="diamond"/>
            <c:size val="7"/>
            <c:spPr>
              <a:solidFill>
                <a:schemeClr val="accent1"/>
              </a:solidFill>
            </c:spPr>
          </c:marker>
          <c:xVal>
            <c:numRef>
              <c:f>knownMWAC!$AB$3:$AB$29</c:f>
              <c:numCache>
                <c:formatCode>0.0%</c:formatCode>
                <c:ptCount val="27"/>
                <c:pt idx="0">
                  <c:v>0.161</c:v>
                </c:pt>
                <c:pt idx="1">
                  <c:v>0.16400000000000001</c:v>
                </c:pt>
                <c:pt idx="2">
                  <c:v>0.13320000000000001</c:v>
                </c:pt>
                <c:pt idx="3">
                  <c:v>0.161</c:v>
                </c:pt>
                <c:pt idx="4">
                  <c:v>0.13769999999999999</c:v>
                </c:pt>
                <c:pt idx="5">
                  <c:v>0.19600000000000001</c:v>
                </c:pt>
                <c:pt idx="6">
                  <c:v>0.14799999999999999</c:v>
                </c:pt>
                <c:pt idx="7">
                  <c:v>0.14799999999999999</c:v>
                </c:pt>
                <c:pt idx="8">
                  <c:v>0.19</c:v>
                </c:pt>
                <c:pt idx="9">
                  <c:v>0.12720000000000001</c:v>
                </c:pt>
                <c:pt idx="10">
                  <c:v>0.1305</c:v>
                </c:pt>
                <c:pt idx="11">
                  <c:v>0.13900000000000001</c:v>
                </c:pt>
                <c:pt idx="12">
                  <c:v>0.13600000000000001</c:v>
                </c:pt>
                <c:pt idx="13">
                  <c:v>0.13800000000000001</c:v>
                </c:pt>
                <c:pt idx="14">
                  <c:v>0.13919999999999999</c:v>
                </c:pt>
                <c:pt idx="15">
                  <c:v>0.09</c:v>
                </c:pt>
                <c:pt idx="16">
                  <c:v>0.19</c:v>
                </c:pt>
                <c:pt idx="17">
                  <c:v>0.14699999999999999</c:v>
                </c:pt>
                <c:pt idx="19">
                  <c:v>0.20100000000000001</c:v>
                </c:pt>
                <c:pt idx="21">
                  <c:v>0.185</c:v>
                </c:pt>
                <c:pt idx="22">
                  <c:v>0.14699999999999999</c:v>
                </c:pt>
                <c:pt idx="23">
                  <c:v>0.14699999999999999</c:v>
                </c:pt>
              </c:numCache>
            </c:numRef>
          </c:xVal>
          <c:yVal>
            <c:numRef>
              <c:f>knownMWAC!$M$3:$M$29</c:f>
              <c:numCache>
                <c:formatCode>0.00</c:formatCode>
                <c:ptCount val="27"/>
                <c:pt idx="0">
                  <c:v>4.4465561224489791</c:v>
                </c:pt>
                <c:pt idx="1">
                  <c:v>4.5574669867947177</c:v>
                </c:pt>
                <c:pt idx="2">
                  <c:v>3.5550798950632005</c:v>
                </c:pt>
                <c:pt idx="3">
                  <c:v>3.3095991609284514</c:v>
                </c:pt>
                <c:pt idx="4">
                  <c:v>3.1959057222694689</c:v>
                </c:pt>
                <c:pt idx="5">
                  <c:v>5.0928539325842692</c:v>
                </c:pt>
                <c:pt idx="6">
                  <c:v>3.5050870834164023</c:v>
                </c:pt>
                <c:pt idx="7">
                  <c:v>3.9413115413998403</c:v>
                </c:pt>
                <c:pt idx="8">
                  <c:v>4.30531914893617</c:v>
                </c:pt>
                <c:pt idx="9">
                  <c:v>4.9311320584140459</c:v>
                </c:pt>
                <c:pt idx="10">
                  <c:v>4.3141020000000001</c:v>
                </c:pt>
                <c:pt idx="11">
                  <c:v>3.7046237999999998</c:v>
                </c:pt>
                <c:pt idx="12">
                  <c:v>4.6135799999999998</c:v>
                </c:pt>
                <c:pt idx="13">
                  <c:v>3.8446500000000001</c:v>
                </c:pt>
                <c:pt idx="14">
                  <c:v>3.2807180081065432</c:v>
                </c:pt>
                <c:pt idx="15">
                  <c:v>3.9417780000000002</c:v>
                </c:pt>
                <c:pt idx="16">
                  <c:v>2.322978</c:v>
                </c:pt>
                <c:pt idx="17">
                  <c:v>3.1794781914893613</c:v>
                </c:pt>
                <c:pt idx="18">
                  <c:v>3.2375999999999996</c:v>
                </c:pt>
                <c:pt idx="19">
                  <c:v>4.1684099999999997</c:v>
                </c:pt>
                <c:pt idx="20">
                  <c:v>4.1968888888888891</c:v>
                </c:pt>
                <c:pt idx="21">
                  <c:v>2.8907142857142856</c:v>
                </c:pt>
                <c:pt idx="22" formatCode="General">
                  <c:v>3.2286966000000001</c:v>
                </c:pt>
                <c:pt idx="23">
                  <c:v>3.1461378</c:v>
                </c:pt>
                <c:pt idx="24">
                  <c:v>5.2219354838709675</c:v>
                </c:pt>
                <c:pt idx="25">
                  <c:v>4.9026514285714287</c:v>
                </c:pt>
                <c:pt idx="26">
                  <c:v>3.2600833333333332</c:v>
                </c:pt>
              </c:numCache>
            </c:numRef>
          </c:yVal>
          <c:smooth val="0"/>
        </c:ser>
        <c:ser>
          <c:idx val="0"/>
          <c:order val="1"/>
          <c:tx>
            <c:v>2 Axis</c:v>
          </c:tx>
          <c:spPr>
            <a:ln w="28575">
              <a:noFill/>
            </a:ln>
          </c:spPr>
          <c:marker>
            <c:symbol val="square"/>
            <c:size val="7"/>
            <c:spPr>
              <a:solidFill>
                <a:srgbClr val="C00000"/>
              </a:solidFill>
            </c:spPr>
          </c:marker>
          <c:xVal>
            <c:numRef>
              <c:f>knownMWAC!$AB$30:$AB$31</c:f>
              <c:numCache>
                <c:formatCode>0.0%</c:formatCode>
                <c:ptCount val="2"/>
                <c:pt idx="0">
                  <c:v>0.3</c:v>
                </c:pt>
                <c:pt idx="1">
                  <c:v>0.31</c:v>
                </c:pt>
              </c:numCache>
            </c:numRef>
          </c:xVal>
          <c:yVal>
            <c:numRef>
              <c:f>knownMWAC!$M$30:$M$31</c:f>
              <c:numCache>
                <c:formatCode>0.00</c:formatCode>
                <c:ptCount val="2"/>
                <c:pt idx="0">
                  <c:v>6.8799000000000001</c:v>
                </c:pt>
                <c:pt idx="1">
                  <c:v>3.1316071428571428</c:v>
                </c:pt>
              </c:numCache>
            </c:numRef>
          </c:yVal>
          <c:smooth val="0"/>
        </c:ser>
        <c:ser>
          <c:idx val="1"/>
          <c:order val="2"/>
          <c:tx>
            <c:v>Fixed</c:v>
          </c:tx>
          <c:spPr>
            <a:ln w="28575">
              <a:noFill/>
            </a:ln>
          </c:spPr>
          <c:marker>
            <c:symbol val="triangle"/>
            <c:size val="7"/>
            <c:spPr>
              <a:solidFill>
                <a:schemeClr val="accent3"/>
              </a:solidFill>
              <a:ln>
                <a:noFill/>
              </a:ln>
            </c:spPr>
          </c:marker>
          <c:xVal>
            <c:numRef>
              <c:f>knownMWAC!$AB$32:$AB$46</c:f>
              <c:numCache>
                <c:formatCode>0.0%</c:formatCode>
                <c:ptCount val="15"/>
                <c:pt idx="0">
                  <c:v>0.12720000000000001</c:v>
                </c:pt>
                <c:pt idx="2">
                  <c:v>0.14180000000000001</c:v>
                </c:pt>
                <c:pt idx="3">
                  <c:v>0.13769999999999999</c:v>
                </c:pt>
                <c:pt idx="4">
                  <c:v>0.1</c:v>
                </c:pt>
                <c:pt idx="5">
                  <c:v>0.14899999999999999</c:v>
                </c:pt>
                <c:pt idx="6">
                  <c:v>0.10970000000000001</c:v>
                </c:pt>
                <c:pt idx="7">
                  <c:v>0.1</c:v>
                </c:pt>
                <c:pt idx="9">
                  <c:v>0.14399999999999999</c:v>
                </c:pt>
                <c:pt idx="11">
                  <c:v>0.11</c:v>
                </c:pt>
                <c:pt idx="13">
                  <c:v>0.106</c:v>
                </c:pt>
                <c:pt idx="14">
                  <c:v>0.107</c:v>
                </c:pt>
              </c:numCache>
            </c:numRef>
          </c:xVal>
          <c:yVal>
            <c:numRef>
              <c:f>knownMWAC!$M$32:$M$46</c:f>
              <c:numCache>
                <c:formatCode>0.00</c:formatCode>
                <c:ptCount val="15"/>
                <c:pt idx="0">
                  <c:v>2.5875959079283883</c:v>
                </c:pt>
                <c:pt idx="1">
                  <c:v>2.4731666666666663</c:v>
                </c:pt>
                <c:pt idx="2">
                  <c:v>2.9383688229811304</c:v>
                </c:pt>
                <c:pt idx="3">
                  <c:v>2.772195</c:v>
                </c:pt>
                <c:pt idx="4">
                  <c:v>2.7154955499000706</c:v>
                </c:pt>
                <c:pt idx="5">
                  <c:v>1.2141</c:v>
                </c:pt>
                <c:pt idx="6">
                  <c:v>5.3209992486851991</c:v>
                </c:pt>
                <c:pt idx="7">
                  <c:v>3.2375999999999996</c:v>
                </c:pt>
                <c:pt idx="8">
                  <c:v>3.11619</c:v>
                </c:pt>
                <c:pt idx="9">
                  <c:v>3.9660600000000001</c:v>
                </c:pt>
                <c:pt idx="10">
                  <c:v>1.82115</c:v>
                </c:pt>
                <c:pt idx="11">
                  <c:v>3.0834285714285712</c:v>
                </c:pt>
                <c:pt idx="12">
                  <c:v>3.1219714285714284</c:v>
                </c:pt>
                <c:pt idx="13" formatCode="General">
                  <c:v>4.6840277777777777</c:v>
                </c:pt>
                <c:pt idx="14">
                  <c:v>3.1296799999999996</c:v>
                </c:pt>
              </c:numCache>
            </c:numRef>
          </c:yVal>
          <c:smooth val="0"/>
        </c:ser>
        <c:dLbls>
          <c:showLegendKey val="0"/>
          <c:showVal val="0"/>
          <c:showCatName val="0"/>
          <c:showSerName val="0"/>
          <c:showPercent val="0"/>
          <c:showBubbleSize val="0"/>
        </c:dLbls>
        <c:axId val="92578560"/>
        <c:axId val="92580480"/>
      </c:scatterChart>
      <c:valAx>
        <c:axId val="92578560"/>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2580480"/>
        <c:crosses val="autoZero"/>
        <c:crossBetween val="midCat"/>
      </c:valAx>
      <c:valAx>
        <c:axId val="92580480"/>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2578560"/>
        <c:crosses val="autoZero"/>
        <c:crossBetween val="midCat"/>
      </c:valAx>
    </c:plotArea>
    <c:legend>
      <c:legendPos val="r"/>
      <c:layout>
        <c:manualLayout>
          <c:xMode val="edge"/>
          <c:yMode val="edge"/>
          <c:x val="0.74240720306774688"/>
          <c:y val="5.1126293036899813E-2"/>
          <c:w val="0.11125116547289909"/>
          <c:h val="0.2659251968503936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8536568125787567"/>
          <c:y val="7.66379022766039E-2"/>
          <c:w val="0.74439373431692724"/>
          <c:h val="0.7364513416405476"/>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Data!$AM$3:$AM$57</c:f>
              <c:numCache>
                <c:formatCode>General</c:formatCode>
                <c:ptCount val="55"/>
                <c:pt idx="0">
                  <c:v>4.5867904804598716</c:v>
                </c:pt>
                <c:pt idx="1">
                  <c:v>5.0871380563316118</c:v>
                </c:pt>
                <c:pt idx="2">
                  <c:v>3.6963947289277348</c:v>
                </c:pt>
                <c:pt idx="3">
                  <c:v>3.6655300418737524</c:v>
                </c:pt>
                <c:pt idx="4">
                  <c:v>3.0411462393460944</c:v>
                </c:pt>
                <c:pt idx="5">
                  <c:v>2.6177118489531841</c:v>
                </c:pt>
                <c:pt idx="6">
                  <c:v>4.5075326999322334</c:v>
                </c:pt>
                <c:pt idx="7">
                  <c:v>5.0858890872032445</c:v>
                </c:pt>
                <c:pt idx="8">
                  <c:v>3.8619963025608528</c:v>
                </c:pt>
                <c:pt idx="9">
                  <c:v>3.7871695847554165</c:v>
                </c:pt>
                <c:pt idx="10">
                  <c:v>3.5420301786826274</c:v>
                </c:pt>
                <c:pt idx="11">
                  <c:v>4.6602946687957942</c:v>
                </c:pt>
                <c:pt idx="12">
                  <c:v>5.4884398637681411</c:v>
                </c:pt>
                <c:pt idx="13">
                  <c:v>4.6446594977047893</c:v>
                </c:pt>
                <c:pt idx="14">
                  <c:v>4.7720089889249993</c:v>
                </c:pt>
                <c:pt idx="15">
                  <c:v>3.5343765806045586</c:v>
                </c:pt>
                <c:pt idx="16">
                  <c:v>5.239115049128193</c:v>
                </c:pt>
                <c:pt idx="17">
                  <c:v>4.8864291004855565</c:v>
                </c:pt>
                <c:pt idx="18">
                  <c:v>3.4696577819775949</c:v>
                </c:pt>
                <c:pt idx="19">
                  <c:v>4.1154427899927253</c:v>
                </c:pt>
                <c:pt idx="20">
                  <c:v>2.5780750210304295</c:v>
                </c:pt>
                <c:pt idx="21">
                  <c:v>4.1996948323745737</c:v>
                </c:pt>
                <c:pt idx="22">
                  <c:v>4.7511219783996745</c:v>
                </c:pt>
                <c:pt idx="23">
                  <c:v>2.9844836685461118</c:v>
                </c:pt>
                <c:pt idx="24">
                  <c:v>3.2132280947353431</c:v>
                </c:pt>
                <c:pt idx="25">
                  <c:v>4.0301514797548732</c:v>
                </c:pt>
                <c:pt idx="26">
                  <c:v>2.3312808438507013</c:v>
                </c:pt>
                <c:pt idx="27">
                  <c:v>4.7292502039330753</c:v>
                </c:pt>
                <c:pt idx="29">
                  <c:v>3.3556718719235641</c:v>
                </c:pt>
                <c:pt idx="30">
                  <c:v>3.3512405348712657</c:v>
                </c:pt>
                <c:pt idx="31">
                  <c:v>3.0137086993274282</c:v>
                </c:pt>
                <c:pt idx="32">
                  <c:v>3.5432234437024617</c:v>
                </c:pt>
                <c:pt idx="33">
                  <c:v>3.6227070134347565</c:v>
                </c:pt>
                <c:pt idx="34">
                  <c:v>3.2326482698913708</c:v>
                </c:pt>
                <c:pt idx="35">
                  <c:v>4.3440978287931147</c:v>
                </c:pt>
                <c:pt idx="36">
                  <c:v>2.0845819352592625</c:v>
                </c:pt>
                <c:pt idx="37">
                  <c:v>3.9029824628312308</c:v>
                </c:pt>
                <c:pt idx="38">
                  <c:v>2.7882151312113379</c:v>
                </c:pt>
                <c:pt idx="39">
                  <c:v>2.5552140319491881</c:v>
                </c:pt>
                <c:pt idx="40">
                  <c:v>4.4668827961180089</c:v>
                </c:pt>
                <c:pt idx="41">
                  <c:v>3.799021124982537</c:v>
                </c:pt>
                <c:pt idx="42">
                  <c:v>3.5533648031060592</c:v>
                </c:pt>
                <c:pt idx="43">
                  <c:v>2.9962659036176169</c:v>
                </c:pt>
                <c:pt idx="44">
                  <c:v>5.6204606595037623</c:v>
                </c:pt>
                <c:pt idx="45">
                  <c:v>3.6644452788258262</c:v>
                </c:pt>
                <c:pt idx="47">
                  <c:v>3.8203611605711441</c:v>
                </c:pt>
                <c:pt idx="48">
                  <c:v>2.7623180046782618</c:v>
                </c:pt>
                <c:pt idx="49">
                  <c:v>3.4512078914316997</c:v>
                </c:pt>
                <c:pt idx="50">
                  <c:v>3.5778512263266706</c:v>
                </c:pt>
                <c:pt idx="51">
                  <c:v>3.4862706232145988</c:v>
                </c:pt>
                <c:pt idx="52">
                  <c:v>6.6074496020911253</c:v>
                </c:pt>
                <c:pt idx="53">
                  <c:v>4.4974163721866613</c:v>
                </c:pt>
                <c:pt idx="54">
                  <c:v>3.108716756026193</c:v>
                </c:pt>
              </c:numCache>
            </c:numRef>
          </c:yVal>
          <c:smooth val="0"/>
        </c:ser>
        <c:ser>
          <c:idx val="1"/>
          <c:order val="1"/>
          <c:tx>
            <c:v>2 Axis</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Data!$AM$58:$AM$65</c:f>
              <c:numCache>
                <c:formatCode>General</c:formatCode>
                <c:ptCount val="8"/>
                <c:pt idx="0">
                  <c:v>4.7656450660890401</c:v>
                </c:pt>
                <c:pt idx="1">
                  <c:v>4.4611224889270993</c:v>
                </c:pt>
                <c:pt idx="2">
                  <c:v>3.7987537357183871</c:v>
                </c:pt>
                <c:pt idx="3">
                  <c:v>7.106964754790579</c:v>
                </c:pt>
                <c:pt idx="4">
                  <c:v>3.5565757456739888</c:v>
                </c:pt>
                <c:pt idx="5">
                  <c:v>3.0593871583296535</c:v>
                </c:pt>
                <c:pt idx="6">
                  <c:v>5.661476979435518</c:v>
                </c:pt>
                <c:pt idx="7">
                  <c:v>2.5724537536137038</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Data!$AM$66:$AM$116</c:f>
              <c:numCache>
                <c:formatCode>General</c:formatCode>
                <c:ptCount val="51"/>
                <c:pt idx="0">
                  <c:v>5.4329731920415476</c:v>
                </c:pt>
                <c:pt idx="1">
                  <c:v>3.5159354532787681</c:v>
                </c:pt>
                <c:pt idx="2">
                  <c:v>3.4547036598729823</c:v>
                </c:pt>
                <c:pt idx="3">
                  <c:v>3.5167004909313881</c:v>
                </c:pt>
                <c:pt idx="4">
                  <c:v>6.9300286581421302</c:v>
                </c:pt>
                <c:pt idx="5">
                  <c:v>2.0453503385956049</c:v>
                </c:pt>
                <c:pt idx="7">
                  <c:v>6.3511526885324026</c:v>
                </c:pt>
                <c:pt idx="8">
                  <c:v>3.4845630942004955</c:v>
                </c:pt>
                <c:pt idx="9">
                  <c:v>2.0821828031108502</c:v>
                </c:pt>
                <c:pt idx="10">
                  <c:v>3.647549170928654</c:v>
                </c:pt>
                <c:pt idx="11">
                  <c:v>3.6569754190429808</c:v>
                </c:pt>
                <c:pt idx="12">
                  <c:v>4.4132644154912537</c:v>
                </c:pt>
                <c:pt idx="13">
                  <c:v>3.8127775846589613</c:v>
                </c:pt>
                <c:pt idx="14">
                  <c:v>2.5351876860347571</c:v>
                </c:pt>
                <c:pt idx="15">
                  <c:v>3.1563560507529247</c:v>
                </c:pt>
                <c:pt idx="16">
                  <c:v>5.4591631975851289</c:v>
                </c:pt>
                <c:pt idx="17">
                  <c:v>3.5731861826330067</c:v>
                </c:pt>
                <c:pt idx="18">
                  <c:v>3.4257194516638698</c:v>
                </c:pt>
                <c:pt idx="19">
                  <c:v>5.7638216625421288</c:v>
                </c:pt>
                <c:pt idx="20">
                  <c:v>3.9086745179096631</c:v>
                </c:pt>
                <c:pt idx="21">
                  <c:v>3.718697832455188</c:v>
                </c:pt>
                <c:pt idx="22">
                  <c:v>3.5593326187627934</c:v>
                </c:pt>
                <c:pt idx="23">
                  <c:v>5.081053855762681</c:v>
                </c:pt>
                <c:pt idx="24">
                  <c:v>2.8619746606460761</c:v>
                </c:pt>
                <c:pt idx="25">
                  <c:v>3.7094398475068227</c:v>
                </c:pt>
                <c:pt idx="26">
                  <c:v>4.3865861105921997</c:v>
                </c:pt>
                <c:pt idx="27">
                  <c:v>6.1444252368382628</c:v>
                </c:pt>
                <c:pt idx="28">
                  <c:v>4.1032628659788024</c:v>
                </c:pt>
                <c:pt idx="29">
                  <c:v>3.7620002715313361</c:v>
                </c:pt>
                <c:pt idx="30">
                  <c:v>5.1290711648444445</c:v>
                </c:pt>
                <c:pt idx="31">
                  <c:v>4.1523872141380229</c:v>
                </c:pt>
                <c:pt idx="32">
                  <c:v>3.2592470458090621</c:v>
                </c:pt>
                <c:pt idx="33">
                  <c:v>3.6006076702034644</c:v>
                </c:pt>
                <c:pt idx="34">
                  <c:v>1.7513038867775303</c:v>
                </c:pt>
                <c:pt idx="35">
                  <c:v>5.4075258203686456</c:v>
                </c:pt>
                <c:pt idx="36">
                  <c:v>5.1886892965969871</c:v>
                </c:pt>
                <c:pt idx="37">
                  <c:v>2.1936238666276688</c:v>
                </c:pt>
                <c:pt idx="38">
                  <c:v>6.1746294735402225</c:v>
                </c:pt>
                <c:pt idx="39">
                  <c:v>2.9941832607892733</c:v>
                </c:pt>
                <c:pt idx="40">
                  <c:v>4.6400698855739311</c:v>
                </c:pt>
                <c:pt idx="41">
                  <c:v>2.5128574539728277</c:v>
                </c:pt>
                <c:pt idx="42">
                  <c:v>3.7653614982373398</c:v>
                </c:pt>
                <c:pt idx="43">
                  <c:v>5.2975576195390435</c:v>
                </c:pt>
                <c:pt idx="44">
                  <c:v>6.0890366274193051</c:v>
                </c:pt>
                <c:pt idx="45">
                  <c:v>4.4798953496446323</c:v>
                </c:pt>
                <c:pt idx="46">
                  <c:v>4.7103525698898565</c:v>
                </c:pt>
                <c:pt idx="47">
                  <c:v>5.9056013695142004</c:v>
                </c:pt>
                <c:pt idx="48">
                  <c:v>4.0362253200583877</c:v>
                </c:pt>
                <c:pt idx="49">
                  <c:v>5.4866433155127146</c:v>
                </c:pt>
                <c:pt idx="50">
                  <c:v>4.2841578490573005</c:v>
                </c:pt>
              </c:numCache>
            </c:numRef>
          </c:yVal>
          <c:smooth val="0"/>
        </c:ser>
        <c:dLbls>
          <c:showLegendKey val="0"/>
          <c:showVal val="0"/>
          <c:showCatName val="0"/>
          <c:showSerName val="0"/>
          <c:showPercent val="0"/>
          <c:showBubbleSize val="0"/>
        </c:dLbls>
        <c:axId val="92615808"/>
        <c:axId val="92617728"/>
      </c:scatterChart>
      <c:valAx>
        <c:axId val="92615808"/>
        <c:scaling>
          <c:orientation val="minMax"/>
          <c:max val="0.2"/>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2617728"/>
        <c:crosses val="autoZero"/>
        <c:crossBetween val="midCat"/>
      </c:valAx>
      <c:valAx>
        <c:axId val="92617728"/>
        <c:scaling>
          <c:orientation val="minMax"/>
        </c:scaling>
        <c:delete val="0"/>
        <c:axPos val="l"/>
        <c:title>
          <c:tx>
            <c:rich>
              <a:bodyPr rot="-5400000" vert="horz"/>
              <a:lstStyle/>
              <a:p>
                <a:pPr>
                  <a:defRPr/>
                </a:pPr>
                <a:r>
                  <a:rPr lang="en-US"/>
                  <a:t>Hectares/MW</a:t>
                </a:r>
              </a:p>
            </c:rich>
          </c:tx>
          <c:overlay val="0"/>
        </c:title>
        <c:numFmt formatCode="General" sourceLinked="0"/>
        <c:majorTickMark val="out"/>
        <c:minorTickMark val="none"/>
        <c:tickLblPos val="nextTo"/>
        <c:crossAx val="92615808"/>
        <c:crosses val="autoZero"/>
        <c:crossBetween val="midCat"/>
      </c:valAx>
    </c:plotArea>
    <c:legend>
      <c:legendPos val="r"/>
      <c:layout>
        <c:manualLayout>
          <c:xMode val="edge"/>
          <c:yMode val="edge"/>
          <c:x val="0.86265138612812486"/>
          <c:y val="3.3279141078239052E-2"/>
          <c:w val="0.12323372900605635"/>
          <c:h val="0.2340830211757510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a:t>
            </a:r>
          </a:p>
        </c:rich>
      </c:tx>
      <c:layout>
        <c:manualLayout>
          <c:xMode val="edge"/>
          <c:yMode val="edge"/>
          <c:x val="0.39036840503633685"/>
          <c:y val="3.1974420463629256E-2"/>
        </c:manualLayout>
      </c:layout>
      <c:overlay val="1"/>
    </c:title>
    <c:autoTitleDeleted val="0"/>
    <c:plotArea>
      <c:layout>
        <c:manualLayout>
          <c:layoutTarget val="inner"/>
          <c:xMode val="edge"/>
          <c:yMode val="edge"/>
          <c:x val="0.109547148997682"/>
          <c:y val="0.13685310303953938"/>
          <c:w val="0.82021206588304918"/>
          <c:h val="0.69781153162306364"/>
        </c:manualLayout>
      </c:layout>
      <c:scatterChart>
        <c:scatterStyle val="lineMarker"/>
        <c:varyColors val="0"/>
        <c:ser>
          <c:idx val="3"/>
          <c:order val="0"/>
          <c:tx>
            <c:v>1 Axis</c:v>
          </c:tx>
          <c:spPr>
            <a:ln w="28575">
              <a:noFill/>
            </a:ln>
          </c:spPr>
          <c:marker>
            <c:symbol val="diamond"/>
            <c:size val="7"/>
            <c:spPr>
              <a:solidFill>
                <a:schemeClr val="accent1"/>
              </a:solidFill>
            </c:spPr>
          </c:marker>
          <c:xVal>
            <c:numRef>
              <c:f>knownMWAC!$AB$3:$AB$29</c:f>
              <c:numCache>
                <c:formatCode>0.0%</c:formatCode>
                <c:ptCount val="27"/>
                <c:pt idx="0">
                  <c:v>0.161</c:v>
                </c:pt>
                <c:pt idx="1">
                  <c:v>0.16400000000000001</c:v>
                </c:pt>
                <c:pt idx="2">
                  <c:v>0.13320000000000001</c:v>
                </c:pt>
                <c:pt idx="3">
                  <c:v>0.161</c:v>
                </c:pt>
                <c:pt idx="4">
                  <c:v>0.13769999999999999</c:v>
                </c:pt>
                <c:pt idx="5">
                  <c:v>0.19600000000000001</c:v>
                </c:pt>
                <c:pt idx="6">
                  <c:v>0.14799999999999999</c:v>
                </c:pt>
                <c:pt idx="7">
                  <c:v>0.14799999999999999</c:v>
                </c:pt>
                <c:pt idx="8">
                  <c:v>0.19</c:v>
                </c:pt>
                <c:pt idx="9">
                  <c:v>0.12720000000000001</c:v>
                </c:pt>
                <c:pt idx="10">
                  <c:v>0.1305</c:v>
                </c:pt>
                <c:pt idx="11">
                  <c:v>0.13900000000000001</c:v>
                </c:pt>
                <c:pt idx="12">
                  <c:v>0.13600000000000001</c:v>
                </c:pt>
                <c:pt idx="13">
                  <c:v>0.13800000000000001</c:v>
                </c:pt>
                <c:pt idx="14">
                  <c:v>0.13919999999999999</c:v>
                </c:pt>
                <c:pt idx="15">
                  <c:v>0.09</c:v>
                </c:pt>
                <c:pt idx="16">
                  <c:v>0.19</c:v>
                </c:pt>
                <c:pt idx="17">
                  <c:v>0.14699999999999999</c:v>
                </c:pt>
                <c:pt idx="19">
                  <c:v>0.20100000000000001</c:v>
                </c:pt>
                <c:pt idx="21">
                  <c:v>0.185</c:v>
                </c:pt>
                <c:pt idx="22">
                  <c:v>0.14699999999999999</c:v>
                </c:pt>
                <c:pt idx="23">
                  <c:v>0.14699999999999999</c:v>
                </c:pt>
              </c:numCache>
            </c:numRef>
          </c:xVal>
          <c:yVal>
            <c:numRef>
              <c:f>knownMWAC!$R$3:$R$29</c:f>
              <c:numCache>
                <c:formatCode>0.00</c:formatCode>
                <c:ptCount val="27"/>
                <c:pt idx="0">
                  <c:v>3.8216836734693875</c:v>
                </c:pt>
                <c:pt idx="1">
                  <c:v>2.8468187274909966</c:v>
                </c:pt>
                <c:pt idx="2">
                  <c:v>2.8874970188409246</c:v>
                </c:pt>
                <c:pt idx="3">
                  <c:v>1.8701080760636601</c:v>
                </c:pt>
                <c:pt idx="4">
                  <c:v>2.4141380148220142</c:v>
                </c:pt>
                <c:pt idx="5">
                  <c:v>3.5922808988764046</c:v>
                </c:pt>
                <c:pt idx="6">
                  <c:v>2.6806200587637394</c:v>
                </c:pt>
                <c:pt idx="7">
                  <c:v>2.861392179056284</c:v>
                </c:pt>
                <c:pt idx="8">
                  <c:v>2.6262446808510638</c:v>
                </c:pt>
                <c:pt idx="9">
                  <c:v>3.0895798552305642</c:v>
                </c:pt>
                <c:pt idx="10">
                  <c:v>2.6710199999999999</c:v>
                </c:pt>
                <c:pt idx="11">
                  <c:v>2.7964769999999999</c:v>
                </c:pt>
                <c:pt idx="12">
                  <c:v>3.0109680000000001</c:v>
                </c:pt>
                <c:pt idx="13">
                  <c:v>3.1000019999999999</c:v>
                </c:pt>
                <c:pt idx="14">
                  <c:v>2.3159799667616694</c:v>
                </c:pt>
                <c:pt idx="15">
                  <c:v>3.03525</c:v>
                </c:pt>
                <c:pt idx="16">
                  <c:v>1.9344659999999998</c:v>
                </c:pt>
                <c:pt idx="17">
                  <c:v>2.3733932872340429</c:v>
                </c:pt>
                <c:pt idx="19">
                  <c:v>2.0368550999999999</c:v>
                </c:pt>
                <c:pt idx="20">
                  <c:v>3.3275333333333332</c:v>
                </c:pt>
                <c:pt idx="22">
                  <c:v>2.2863931200000001</c:v>
                </c:pt>
                <c:pt idx="23">
                  <c:v>2.7082523999999997</c:v>
                </c:pt>
                <c:pt idx="24">
                  <c:v>3.041777419354839</c:v>
                </c:pt>
              </c:numCache>
            </c:numRef>
          </c:yVal>
          <c:smooth val="0"/>
        </c:ser>
        <c:ser>
          <c:idx val="0"/>
          <c:order val="1"/>
          <c:tx>
            <c:v>2 Axis</c:v>
          </c:tx>
          <c:spPr>
            <a:ln w="28575">
              <a:noFill/>
            </a:ln>
          </c:spPr>
          <c:marker>
            <c:symbol val="square"/>
            <c:size val="7"/>
            <c:spPr>
              <a:solidFill>
                <a:srgbClr val="C00000"/>
              </a:solidFill>
            </c:spPr>
          </c:marker>
          <c:xVal>
            <c:numRef>
              <c:f>knownMWAC!$AB$30:$AB$31</c:f>
              <c:numCache>
                <c:formatCode>0.0%</c:formatCode>
                <c:ptCount val="2"/>
                <c:pt idx="0">
                  <c:v>0.3</c:v>
                </c:pt>
                <c:pt idx="1">
                  <c:v>0.31</c:v>
                </c:pt>
              </c:numCache>
            </c:numRef>
          </c:xVal>
          <c:yVal>
            <c:numRef>
              <c:f>knownMWAC!$R$30:$R$31</c:f>
              <c:numCache>
                <c:formatCode>0.00</c:formatCode>
                <c:ptCount val="2"/>
                <c:pt idx="0">
                  <c:v>4.3302899999999998</c:v>
                </c:pt>
                <c:pt idx="1">
                  <c:v>2.4314119047619052</c:v>
                </c:pt>
              </c:numCache>
            </c:numRef>
          </c:yVal>
          <c:smooth val="0"/>
        </c:ser>
        <c:ser>
          <c:idx val="1"/>
          <c:order val="2"/>
          <c:tx>
            <c:v>Fixed</c:v>
          </c:tx>
          <c:spPr>
            <a:ln w="28575">
              <a:noFill/>
            </a:ln>
          </c:spPr>
          <c:marker>
            <c:symbol val="triangle"/>
            <c:size val="7"/>
            <c:spPr>
              <a:solidFill>
                <a:schemeClr val="accent3"/>
              </a:solidFill>
              <a:ln>
                <a:noFill/>
              </a:ln>
            </c:spPr>
          </c:marker>
          <c:xVal>
            <c:numRef>
              <c:f>knownMWAC!$AB$32:$AB$46</c:f>
              <c:numCache>
                <c:formatCode>0.0%</c:formatCode>
                <c:ptCount val="15"/>
                <c:pt idx="0">
                  <c:v>0.12720000000000001</c:v>
                </c:pt>
                <c:pt idx="2">
                  <c:v>0.14180000000000001</c:v>
                </c:pt>
                <c:pt idx="3">
                  <c:v>0.13769999999999999</c:v>
                </c:pt>
                <c:pt idx="4">
                  <c:v>0.1</c:v>
                </c:pt>
                <c:pt idx="5">
                  <c:v>0.14899999999999999</c:v>
                </c:pt>
                <c:pt idx="6">
                  <c:v>0.10970000000000001</c:v>
                </c:pt>
                <c:pt idx="7">
                  <c:v>0.1</c:v>
                </c:pt>
                <c:pt idx="9">
                  <c:v>0.14399999999999999</c:v>
                </c:pt>
                <c:pt idx="11">
                  <c:v>0.11</c:v>
                </c:pt>
                <c:pt idx="13">
                  <c:v>0.106</c:v>
                </c:pt>
                <c:pt idx="14">
                  <c:v>0.107</c:v>
                </c:pt>
              </c:numCache>
            </c:numRef>
          </c:xVal>
          <c:yVal>
            <c:numRef>
              <c:f>knownMWAC!$R$32:$R$46</c:f>
              <c:numCache>
                <c:formatCode>0.00</c:formatCode>
                <c:ptCount val="15"/>
                <c:pt idx="0">
                  <c:v>2.042838874680307</c:v>
                </c:pt>
                <c:pt idx="1">
                  <c:v>1.1241666666666665</c:v>
                </c:pt>
                <c:pt idx="2">
                  <c:v>1.6800508242692385</c:v>
                </c:pt>
                <c:pt idx="3">
                  <c:v>1.7887740000000001</c:v>
                </c:pt>
                <c:pt idx="4">
                  <c:v>2.230585630275058</c:v>
                </c:pt>
                <c:pt idx="5">
                  <c:v>0.90329040000000005</c:v>
                </c:pt>
                <c:pt idx="6">
                  <c:v>2.8269708865514649</c:v>
                </c:pt>
                <c:pt idx="7">
                  <c:v>2.8329</c:v>
                </c:pt>
                <c:pt idx="8">
                  <c:v>3.3954330000000006</c:v>
                </c:pt>
                <c:pt idx="9">
                  <c:v>3.15666</c:v>
                </c:pt>
                <c:pt idx="10">
                  <c:v>1.2141</c:v>
                </c:pt>
                <c:pt idx="11">
                  <c:v>2.2611809523809527</c:v>
                </c:pt>
                <c:pt idx="12">
                  <c:v>2.4050742857142859</c:v>
                </c:pt>
                <c:pt idx="14">
                  <c:v>2.2499071666666666</c:v>
                </c:pt>
              </c:numCache>
            </c:numRef>
          </c:yVal>
          <c:smooth val="0"/>
        </c:ser>
        <c:dLbls>
          <c:showLegendKey val="0"/>
          <c:showVal val="0"/>
          <c:showCatName val="0"/>
          <c:showSerName val="0"/>
          <c:showPercent val="0"/>
          <c:showBubbleSize val="0"/>
        </c:dLbls>
        <c:axId val="92660480"/>
        <c:axId val="92662784"/>
      </c:scatterChart>
      <c:valAx>
        <c:axId val="92660480"/>
        <c:scaling>
          <c:orientation val="minMax"/>
          <c:min val="8.0000000000000043E-2"/>
        </c:scaling>
        <c:delete val="0"/>
        <c:axPos val="b"/>
        <c:title>
          <c:tx>
            <c:rich>
              <a:bodyPr/>
              <a:lstStyle/>
              <a:p>
                <a:pPr>
                  <a:defRPr/>
                </a:pPr>
                <a:r>
                  <a:rPr lang="en-US"/>
                  <a:t>Module Efficiency</a:t>
                </a:r>
              </a:p>
            </c:rich>
          </c:tx>
          <c:overlay val="0"/>
        </c:title>
        <c:numFmt formatCode="0%" sourceLinked="0"/>
        <c:majorTickMark val="out"/>
        <c:minorTickMark val="none"/>
        <c:tickLblPos val="nextTo"/>
        <c:crossAx val="92662784"/>
        <c:crosses val="autoZero"/>
        <c:crossBetween val="midCat"/>
      </c:valAx>
      <c:valAx>
        <c:axId val="92662784"/>
        <c:scaling>
          <c:orientation val="minMax"/>
        </c:scaling>
        <c:delete val="0"/>
        <c:axPos val="l"/>
        <c:title>
          <c:tx>
            <c:rich>
              <a:bodyPr rot="-5400000" vert="horz"/>
              <a:lstStyle/>
              <a:p>
                <a:pPr>
                  <a:defRPr/>
                </a:pPr>
                <a:r>
                  <a:rPr lang="en-US"/>
                  <a:t>Hectares/MW</a:t>
                </a:r>
              </a:p>
            </c:rich>
          </c:tx>
          <c:overlay val="0"/>
        </c:title>
        <c:numFmt formatCode="0.0" sourceLinked="0"/>
        <c:majorTickMark val="out"/>
        <c:minorTickMark val="none"/>
        <c:tickLblPos val="nextTo"/>
        <c:crossAx val="92660480"/>
        <c:crosses val="autoZero"/>
        <c:crossBetween val="midCat"/>
      </c:valAx>
    </c:plotArea>
    <c:legend>
      <c:legendPos val="r"/>
      <c:layout>
        <c:manualLayout>
          <c:xMode val="edge"/>
          <c:yMode val="edge"/>
          <c:x val="0.74240720306774688"/>
          <c:y val="5.1126293036899813E-2"/>
          <c:w val="0.11125116547289909"/>
          <c:h val="0.26592519685039367"/>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at Location</a:t>
            </a:r>
          </a:p>
        </c:rich>
      </c:tx>
      <c:overlay val="0"/>
    </c:title>
    <c:autoTitleDeleted val="0"/>
    <c:plotArea>
      <c:layout/>
      <c:scatterChart>
        <c:scatterStyle val="lineMarker"/>
        <c:varyColors val="0"/>
        <c:ser>
          <c:idx val="0"/>
          <c:order val="0"/>
          <c:tx>
            <c:v>1 Axis</c:v>
          </c:tx>
          <c:spPr>
            <a:ln w="28575">
              <a:noFill/>
            </a:ln>
          </c:spPr>
          <c:xVal>
            <c:numRef>
              <c:f>knownMWAC!$AB$3:$AB$29</c:f>
              <c:numCache>
                <c:formatCode>0.0%</c:formatCode>
                <c:ptCount val="27"/>
                <c:pt idx="0">
                  <c:v>0.161</c:v>
                </c:pt>
                <c:pt idx="1">
                  <c:v>0.16400000000000001</c:v>
                </c:pt>
                <c:pt idx="2">
                  <c:v>0.13320000000000001</c:v>
                </c:pt>
                <c:pt idx="3">
                  <c:v>0.161</c:v>
                </c:pt>
                <c:pt idx="4">
                  <c:v>0.13769999999999999</c:v>
                </c:pt>
                <c:pt idx="5">
                  <c:v>0.19600000000000001</c:v>
                </c:pt>
                <c:pt idx="6">
                  <c:v>0.14799999999999999</c:v>
                </c:pt>
                <c:pt idx="7">
                  <c:v>0.14799999999999999</c:v>
                </c:pt>
                <c:pt idx="8">
                  <c:v>0.19</c:v>
                </c:pt>
                <c:pt idx="9">
                  <c:v>0.12720000000000001</c:v>
                </c:pt>
                <c:pt idx="10">
                  <c:v>0.1305</c:v>
                </c:pt>
                <c:pt idx="11">
                  <c:v>0.13900000000000001</c:v>
                </c:pt>
                <c:pt idx="12">
                  <c:v>0.13600000000000001</c:v>
                </c:pt>
                <c:pt idx="13">
                  <c:v>0.13800000000000001</c:v>
                </c:pt>
                <c:pt idx="14">
                  <c:v>0.13919999999999999</c:v>
                </c:pt>
                <c:pt idx="15">
                  <c:v>0.09</c:v>
                </c:pt>
                <c:pt idx="16">
                  <c:v>0.19</c:v>
                </c:pt>
                <c:pt idx="17">
                  <c:v>0.14699999999999999</c:v>
                </c:pt>
                <c:pt idx="19">
                  <c:v>0.20100000000000001</c:v>
                </c:pt>
                <c:pt idx="21">
                  <c:v>0.185</c:v>
                </c:pt>
                <c:pt idx="22">
                  <c:v>0.14699999999999999</c:v>
                </c:pt>
                <c:pt idx="23">
                  <c:v>0.14699999999999999</c:v>
                </c:pt>
              </c:numCache>
            </c:numRef>
          </c:xVal>
          <c:yVal>
            <c:numRef>
              <c:f>knownMWAC!$AL$3:$AL$29</c:f>
              <c:numCache>
                <c:formatCode>General</c:formatCode>
                <c:ptCount val="27"/>
                <c:pt idx="0">
                  <c:v>1.6924883327493137</c:v>
                </c:pt>
                <c:pt idx="1">
                  <c:v>2.0587647713974033</c:v>
                </c:pt>
                <c:pt idx="2">
                  <c:v>1.4959309467970547</c:v>
                </c:pt>
                <c:pt idx="3">
                  <c:v>1.4834400079463079</c:v>
                </c:pt>
                <c:pt idx="4">
                  <c:v>1.2307518830633644</c:v>
                </c:pt>
                <c:pt idx="5">
                  <c:v>2.1924362150156997</c:v>
                </c:pt>
                <c:pt idx="6">
                  <c:v>1.562949903646377</c:v>
                </c:pt>
                <c:pt idx="7">
                  <c:v>1.4334596133128592</c:v>
                </c:pt>
                <c:pt idx="8">
                  <c:v>2.221171612866967</c:v>
                </c:pt>
                <c:pt idx="9">
                  <c:v>1.8796936987211283</c:v>
                </c:pt>
                <c:pt idx="10">
                  <c:v>1.9312320378179475</c:v>
                </c:pt>
                <c:pt idx="11">
                  <c:v>1.4303622021706648</c:v>
                </c:pt>
                <c:pt idx="12">
                  <c:v>2.1202698603821797</c:v>
                </c:pt>
                <c:pt idx="13">
                  <c:v>1.9775378569665045</c:v>
                </c:pt>
                <c:pt idx="14">
                  <c:v>1.4041705043663326</c:v>
                </c:pt>
                <c:pt idx="15">
                  <c:v>1.7064934390247068</c:v>
                </c:pt>
                <c:pt idx="16">
                  <c:v>1.2196479106178102</c:v>
                </c:pt>
                <c:pt idx="17">
                  <c:v>1.4380467358170221</c:v>
                </c:pt>
                <c:pt idx="18">
                  <c:v>1.2125888111940493</c:v>
                </c:pt>
                <c:pt idx="19">
                  <c:v>2.2746500777604974</c:v>
                </c:pt>
                <c:pt idx="20">
                  <c:v>1.6600960756650802</c:v>
                </c:pt>
                <c:pt idx="21">
                  <c:v>1.1179100964932924</c:v>
                </c:pt>
                <c:pt idx="22">
                  <c:v>1.447956391294404</c:v>
                </c:pt>
                <c:pt idx="23">
                  <c:v>1.4108937212149479</c:v>
                </c:pt>
                <c:pt idx="24">
                  <c:v>2.6740348539662788</c:v>
                </c:pt>
                <c:pt idx="25">
                  <c:v>1.8201044058239422</c:v>
                </c:pt>
                <c:pt idx="26">
                  <c:v>1.2580976711638006</c:v>
                </c:pt>
              </c:numCache>
            </c:numRef>
          </c:yVal>
          <c:smooth val="0"/>
        </c:ser>
        <c:ser>
          <c:idx val="1"/>
          <c:order val="1"/>
          <c:tx>
            <c:v>2 Axis</c:v>
          </c:tx>
          <c:spPr>
            <a:ln w="28575">
              <a:noFill/>
            </a:ln>
          </c:spPr>
          <c:xVal>
            <c:numRef>
              <c:f>knownMWAC!$AB$30:$AB$31</c:f>
              <c:numCache>
                <c:formatCode>0.0%</c:formatCode>
                <c:ptCount val="2"/>
                <c:pt idx="0">
                  <c:v>0.3</c:v>
                </c:pt>
                <c:pt idx="1">
                  <c:v>0.31</c:v>
                </c:pt>
              </c:numCache>
            </c:numRef>
          </c:xVal>
          <c:yVal>
            <c:numRef>
              <c:f>knownMWAC!$AL$30:$AL$31</c:f>
              <c:numCache>
                <c:formatCode>General</c:formatCode>
                <c:ptCount val="2"/>
                <c:pt idx="0">
                  <c:v>2.291199733577554</c:v>
                </c:pt>
                <c:pt idx="1">
                  <c:v>1.041072034087466</c:v>
                </c:pt>
              </c:numCache>
            </c:numRef>
          </c:yVal>
          <c:smooth val="0"/>
        </c:ser>
        <c:ser>
          <c:idx val="2"/>
          <c:order val="2"/>
          <c:tx>
            <c:v>Fixed</c:v>
          </c:tx>
          <c:spPr>
            <a:ln w="28575">
              <a:noFill/>
            </a:ln>
          </c:spPr>
          <c:xVal>
            <c:numRef>
              <c:f>knownMWAC!$AB$32:$AB$47</c:f>
              <c:numCache>
                <c:formatCode>0.0%</c:formatCode>
                <c:ptCount val="16"/>
                <c:pt idx="0">
                  <c:v>0.12720000000000001</c:v>
                </c:pt>
                <c:pt idx="2">
                  <c:v>0.14180000000000001</c:v>
                </c:pt>
                <c:pt idx="3">
                  <c:v>0.13769999999999999</c:v>
                </c:pt>
                <c:pt idx="4">
                  <c:v>0.1</c:v>
                </c:pt>
                <c:pt idx="5">
                  <c:v>0.14899999999999999</c:v>
                </c:pt>
                <c:pt idx="6">
                  <c:v>0.10970000000000001</c:v>
                </c:pt>
                <c:pt idx="7">
                  <c:v>0.1</c:v>
                </c:pt>
                <c:pt idx="9">
                  <c:v>0.14399999999999999</c:v>
                </c:pt>
                <c:pt idx="11">
                  <c:v>0.11</c:v>
                </c:pt>
                <c:pt idx="13">
                  <c:v>0.106</c:v>
                </c:pt>
                <c:pt idx="14">
                  <c:v>0.107</c:v>
                </c:pt>
                <c:pt idx="15">
                  <c:v>0.14199999999999999</c:v>
                </c:pt>
              </c:numCache>
            </c:numRef>
          </c:xVal>
          <c:yVal>
            <c:numRef>
              <c:f>knownMWAC!$AL$32:$AL$47</c:f>
              <c:numCache>
                <c:formatCode>General</c:formatCode>
                <c:ptCount val="16"/>
                <c:pt idx="0">
                  <c:v>1.3981185711505959</c:v>
                </c:pt>
                <c:pt idx="1">
                  <c:v>1.4232086886799327</c:v>
                </c:pt>
                <c:pt idx="2">
                  <c:v>1.4102026842229407</c:v>
                </c:pt>
                <c:pt idx="3">
                  <c:v>1.4954847306212944</c:v>
                </c:pt>
                <c:pt idx="4">
                  <c:v>1.7752513989566634</c:v>
                </c:pt>
                <c:pt idx="5">
                  <c:v>0.77729263233373447</c:v>
                </c:pt>
                <c:pt idx="6">
                  <c:v>2.498872547941728</c:v>
                </c:pt>
                <c:pt idx="7">
                  <c:v>1.5238417983366512</c:v>
                </c:pt>
                <c:pt idx="8">
                  <c:v>2.1439215686274511</c:v>
                </c:pt>
                <c:pt idx="9">
                  <c:v>2.4642331231165926</c:v>
                </c:pt>
                <c:pt idx="10">
                  <c:v>1.0169534116228034</c:v>
                </c:pt>
                <c:pt idx="11">
                  <c:v>1.8130136480011825</c:v>
                </c:pt>
                <c:pt idx="12">
                  <c:v>1.9062796850344246</c:v>
                </c:pt>
                <c:pt idx="13">
                  <c:v>2.2204445497879961</c:v>
                </c:pt>
                <c:pt idx="14">
                  <c:v>1.7337986815134894</c:v>
                </c:pt>
                <c:pt idx="15">
                  <c:v>1.4460684481115775</c:v>
                </c:pt>
              </c:numCache>
            </c:numRef>
          </c:yVal>
          <c:smooth val="0"/>
        </c:ser>
        <c:dLbls>
          <c:showLegendKey val="0"/>
          <c:showVal val="0"/>
          <c:showCatName val="0"/>
          <c:showSerName val="0"/>
          <c:showPercent val="0"/>
          <c:showBubbleSize val="0"/>
        </c:dLbls>
        <c:axId val="108500096"/>
        <c:axId val="108502016"/>
      </c:scatterChart>
      <c:valAx>
        <c:axId val="108500096"/>
        <c:scaling>
          <c:orientation val="minMax"/>
        </c:scaling>
        <c:delete val="0"/>
        <c:axPos val="b"/>
        <c:title>
          <c:tx>
            <c:rich>
              <a:bodyPr/>
              <a:lstStyle/>
              <a:p>
                <a:pPr>
                  <a:defRPr/>
                </a:pPr>
                <a:r>
                  <a:rPr lang="en-US"/>
                  <a:t>Module Efficiency</a:t>
                </a:r>
              </a:p>
            </c:rich>
          </c:tx>
          <c:overlay val="0"/>
        </c:title>
        <c:numFmt formatCode="0.0%" sourceLinked="1"/>
        <c:majorTickMark val="out"/>
        <c:minorTickMark val="none"/>
        <c:tickLblPos val="nextTo"/>
        <c:crossAx val="108502016"/>
        <c:crosses val="autoZero"/>
        <c:crossBetween val="midCat"/>
      </c:valAx>
      <c:valAx>
        <c:axId val="108502016"/>
        <c:scaling>
          <c:orientation val="minMax"/>
        </c:scaling>
        <c:delete val="0"/>
        <c:axPos val="l"/>
        <c:majorGridlines/>
        <c:title>
          <c:tx>
            <c:rich>
              <a:bodyPr rot="-5400000" vert="horz"/>
              <a:lstStyle/>
              <a:p>
                <a:pPr>
                  <a:defRPr/>
                </a:pPr>
                <a:r>
                  <a:rPr lang="en-US"/>
                  <a:t>Hectare/GWh</a:t>
                </a:r>
              </a:p>
            </c:rich>
          </c:tx>
          <c:overlay val="0"/>
        </c:title>
        <c:numFmt formatCode="General" sourceLinked="1"/>
        <c:majorTickMark val="out"/>
        <c:minorTickMark val="none"/>
        <c:tickLblPos val="nextTo"/>
        <c:crossAx val="108500096"/>
        <c:crosses val="autoZero"/>
        <c:crossBetween val="midCat"/>
      </c:valAx>
    </c:plotArea>
    <c:legend>
      <c:legendPos val="r"/>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at CO Springs</a:t>
            </a:r>
          </a:p>
        </c:rich>
      </c:tx>
      <c:overlay val="0"/>
    </c:title>
    <c:autoTitleDeleted val="0"/>
    <c:plotArea>
      <c:layout/>
      <c:scatterChart>
        <c:scatterStyle val="lineMarker"/>
        <c:varyColors val="0"/>
        <c:ser>
          <c:idx val="0"/>
          <c:order val="0"/>
          <c:spPr>
            <a:ln w="28575">
              <a:noFill/>
            </a:ln>
          </c:spPr>
          <c:xVal>
            <c:numRef>
              <c:f>knownMWAC!$AB$3:$AB$29</c:f>
              <c:numCache>
                <c:formatCode>0.0%</c:formatCode>
                <c:ptCount val="27"/>
                <c:pt idx="0">
                  <c:v>0.161</c:v>
                </c:pt>
                <c:pt idx="1">
                  <c:v>0.16400000000000001</c:v>
                </c:pt>
                <c:pt idx="2">
                  <c:v>0.13320000000000001</c:v>
                </c:pt>
                <c:pt idx="3">
                  <c:v>0.161</c:v>
                </c:pt>
                <c:pt idx="4">
                  <c:v>0.13769999999999999</c:v>
                </c:pt>
                <c:pt idx="5">
                  <c:v>0.19600000000000001</c:v>
                </c:pt>
                <c:pt idx="6">
                  <c:v>0.14799999999999999</c:v>
                </c:pt>
                <c:pt idx="7">
                  <c:v>0.14799999999999999</c:v>
                </c:pt>
                <c:pt idx="8">
                  <c:v>0.19</c:v>
                </c:pt>
                <c:pt idx="9">
                  <c:v>0.12720000000000001</c:v>
                </c:pt>
                <c:pt idx="10">
                  <c:v>0.1305</c:v>
                </c:pt>
                <c:pt idx="11">
                  <c:v>0.13900000000000001</c:v>
                </c:pt>
                <c:pt idx="12">
                  <c:v>0.13600000000000001</c:v>
                </c:pt>
                <c:pt idx="13">
                  <c:v>0.13800000000000001</c:v>
                </c:pt>
                <c:pt idx="14">
                  <c:v>0.13919999999999999</c:v>
                </c:pt>
                <c:pt idx="15">
                  <c:v>0.09</c:v>
                </c:pt>
                <c:pt idx="16">
                  <c:v>0.19</c:v>
                </c:pt>
                <c:pt idx="17">
                  <c:v>0.14699999999999999</c:v>
                </c:pt>
                <c:pt idx="19">
                  <c:v>0.20100000000000001</c:v>
                </c:pt>
                <c:pt idx="21">
                  <c:v>0.185</c:v>
                </c:pt>
                <c:pt idx="22">
                  <c:v>0.14699999999999999</c:v>
                </c:pt>
                <c:pt idx="23">
                  <c:v>0.14699999999999999</c:v>
                </c:pt>
              </c:numCache>
            </c:numRef>
          </c:xVal>
          <c:yVal>
            <c:numRef>
              <c:f>knownMWAC!$AN$3:$AN$29</c:f>
              <c:numCache>
                <c:formatCode>General</c:formatCode>
                <c:ptCount val="27"/>
                <c:pt idx="0">
                  <c:v>1.9253328090274862</c:v>
                </c:pt>
                <c:pt idx="1">
                  <c:v>1.9733394760793228</c:v>
                </c:pt>
                <c:pt idx="2">
                  <c:v>1.5369197858577164</c:v>
                </c:pt>
                <c:pt idx="3">
                  <c:v>1.4303368228537816</c:v>
                </c:pt>
                <c:pt idx="4">
                  <c:v>1.3831078095398601</c:v>
                </c:pt>
                <c:pt idx="5">
                  <c:v>2.2010968772243986</c:v>
                </c:pt>
                <c:pt idx="6">
                  <c:v>1.5152481112464506</c:v>
                </c:pt>
                <c:pt idx="7">
                  <c:v>1.7038941089955733</c:v>
                </c:pt>
                <c:pt idx="8">
                  <c:v>1.8606894840745305</c:v>
                </c:pt>
                <c:pt idx="9">
                  <c:v>2.1317085021437756</c:v>
                </c:pt>
                <c:pt idx="10">
                  <c:v>1.8644530591606274</c:v>
                </c:pt>
                <c:pt idx="11">
                  <c:v>1.6011824452819752</c:v>
                </c:pt>
                <c:pt idx="12">
                  <c:v>1.99417340600727</c:v>
                </c:pt>
                <c:pt idx="13">
                  <c:v>1.6620698003173136</c:v>
                </c:pt>
                <c:pt idx="14">
                  <c:v>1.4198124388625564</c:v>
                </c:pt>
                <c:pt idx="15">
                  <c:v>1.704744317198907</c:v>
                </c:pt>
                <c:pt idx="16">
                  <c:v>1.0050830077491206</c:v>
                </c:pt>
                <c:pt idx="17">
                  <c:v>1.3756114218236164</c:v>
                </c:pt>
                <c:pt idx="18">
                  <c:v>1.3995288218384594</c:v>
                </c:pt>
                <c:pt idx="19">
                  <c:v>1.8019245150887688</c:v>
                </c:pt>
                <c:pt idx="20">
                  <c:v>1.8172126194572416</c:v>
                </c:pt>
                <c:pt idx="21">
                  <c:v>1.24930928353795</c:v>
                </c:pt>
                <c:pt idx="22">
                  <c:v>1.3953724944465091</c:v>
                </c:pt>
                <c:pt idx="23">
                  <c:v>1.3597041282024687</c:v>
                </c:pt>
                <c:pt idx="24">
                  <c:v>2.2568265238179679</c:v>
                </c:pt>
                <c:pt idx="25">
                  <c:v>2.1190025451325734</c:v>
                </c:pt>
                <c:pt idx="26">
                  <c:v>1.4091868565706342</c:v>
                </c:pt>
              </c:numCache>
            </c:numRef>
          </c:yVal>
          <c:smooth val="0"/>
        </c:ser>
        <c:ser>
          <c:idx val="1"/>
          <c:order val="1"/>
          <c:spPr>
            <a:ln w="28575">
              <a:noFill/>
            </a:ln>
          </c:spPr>
          <c:xVal>
            <c:numRef>
              <c:f>knownMWAC!$AB$30:$AB$31</c:f>
              <c:numCache>
                <c:formatCode>0.0%</c:formatCode>
                <c:ptCount val="2"/>
                <c:pt idx="0">
                  <c:v>0.3</c:v>
                </c:pt>
                <c:pt idx="1">
                  <c:v>0.31</c:v>
                </c:pt>
              </c:numCache>
            </c:numRef>
          </c:xVal>
          <c:yVal>
            <c:numRef>
              <c:f>knownMWAC!$AN$30:$AN$31</c:f>
              <c:numCache>
                <c:formatCode>General</c:formatCode>
                <c:ptCount val="2"/>
                <c:pt idx="0">
                  <c:v>2.512113455703274</c:v>
                </c:pt>
                <c:pt idx="1">
                  <c:v>1.1428722621115655</c:v>
                </c:pt>
              </c:numCache>
            </c:numRef>
          </c:yVal>
          <c:smooth val="0"/>
        </c:ser>
        <c:ser>
          <c:idx val="2"/>
          <c:order val="2"/>
          <c:spPr>
            <a:ln w="28575">
              <a:noFill/>
            </a:ln>
          </c:spPr>
          <c:xVal>
            <c:numRef>
              <c:f>knownMWAC!$AB$32:$AB$47</c:f>
              <c:numCache>
                <c:formatCode>0.0%</c:formatCode>
                <c:ptCount val="16"/>
                <c:pt idx="0">
                  <c:v>0.12720000000000001</c:v>
                </c:pt>
                <c:pt idx="2">
                  <c:v>0.14180000000000001</c:v>
                </c:pt>
                <c:pt idx="3">
                  <c:v>0.13769999999999999</c:v>
                </c:pt>
                <c:pt idx="4">
                  <c:v>0.1</c:v>
                </c:pt>
                <c:pt idx="5">
                  <c:v>0.14899999999999999</c:v>
                </c:pt>
                <c:pt idx="6">
                  <c:v>0.10970000000000001</c:v>
                </c:pt>
                <c:pt idx="7">
                  <c:v>0.1</c:v>
                </c:pt>
                <c:pt idx="9">
                  <c:v>0.14399999999999999</c:v>
                </c:pt>
                <c:pt idx="11">
                  <c:v>0.11</c:v>
                </c:pt>
                <c:pt idx="13">
                  <c:v>0.106</c:v>
                </c:pt>
                <c:pt idx="14">
                  <c:v>0.107</c:v>
                </c:pt>
                <c:pt idx="15">
                  <c:v>0.14199999999999999</c:v>
                </c:pt>
              </c:numCache>
            </c:numRef>
          </c:xVal>
          <c:yVal>
            <c:numRef>
              <c:f>knownMWAC!$AN$32:$AN$47</c:f>
              <c:numCache>
                <c:formatCode>General</c:formatCode>
                <c:ptCount val="16"/>
                <c:pt idx="0">
                  <c:v>1.3666326405418732</c:v>
                </c:pt>
                <c:pt idx="1">
                  <c:v>1.2652798810352115</c:v>
                </c:pt>
                <c:pt idx="2">
                  <c:v>1.5476747357122103</c:v>
                </c:pt>
                <c:pt idx="3">
                  <c:v>1.4063132530120481</c:v>
                </c:pt>
                <c:pt idx="4">
                  <c:v>1.374906609435794</c:v>
                </c:pt>
                <c:pt idx="5">
                  <c:v>0.61566312714881188</c:v>
                </c:pt>
                <c:pt idx="6">
                  <c:v>2.6981386586304952</c:v>
                </c:pt>
                <c:pt idx="7">
                  <c:v>1.6402545292424915</c:v>
                </c:pt>
                <c:pt idx="8">
                  <c:v>1.5796092783714186</c:v>
                </c:pt>
                <c:pt idx="9">
                  <c:v>2.009403419886004</c:v>
                </c:pt>
                <c:pt idx="10">
                  <c:v>0.93216391630154383</c:v>
                </c:pt>
                <c:pt idx="11">
                  <c:v>1.5715021081747378</c:v>
                </c:pt>
                <c:pt idx="12">
                  <c:v>1.6442072650038859</c:v>
                </c:pt>
                <c:pt idx="13">
                  <c:v>2.3762316242784993</c:v>
                </c:pt>
                <c:pt idx="14">
                  <c:v>1.648701185816559</c:v>
                </c:pt>
                <c:pt idx="15">
                  <c:v>1.401109645674284</c:v>
                </c:pt>
              </c:numCache>
            </c:numRef>
          </c:yVal>
          <c:smooth val="0"/>
        </c:ser>
        <c:dLbls>
          <c:showLegendKey val="0"/>
          <c:showVal val="0"/>
          <c:showCatName val="0"/>
          <c:showSerName val="0"/>
          <c:showPercent val="0"/>
          <c:showBubbleSize val="0"/>
        </c:dLbls>
        <c:axId val="108536576"/>
        <c:axId val="108538496"/>
      </c:scatterChart>
      <c:valAx>
        <c:axId val="108536576"/>
        <c:scaling>
          <c:orientation val="minMax"/>
        </c:scaling>
        <c:delete val="0"/>
        <c:axPos val="b"/>
        <c:title>
          <c:tx>
            <c:rich>
              <a:bodyPr/>
              <a:lstStyle/>
              <a:p>
                <a:pPr>
                  <a:defRPr/>
                </a:pPr>
                <a:r>
                  <a:rPr lang="en-US"/>
                  <a:t>Module Efficiency</a:t>
                </a:r>
              </a:p>
            </c:rich>
          </c:tx>
          <c:overlay val="0"/>
        </c:title>
        <c:numFmt formatCode="0.0%" sourceLinked="1"/>
        <c:majorTickMark val="out"/>
        <c:minorTickMark val="none"/>
        <c:tickLblPos val="nextTo"/>
        <c:crossAx val="108538496"/>
        <c:crosses val="autoZero"/>
        <c:crossBetween val="midCat"/>
      </c:valAx>
      <c:valAx>
        <c:axId val="108538496"/>
        <c:scaling>
          <c:orientation val="minMax"/>
        </c:scaling>
        <c:delete val="0"/>
        <c:axPos val="l"/>
        <c:majorGridlines/>
        <c:title>
          <c:tx>
            <c:rich>
              <a:bodyPr rot="-5400000" vert="horz"/>
              <a:lstStyle/>
              <a:p>
                <a:pPr>
                  <a:defRPr/>
                </a:pPr>
                <a:r>
                  <a:rPr lang="en-US"/>
                  <a:t>Hectare/GWh</a:t>
                </a:r>
              </a:p>
            </c:rich>
          </c:tx>
          <c:overlay val="0"/>
        </c:title>
        <c:numFmt formatCode="General" sourceLinked="1"/>
        <c:majorTickMark val="out"/>
        <c:minorTickMark val="none"/>
        <c:tickLblPos val="nextTo"/>
        <c:crossAx val="108536576"/>
        <c:crosses val="autoZero"/>
        <c:crossBetween val="midCat"/>
      </c:valAx>
    </c:plotArea>
    <c:legend>
      <c:legendPos val="r"/>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at Seattle</a:t>
            </a:r>
          </a:p>
        </c:rich>
      </c:tx>
      <c:overlay val="0"/>
    </c:title>
    <c:autoTitleDeleted val="0"/>
    <c:plotArea>
      <c:layout/>
      <c:scatterChart>
        <c:scatterStyle val="lineMarker"/>
        <c:varyColors val="0"/>
        <c:ser>
          <c:idx val="0"/>
          <c:order val="0"/>
          <c:spPr>
            <a:ln w="28575">
              <a:noFill/>
            </a:ln>
          </c:spPr>
          <c:xVal>
            <c:numRef>
              <c:f>knownMWAC!$AB$3:$AB$29</c:f>
              <c:numCache>
                <c:formatCode>0.0%</c:formatCode>
                <c:ptCount val="27"/>
                <c:pt idx="0">
                  <c:v>0.161</c:v>
                </c:pt>
                <c:pt idx="1">
                  <c:v>0.16400000000000001</c:v>
                </c:pt>
                <c:pt idx="2">
                  <c:v>0.13320000000000001</c:v>
                </c:pt>
                <c:pt idx="3">
                  <c:v>0.161</c:v>
                </c:pt>
                <c:pt idx="4">
                  <c:v>0.13769999999999999</c:v>
                </c:pt>
                <c:pt idx="5">
                  <c:v>0.19600000000000001</c:v>
                </c:pt>
                <c:pt idx="6">
                  <c:v>0.14799999999999999</c:v>
                </c:pt>
                <c:pt idx="7">
                  <c:v>0.14799999999999999</c:v>
                </c:pt>
                <c:pt idx="8">
                  <c:v>0.19</c:v>
                </c:pt>
                <c:pt idx="9">
                  <c:v>0.12720000000000001</c:v>
                </c:pt>
                <c:pt idx="10">
                  <c:v>0.1305</c:v>
                </c:pt>
                <c:pt idx="11">
                  <c:v>0.13900000000000001</c:v>
                </c:pt>
                <c:pt idx="12">
                  <c:v>0.13600000000000001</c:v>
                </c:pt>
                <c:pt idx="13">
                  <c:v>0.13800000000000001</c:v>
                </c:pt>
                <c:pt idx="14">
                  <c:v>0.13919999999999999</c:v>
                </c:pt>
                <c:pt idx="15">
                  <c:v>0.09</c:v>
                </c:pt>
                <c:pt idx="16">
                  <c:v>0.19</c:v>
                </c:pt>
                <c:pt idx="17">
                  <c:v>0.14699999999999999</c:v>
                </c:pt>
                <c:pt idx="19">
                  <c:v>0.20100000000000001</c:v>
                </c:pt>
                <c:pt idx="21">
                  <c:v>0.185</c:v>
                </c:pt>
                <c:pt idx="22">
                  <c:v>0.14699999999999999</c:v>
                </c:pt>
                <c:pt idx="23">
                  <c:v>0.14699999999999999</c:v>
                </c:pt>
              </c:numCache>
            </c:numRef>
          </c:xVal>
          <c:yVal>
            <c:numRef>
              <c:f>knownMWAC!$AP$3:$AP$29</c:f>
              <c:numCache>
                <c:formatCode>General</c:formatCode>
                <c:ptCount val="27"/>
                <c:pt idx="0">
                  <c:v>3.0397567148270301</c:v>
                </c:pt>
                <c:pt idx="1">
                  <c:v>3.1155350533864166</c:v>
                </c:pt>
                <c:pt idx="2">
                  <c:v>2.4204799285536684</c:v>
                </c:pt>
                <c:pt idx="3">
                  <c:v>2.2484911958044265</c:v>
                </c:pt>
                <c:pt idx="4">
                  <c:v>2.182354719767738</c:v>
                </c:pt>
                <c:pt idx="5">
                  <c:v>3.4619829870464347</c:v>
                </c:pt>
                <c:pt idx="6">
                  <c:v>2.3860848645080583</c:v>
                </c:pt>
                <c:pt idx="7">
                  <c:v>2.6834644262427934</c:v>
                </c:pt>
                <c:pt idx="8">
                  <c:v>2.9232204976481331</c:v>
                </c:pt>
                <c:pt idx="9">
                  <c:v>3.3567494373215112</c:v>
                </c:pt>
                <c:pt idx="10">
                  <c:v>2.9302184367104087</c:v>
                </c:pt>
                <c:pt idx="11">
                  <c:v>2.51922681463952</c:v>
                </c:pt>
                <c:pt idx="12">
                  <c:v>3.1386606073799932</c:v>
                </c:pt>
                <c:pt idx="13">
                  <c:v>2.6174201937543828</c:v>
                </c:pt>
                <c:pt idx="14">
                  <c:v>2.240254300692786</c:v>
                </c:pt>
                <c:pt idx="15">
                  <c:v>2.6870751359973823</c:v>
                </c:pt>
                <c:pt idx="16">
                  <c:v>1.5853583298641205</c:v>
                </c:pt>
                <c:pt idx="17">
                  <c:v>2.1696850652645749</c:v>
                </c:pt>
                <c:pt idx="18">
                  <c:v>2.203393291002266</c:v>
                </c:pt>
                <c:pt idx="19">
                  <c:v>2.836888168998748</c:v>
                </c:pt>
                <c:pt idx="20">
                  <c:v>2.8690398606040994</c:v>
                </c:pt>
                <c:pt idx="21">
                  <c:v>1.9630003298345005</c:v>
                </c:pt>
                <c:pt idx="22">
                  <c:v>2.1935421323314603</c:v>
                </c:pt>
                <c:pt idx="23">
                  <c:v>2.1379318827382816</c:v>
                </c:pt>
                <c:pt idx="24">
                  <c:v>3.5487159251586595</c:v>
                </c:pt>
                <c:pt idx="25">
                  <c:v>3.3340937043995948</c:v>
                </c:pt>
                <c:pt idx="26">
                  <c:v>2.2182568303780013</c:v>
                </c:pt>
              </c:numCache>
            </c:numRef>
          </c:yVal>
          <c:smooth val="0"/>
        </c:ser>
        <c:ser>
          <c:idx val="1"/>
          <c:order val="1"/>
          <c:spPr>
            <a:ln w="28575">
              <a:noFill/>
            </a:ln>
          </c:spPr>
          <c:xVal>
            <c:numRef>
              <c:f>knownMWAC!$AB$30:$AB$31</c:f>
              <c:numCache>
                <c:formatCode>0.0%</c:formatCode>
                <c:ptCount val="2"/>
                <c:pt idx="0">
                  <c:v>0.3</c:v>
                </c:pt>
                <c:pt idx="1">
                  <c:v>0.31</c:v>
                </c:pt>
              </c:numCache>
            </c:numRef>
          </c:xVal>
          <c:yVal>
            <c:numRef>
              <c:f>knownMWAC!$AP$30:$AP$31</c:f>
              <c:numCache>
                <c:formatCode>General</c:formatCode>
                <c:ptCount val="2"/>
                <c:pt idx="0">
                  <c:v>4.0897256039566292</c:v>
                </c:pt>
                <c:pt idx="1">
                  <c:v>1.8642183188124792</c:v>
                </c:pt>
              </c:numCache>
            </c:numRef>
          </c:yVal>
          <c:smooth val="0"/>
        </c:ser>
        <c:ser>
          <c:idx val="2"/>
          <c:order val="2"/>
          <c:spPr>
            <a:ln w="28575">
              <a:noFill/>
            </a:ln>
          </c:spPr>
          <c:xVal>
            <c:numRef>
              <c:f>knownMWAC!$AB$32:$AB$47</c:f>
              <c:numCache>
                <c:formatCode>0.0%</c:formatCode>
                <c:ptCount val="16"/>
                <c:pt idx="0">
                  <c:v>0.12720000000000001</c:v>
                </c:pt>
                <c:pt idx="2">
                  <c:v>0.14180000000000001</c:v>
                </c:pt>
                <c:pt idx="3">
                  <c:v>0.13769999999999999</c:v>
                </c:pt>
                <c:pt idx="4">
                  <c:v>0.1</c:v>
                </c:pt>
                <c:pt idx="5">
                  <c:v>0.14899999999999999</c:v>
                </c:pt>
                <c:pt idx="6">
                  <c:v>0.10970000000000001</c:v>
                </c:pt>
                <c:pt idx="7">
                  <c:v>0.1</c:v>
                </c:pt>
                <c:pt idx="9">
                  <c:v>0.14399999999999999</c:v>
                </c:pt>
                <c:pt idx="11">
                  <c:v>0.11</c:v>
                </c:pt>
                <c:pt idx="13">
                  <c:v>0.106</c:v>
                </c:pt>
                <c:pt idx="14">
                  <c:v>0.107</c:v>
                </c:pt>
                <c:pt idx="15">
                  <c:v>0.14199999999999999</c:v>
                </c:pt>
              </c:numCache>
            </c:numRef>
          </c:xVal>
          <c:yVal>
            <c:numRef>
              <c:f>knownMWAC!$AP$32:$AP$47</c:f>
              <c:numCache>
                <c:formatCode>General</c:formatCode>
                <c:ptCount val="16"/>
                <c:pt idx="0">
                  <c:v>2.0568470858862899</c:v>
                </c:pt>
                <c:pt idx="1">
                  <c:v>1.9147788565264292</c:v>
                </c:pt>
                <c:pt idx="2">
                  <c:v>2.3216649597284591</c:v>
                </c:pt>
                <c:pt idx="3">
                  <c:v>2.1500383908420395</c:v>
                </c:pt>
                <c:pt idx="4">
                  <c:v>2.1017604739127953</c:v>
                </c:pt>
                <c:pt idx="5">
                  <c:v>0.94550920121177207</c:v>
                </c:pt>
                <c:pt idx="6">
                  <c:v>4.1155854316184666</c:v>
                </c:pt>
                <c:pt idx="7">
                  <c:v>2.5034989908987573</c:v>
                </c:pt>
                <c:pt idx="8">
                  <c:v>2.4259190060255036</c:v>
                </c:pt>
                <c:pt idx="9">
                  <c:v>3.0821346140395867</c:v>
                </c:pt>
                <c:pt idx="10">
                  <c:v>1.4123134907094332</c:v>
                </c:pt>
                <c:pt idx="11">
                  <c:v>2.3869795485485583</c:v>
                </c:pt>
                <c:pt idx="12">
                  <c:v>2.4659537519422354</c:v>
                </c:pt>
                <c:pt idx="13">
                  <c:v>3.6186864785056994</c:v>
                </c:pt>
                <c:pt idx="14">
                  <c:v>2.4739184392958489</c:v>
                </c:pt>
                <c:pt idx="15">
                  <c:v>2.1334055519510606</c:v>
                </c:pt>
              </c:numCache>
            </c:numRef>
          </c:yVal>
          <c:smooth val="0"/>
        </c:ser>
        <c:dLbls>
          <c:showLegendKey val="0"/>
          <c:showVal val="0"/>
          <c:showCatName val="0"/>
          <c:showSerName val="0"/>
          <c:showPercent val="0"/>
          <c:showBubbleSize val="0"/>
        </c:dLbls>
        <c:axId val="114164480"/>
        <c:axId val="114166400"/>
      </c:scatterChart>
      <c:valAx>
        <c:axId val="114164480"/>
        <c:scaling>
          <c:orientation val="minMax"/>
        </c:scaling>
        <c:delete val="0"/>
        <c:axPos val="b"/>
        <c:title>
          <c:tx>
            <c:rich>
              <a:bodyPr/>
              <a:lstStyle/>
              <a:p>
                <a:pPr>
                  <a:defRPr/>
                </a:pPr>
                <a:r>
                  <a:rPr lang="en-US"/>
                  <a:t>Module Efficiency</a:t>
                </a:r>
              </a:p>
            </c:rich>
          </c:tx>
          <c:overlay val="0"/>
        </c:title>
        <c:numFmt formatCode="0.0%" sourceLinked="1"/>
        <c:majorTickMark val="out"/>
        <c:minorTickMark val="none"/>
        <c:tickLblPos val="nextTo"/>
        <c:crossAx val="114166400"/>
        <c:crosses val="autoZero"/>
        <c:crossBetween val="midCat"/>
      </c:valAx>
      <c:valAx>
        <c:axId val="114166400"/>
        <c:scaling>
          <c:orientation val="minMax"/>
        </c:scaling>
        <c:delete val="0"/>
        <c:axPos val="l"/>
        <c:majorGridlines/>
        <c:title>
          <c:tx>
            <c:rich>
              <a:bodyPr rot="-5400000" vert="horz"/>
              <a:lstStyle/>
              <a:p>
                <a:pPr>
                  <a:defRPr/>
                </a:pPr>
                <a:r>
                  <a:rPr lang="en-US"/>
                  <a:t>Hectare/GWh</a:t>
                </a:r>
              </a:p>
            </c:rich>
          </c:tx>
          <c:overlay val="0"/>
        </c:title>
        <c:numFmt formatCode="General" sourceLinked="1"/>
        <c:majorTickMark val="out"/>
        <c:minorTickMark val="none"/>
        <c:tickLblPos val="nextTo"/>
        <c:crossAx val="114164480"/>
        <c:crosses val="autoZero"/>
        <c:crossBetween val="midCat"/>
      </c:valAx>
    </c:plotArea>
    <c:legend>
      <c:legendPos val="r"/>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Capacity vs Efficiency </a:t>
            </a:r>
            <a:r>
              <a:rPr lang="en-US" baseline="0"/>
              <a:t> </a:t>
            </a:r>
            <a:endParaRPr lang="en-US"/>
          </a:p>
        </c:rich>
      </c:tx>
      <c:layout>
        <c:manualLayout>
          <c:xMode val="edge"/>
          <c:yMode val="edge"/>
          <c:x val="0.31284892876763715"/>
          <c:y val="6.4232495131657033E-2"/>
        </c:manualLayout>
      </c:layout>
      <c:overlay val="1"/>
    </c:title>
    <c:autoTitleDeleted val="0"/>
    <c:plotArea>
      <c:layout>
        <c:manualLayout>
          <c:layoutTarget val="inner"/>
          <c:xMode val="edge"/>
          <c:yMode val="edge"/>
          <c:x val="0.16159907939435497"/>
          <c:y val="7.66379022766039E-2"/>
          <c:w val="0.76815997099461664"/>
          <c:h val="0.75802642316769264"/>
        </c:manualLayout>
      </c:layout>
      <c:scatterChart>
        <c:scatterStyle val="lineMarker"/>
        <c:varyColors val="0"/>
        <c:ser>
          <c:idx val="0"/>
          <c:order val="0"/>
          <c:tx>
            <c:v>1 axis</c:v>
          </c:tx>
          <c:spPr>
            <a:ln w="28575">
              <a:noFill/>
            </a:ln>
          </c:spP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yVal>
          <c:smooth val="0"/>
        </c:ser>
        <c:ser>
          <c:idx val="1"/>
          <c:order val="1"/>
          <c:tx>
            <c:v>2 axis</c:v>
          </c:tx>
          <c:spPr>
            <a:ln w="28575">
              <a:noFill/>
            </a:ln>
          </c:spPr>
          <c:xVal>
            <c:numRef>
              <c:f>Data!$F$58:$F$65</c:f>
              <c:numCache>
                <c:formatCode>0</c:formatCode>
                <c:ptCount val="8"/>
                <c:pt idx="0">
                  <c:v>1014</c:v>
                </c:pt>
                <c:pt idx="1">
                  <c:v>1037</c:v>
                </c:pt>
                <c:pt idx="2">
                  <c:v>1159</c:v>
                </c:pt>
                <c:pt idx="3">
                  <c:v>2200</c:v>
                </c:pt>
                <c:pt idx="4">
                  <c:v>175</c:v>
                </c:pt>
                <c:pt idx="5">
                  <c:v>1047</c:v>
                </c:pt>
                <c:pt idx="6">
                  <c:v>1174.5254232357104</c:v>
                </c:pt>
                <c:pt idx="7">
                  <c:v>6468</c:v>
                </c:pt>
              </c:numCache>
            </c:numRef>
          </c:xVal>
          <c:y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yVal>
          <c:smooth val="0"/>
        </c:ser>
        <c:ser>
          <c:idx val="2"/>
          <c:order val="2"/>
          <c:tx>
            <c:v>fixed</c:v>
          </c:tx>
          <c:spPr>
            <a:ln w="28575">
              <a:noFill/>
            </a:ln>
          </c:spP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yVal>
          <c:smooth val="0"/>
        </c:ser>
        <c:dLbls>
          <c:showLegendKey val="0"/>
          <c:showVal val="0"/>
          <c:showCatName val="0"/>
          <c:showSerName val="0"/>
          <c:showPercent val="0"/>
          <c:showBubbleSize val="0"/>
        </c:dLbls>
        <c:axId val="93467008"/>
        <c:axId val="93469312"/>
      </c:scatterChart>
      <c:valAx>
        <c:axId val="93467008"/>
        <c:scaling>
          <c:orientation val="minMax"/>
        </c:scaling>
        <c:delete val="0"/>
        <c:axPos val="b"/>
        <c:title>
          <c:tx>
            <c:rich>
              <a:bodyPr/>
              <a:lstStyle/>
              <a:p>
                <a:pPr>
                  <a:defRPr/>
                </a:pPr>
                <a:r>
                  <a:rPr lang="en-US"/>
                  <a:t>MW DC</a:t>
                </a:r>
              </a:p>
            </c:rich>
          </c:tx>
          <c:overlay val="0"/>
        </c:title>
        <c:numFmt formatCode="0" sourceLinked="1"/>
        <c:majorTickMark val="out"/>
        <c:minorTickMark val="none"/>
        <c:tickLblPos val="nextTo"/>
        <c:crossAx val="93469312"/>
        <c:crosses val="autoZero"/>
        <c:crossBetween val="midCat"/>
        <c:dispUnits>
          <c:builtInUnit val="thousands"/>
        </c:dispUnits>
      </c:valAx>
      <c:valAx>
        <c:axId val="93469312"/>
        <c:scaling>
          <c:orientation val="minMax"/>
          <c:max val="0.2"/>
          <c:min val="0.05"/>
        </c:scaling>
        <c:delete val="0"/>
        <c:axPos val="l"/>
        <c:title>
          <c:tx>
            <c:rich>
              <a:bodyPr rot="-5400000" vert="horz"/>
              <a:lstStyle/>
              <a:p>
                <a:pPr>
                  <a:defRPr/>
                </a:pPr>
                <a:r>
                  <a:rPr lang="en-US"/>
                  <a:t>Efficiency</a:t>
                </a:r>
              </a:p>
            </c:rich>
          </c:tx>
          <c:overlay val="0"/>
        </c:title>
        <c:numFmt formatCode="0%" sourceLinked="0"/>
        <c:majorTickMark val="out"/>
        <c:minorTickMark val="none"/>
        <c:tickLblPos val="nextTo"/>
        <c:crossAx val="93467008"/>
        <c:crosses val="autoZero"/>
        <c:crossBetween val="midCat"/>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overlay val="0"/>
    </c:title>
    <c:autoTitleDeleted val="0"/>
    <c:plotArea>
      <c:layout/>
      <c:scatterChart>
        <c:scatterStyle val="lineMarker"/>
        <c:varyColors val="0"/>
        <c:ser>
          <c:idx val="0"/>
          <c:order val="0"/>
          <c:spPr>
            <a:ln w="28575">
              <a:noFill/>
            </a:ln>
          </c:spPr>
          <c:xVal>
            <c:numRef>
              <c:f>'By Efficiency'!$AA$3:$AA$111</c:f>
              <c:numCache>
                <c:formatCode>General</c:formatCode>
                <c:ptCount val="109"/>
                <c:pt idx="0">
                  <c:v>8.5000000000000006E-2</c:v>
                </c:pt>
                <c:pt idx="1">
                  <c:v>0.09</c:v>
                </c:pt>
                <c:pt idx="2">
                  <c:v>0.09</c:v>
                </c:pt>
                <c:pt idx="3">
                  <c:v>9.9900000000000003E-2</c:v>
                </c:pt>
                <c:pt idx="4">
                  <c:v>9.9900000000000003E-2</c:v>
                </c:pt>
                <c:pt idx="5">
                  <c:v>0.1</c:v>
                </c:pt>
                <c:pt idx="6">
                  <c:v>0.1</c:v>
                </c:pt>
                <c:pt idx="7">
                  <c:v>0.1</c:v>
                </c:pt>
                <c:pt idx="8">
                  <c:v>0.1</c:v>
                </c:pt>
                <c:pt idx="9">
                  <c:v>0.1</c:v>
                </c:pt>
                <c:pt idx="10">
                  <c:v>0.1</c:v>
                </c:pt>
                <c:pt idx="11">
                  <c:v>0.1</c:v>
                </c:pt>
                <c:pt idx="12">
                  <c:v>0.1</c:v>
                </c:pt>
                <c:pt idx="13">
                  <c:v>0.1</c:v>
                </c:pt>
                <c:pt idx="14">
                  <c:v>0.1</c:v>
                </c:pt>
                <c:pt idx="15">
                  <c:v>0.106</c:v>
                </c:pt>
                <c:pt idx="16">
                  <c:v>0.1069</c:v>
                </c:pt>
                <c:pt idx="17">
                  <c:v>0.107</c:v>
                </c:pt>
                <c:pt idx="18">
                  <c:v>0.107</c:v>
                </c:pt>
                <c:pt idx="19">
                  <c:v>0.107</c:v>
                </c:pt>
                <c:pt idx="20">
                  <c:v>0.107</c:v>
                </c:pt>
                <c:pt idx="21">
                  <c:v>0.107</c:v>
                </c:pt>
                <c:pt idx="22">
                  <c:v>0.107</c:v>
                </c:pt>
                <c:pt idx="23">
                  <c:v>0.107</c:v>
                </c:pt>
                <c:pt idx="24">
                  <c:v>0.107</c:v>
                </c:pt>
                <c:pt idx="25">
                  <c:v>0.107</c:v>
                </c:pt>
                <c:pt idx="26">
                  <c:v>0.107</c:v>
                </c:pt>
                <c:pt idx="27">
                  <c:v>0.107</c:v>
                </c:pt>
                <c:pt idx="28">
                  <c:v>0.107</c:v>
                </c:pt>
                <c:pt idx="29">
                  <c:v>0.107</c:v>
                </c:pt>
                <c:pt idx="30">
                  <c:v>0.107</c:v>
                </c:pt>
                <c:pt idx="31">
                  <c:v>0.1076</c:v>
                </c:pt>
                <c:pt idx="32">
                  <c:v>0.10970000000000001</c:v>
                </c:pt>
                <c:pt idx="33">
                  <c:v>0.11</c:v>
                </c:pt>
                <c:pt idx="34">
                  <c:v>0.12</c:v>
                </c:pt>
                <c:pt idx="35">
                  <c:v>0.12720000000000001</c:v>
                </c:pt>
                <c:pt idx="36">
                  <c:v>0.12720000000000001</c:v>
                </c:pt>
                <c:pt idx="37">
                  <c:v>0.1305</c:v>
                </c:pt>
                <c:pt idx="38">
                  <c:v>0.13200000000000001</c:v>
                </c:pt>
                <c:pt idx="39">
                  <c:v>0.13320000000000001</c:v>
                </c:pt>
                <c:pt idx="40">
                  <c:v>0.13600000000000001</c:v>
                </c:pt>
                <c:pt idx="41">
                  <c:v>0.13769999999999999</c:v>
                </c:pt>
                <c:pt idx="42">
                  <c:v>0.13769999999999999</c:v>
                </c:pt>
                <c:pt idx="43">
                  <c:v>0.13800000000000001</c:v>
                </c:pt>
                <c:pt idx="44">
                  <c:v>0.13900000000000001</c:v>
                </c:pt>
                <c:pt idx="45">
                  <c:v>0.13919999999999999</c:v>
                </c:pt>
                <c:pt idx="46">
                  <c:v>0.13919999999999999</c:v>
                </c:pt>
                <c:pt idx="47">
                  <c:v>0.13919999999999999</c:v>
                </c:pt>
                <c:pt idx="48">
                  <c:v>0.14000000000000001</c:v>
                </c:pt>
                <c:pt idx="49">
                  <c:v>0.14000000000000001</c:v>
                </c:pt>
                <c:pt idx="50">
                  <c:v>0.14000000000000001</c:v>
                </c:pt>
                <c:pt idx="51">
                  <c:v>0.14000000000000001</c:v>
                </c:pt>
                <c:pt idx="52">
                  <c:v>0.14000000000000001</c:v>
                </c:pt>
                <c:pt idx="53">
                  <c:v>0.14069999999999999</c:v>
                </c:pt>
                <c:pt idx="54">
                  <c:v>0.14099999999999999</c:v>
                </c:pt>
                <c:pt idx="55">
                  <c:v>0.14099999999999999</c:v>
                </c:pt>
                <c:pt idx="56">
                  <c:v>0.14180000000000001</c:v>
                </c:pt>
                <c:pt idx="57">
                  <c:v>0.1419</c:v>
                </c:pt>
                <c:pt idx="58">
                  <c:v>0.14199999999999999</c:v>
                </c:pt>
                <c:pt idx="59">
                  <c:v>0.14280000000000001</c:v>
                </c:pt>
                <c:pt idx="60">
                  <c:v>0.14299999999999999</c:v>
                </c:pt>
                <c:pt idx="61">
                  <c:v>0.14399999999999999</c:v>
                </c:pt>
                <c:pt idx="62">
                  <c:v>0.14399999999999999</c:v>
                </c:pt>
                <c:pt idx="63">
                  <c:v>0.14399999999999999</c:v>
                </c:pt>
                <c:pt idx="64">
                  <c:v>0.14399999999999999</c:v>
                </c:pt>
                <c:pt idx="65">
                  <c:v>0.14399999999999999</c:v>
                </c:pt>
                <c:pt idx="66">
                  <c:v>0.14400000000000002</c:v>
                </c:pt>
                <c:pt idx="67">
                  <c:v>0.14430000000000001</c:v>
                </c:pt>
                <c:pt idx="68">
                  <c:v>0.14499999999999999</c:v>
                </c:pt>
                <c:pt idx="69">
                  <c:v>0.14499999999999999</c:v>
                </c:pt>
                <c:pt idx="70">
                  <c:v>0.14499999999999999</c:v>
                </c:pt>
                <c:pt idx="71">
                  <c:v>0.14610000000000001</c:v>
                </c:pt>
                <c:pt idx="72">
                  <c:v>0.14699999999999999</c:v>
                </c:pt>
                <c:pt idx="73">
                  <c:v>0.14699999999999999</c:v>
                </c:pt>
                <c:pt idx="74">
                  <c:v>0.14699999999999999</c:v>
                </c:pt>
                <c:pt idx="75">
                  <c:v>0.14699999999999999</c:v>
                </c:pt>
                <c:pt idx="76">
                  <c:v>0.14799999999999999</c:v>
                </c:pt>
                <c:pt idx="77">
                  <c:v>0.14799999999999999</c:v>
                </c:pt>
                <c:pt idx="78">
                  <c:v>0.14899999999999999</c:v>
                </c:pt>
                <c:pt idx="79">
                  <c:v>0.14899999999999999</c:v>
                </c:pt>
                <c:pt idx="80">
                  <c:v>0.1547</c:v>
                </c:pt>
                <c:pt idx="81">
                  <c:v>0.158</c:v>
                </c:pt>
                <c:pt idx="82">
                  <c:v>0.158</c:v>
                </c:pt>
                <c:pt idx="83">
                  <c:v>0.161</c:v>
                </c:pt>
                <c:pt idx="84">
                  <c:v>0.161</c:v>
                </c:pt>
                <c:pt idx="85">
                  <c:v>0.16400000000000001</c:v>
                </c:pt>
                <c:pt idx="86">
                  <c:v>0.185</c:v>
                </c:pt>
                <c:pt idx="87">
                  <c:v>0.185</c:v>
                </c:pt>
                <c:pt idx="88">
                  <c:v>0.185</c:v>
                </c:pt>
                <c:pt idx="89">
                  <c:v>0.19</c:v>
                </c:pt>
                <c:pt idx="90">
                  <c:v>0.19</c:v>
                </c:pt>
                <c:pt idx="91">
                  <c:v>0.19</c:v>
                </c:pt>
                <c:pt idx="92">
                  <c:v>0.19</c:v>
                </c:pt>
                <c:pt idx="93">
                  <c:v>0.19</c:v>
                </c:pt>
                <c:pt idx="94">
                  <c:v>0.19</c:v>
                </c:pt>
                <c:pt idx="95">
                  <c:v>0.19</c:v>
                </c:pt>
                <c:pt idx="96">
                  <c:v>0.19600000000000001</c:v>
                </c:pt>
                <c:pt idx="97">
                  <c:v>0.19600000000000001</c:v>
                </c:pt>
                <c:pt idx="98">
                  <c:v>0.19600000000000001</c:v>
                </c:pt>
                <c:pt idx="99">
                  <c:v>0.19600000000000001</c:v>
                </c:pt>
                <c:pt idx="100">
                  <c:v>0.20100000000000001</c:v>
                </c:pt>
                <c:pt idx="101">
                  <c:v>0.20100000000000001</c:v>
                </c:pt>
                <c:pt idx="102">
                  <c:v>0.20100000000000001</c:v>
                </c:pt>
                <c:pt idx="103">
                  <c:v>0.25</c:v>
                </c:pt>
                <c:pt idx="104">
                  <c:v>0.25</c:v>
                </c:pt>
                <c:pt idx="105">
                  <c:v>0.25</c:v>
                </c:pt>
                <c:pt idx="106">
                  <c:v>0.28999999999999998</c:v>
                </c:pt>
                <c:pt idx="107">
                  <c:v>0.28999999999999998</c:v>
                </c:pt>
                <c:pt idx="108">
                  <c:v>0.31</c:v>
                </c:pt>
              </c:numCache>
            </c:numRef>
          </c:xVal>
          <c:yVal>
            <c:numRef>
              <c:f>'By Efficiency'!$L$3:$L$111</c:f>
              <c:numCache>
                <c:formatCode>General</c:formatCode>
                <c:ptCount val="109"/>
                <c:pt idx="0">
                  <c:v>4.2130066870343503</c:v>
                </c:pt>
                <c:pt idx="1">
                  <c:v>3.9416381530800004</c:v>
                </c:pt>
                <c:pt idx="2">
                  <c:v>4.4966666666666661</c:v>
                </c:pt>
                <c:pt idx="3">
                  <c:v>3.7545778189127508</c:v>
                </c:pt>
                <c:pt idx="4">
                  <c:v>3.4073683987197811</c:v>
                </c:pt>
                <c:pt idx="5">
                  <c:v>2.7153992091906427</c:v>
                </c:pt>
                <c:pt idx="6">
                  <c:v>2.99478</c:v>
                </c:pt>
                <c:pt idx="7">
                  <c:v>3.9384522070632202</c:v>
                </c:pt>
                <c:pt idx="8">
                  <c:v>4.1549863530025535</c:v>
                </c:pt>
                <c:pt idx="9">
                  <c:v>3.5844857142857145</c:v>
                </c:pt>
                <c:pt idx="10">
                  <c:v>3.3725000000000001</c:v>
                </c:pt>
                <c:pt idx="11">
                  <c:v>4.9528258065835464</c:v>
                </c:pt>
                <c:pt idx="12">
                  <c:v>3.203875</c:v>
                </c:pt>
                <c:pt idx="13">
                  <c:v>4.8178571428571431</c:v>
                </c:pt>
                <c:pt idx="14">
                  <c:v>3.0492305454545456</c:v>
                </c:pt>
                <c:pt idx="15">
                  <c:v>4.6838615972222222</c:v>
                </c:pt>
                <c:pt idx="16">
                  <c:v>2.9707098434216577</c:v>
                </c:pt>
                <c:pt idx="17">
                  <c:v>3.2321323096427639</c:v>
                </c:pt>
                <c:pt idx="18">
                  <c:v>4.3966505682640538</c:v>
                </c:pt>
                <c:pt idx="19">
                  <c:v>4.7531357494746524</c:v>
                </c:pt>
                <c:pt idx="20">
                  <c:v>3.2374851360000001</c:v>
                </c:pt>
                <c:pt idx="21">
                  <c:v>3.1160794433999999</c:v>
                </c:pt>
                <c:pt idx="22">
                  <c:v>3.687777736661368</c:v>
                </c:pt>
                <c:pt idx="23">
                  <c:v>3.1295689647999998</c:v>
                </c:pt>
                <c:pt idx="24">
                  <c:v>4.7531357494746524</c:v>
                </c:pt>
                <c:pt idx="25">
                  <c:v>4.7531357494746524</c:v>
                </c:pt>
                <c:pt idx="26">
                  <c:v>4.2493499999999997</c:v>
                </c:pt>
                <c:pt idx="27">
                  <c:v>4.6696153846153843</c:v>
                </c:pt>
                <c:pt idx="28">
                  <c:v>3.4589430391475648</c:v>
                </c:pt>
                <c:pt idx="29">
                  <c:v>3.3492413793103446</c:v>
                </c:pt>
                <c:pt idx="30">
                  <c:v>2.5753636363636363</c:v>
                </c:pt>
                <c:pt idx="31">
                  <c:v>3.695086956521739</c:v>
                </c:pt>
                <c:pt idx="32">
                  <c:v>5.3208104695717511</c:v>
                </c:pt>
                <c:pt idx="33">
                  <c:v>3.0833191771428572</c:v>
                </c:pt>
                <c:pt idx="34">
                  <c:v>3.3065292170258451</c:v>
                </c:pt>
                <c:pt idx="35">
                  <c:v>4.9309571110602173</c:v>
                </c:pt>
                <c:pt idx="36">
                  <c:v>2.587504104859335</c:v>
                </c:pt>
                <c:pt idx="37">
                  <c:v>4.3139489437199998</c:v>
                </c:pt>
                <c:pt idx="38">
                  <c:v>2.5293749999999999</c:v>
                </c:pt>
                <c:pt idx="39">
                  <c:v>3.5549537674695921</c:v>
                </c:pt>
                <c:pt idx="40">
                  <c:v>4.6134163188000006</c:v>
                </c:pt>
                <c:pt idx="41">
                  <c:v>3.1957923375045563</c:v>
                </c:pt>
                <c:pt idx="42">
                  <c:v>2.7720966476999997</c:v>
                </c:pt>
                <c:pt idx="43">
                  <c:v>3.8445135989999999</c:v>
                </c:pt>
                <c:pt idx="44">
                  <c:v>3.7044923668680001</c:v>
                </c:pt>
                <c:pt idx="45">
                  <c:v>3.2806016143601622</c:v>
                </c:pt>
                <c:pt idx="46">
                  <c:v>4.5408458106260499</c:v>
                </c:pt>
                <c:pt idx="47">
                  <c:v>4.713062061970831</c:v>
                </c:pt>
                <c:pt idx="48">
                  <c:v>3.6347508672453221</c:v>
                </c:pt>
                <c:pt idx="49">
                  <c:v>3.8960129094054525</c:v>
                </c:pt>
                <c:pt idx="50">
                  <c:v>2.3765678747373258</c:v>
                </c:pt>
                <c:pt idx="51">
                  <c:v>3.2375999999999996</c:v>
                </c:pt>
                <c:pt idx="52">
                  <c:v>3.0127666666666664</c:v>
                </c:pt>
                <c:pt idx="53">
                  <c:v>1.8107183807522484</c:v>
                </c:pt>
                <c:pt idx="54">
                  <c:v>2.2473455080258402</c:v>
                </c:pt>
                <c:pt idx="55">
                  <c:v>1.6636565357422222</c:v>
                </c:pt>
                <c:pt idx="56">
                  <c:v>2.9382645751443124</c:v>
                </c:pt>
                <c:pt idx="57">
                  <c:v>1.6126710578574712</c:v>
                </c:pt>
                <c:pt idx="58">
                  <c:v>2.7619795066500004</c:v>
                </c:pt>
                <c:pt idx="59">
                  <c:v>5.463591579328674</c:v>
                </c:pt>
                <c:pt idx="60">
                  <c:v>2.8518814496847913</c:v>
                </c:pt>
                <c:pt idx="61">
                  <c:v>1.696005256062546</c:v>
                </c:pt>
                <c:pt idx="62">
                  <c:v>4.6875106010598149</c:v>
                </c:pt>
                <c:pt idx="63">
                  <c:v>3.6422496164556724</c:v>
                </c:pt>
                <c:pt idx="64">
                  <c:v>2.3765678747373262</c:v>
                </c:pt>
                <c:pt idx="65">
                  <c:v>3.9659192916000001</c:v>
                </c:pt>
                <c:pt idx="66">
                  <c:v>2.16861818569781</c:v>
                </c:pt>
                <c:pt idx="67">
                  <c:v>1.6112324574490346</c:v>
                </c:pt>
                <c:pt idx="68">
                  <c:v>2.1793127411341282</c:v>
                </c:pt>
                <c:pt idx="69">
                  <c:v>2.0068795386670755</c:v>
                </c:pt>
                <c:pt idx="70">
                  <c:v>2.4281999999999999</c:v>
                </c:pt>
                <c:pt idx="71">
                  <c:v>2.3376077456432713</c:v>
                </c:pt>
                <c:pt idx="72">
                  <c:v>3.1793653895425531</c:v>
                </c:pt>
                <c:pt idx="73">
                  <c:v>3.2285820518760002</c:v>
                </c:pt>
                <c:pt idx="74">
                  <c:v>3.1460261809080001</c:v>
                </c:pt>
                <c:pt idx="75">
                  <c:v>5.1261999999999999</c:v>
                </c:pt>
                <c:pt idx="76">
                  <c:v>3.5049627294743622</c:v>
                </c:pt>
                <c:pt idx="77">
                  <c:v>3.9411717110289199</c:v>
                </c:pt>
                <c:pt idx="78">
                  <c:v>1.214056926</c:v>
                </c:pt>
                <c:pt idx="79">
                  <c:v>2.1642652173913044</c:v>
                </c:pt>
                <c:pt idx="80">
                  <c:v>3.6728776245940495</c:v>
                </c:pt>
                <c:pt idx="81">
                  <c:v>1.4259407248423956</c:v>
                </c:pt>
                <c:pt idx="82">
                  <c:v>2.8519826327009521</c:v>
                </c:pt>
                <c:pt idx="83">
                  <c:v>4.4463983669441465</c:v>
                </c:pt>
                <c:pt idx="84">
                  <c:v>3.3094817425327197</c:v>
                </c:pt>
                <c:pt idx="85">
                  <c:v>4.5573052963796057</c:v>
                </c:pt>
                <c:pt idx="86">
                  <c:v>2.9100831119232557</c:v>
                </c:pt>
                <c:pt idx="87">
                  <c:v>2.8906117285714288</c:v>
                </c:pt>
                <c:pt idx="88">
                  <c:v>2.4929519999999998</c:v>
                </c:pt>
                <c:pt idx="89">
                  <c:v>4.8974273704408473</c:v>
                </c:pt>
                <c:pt idx="90">
                  <c:v>4.3051664042553197</c:v>
                </c:pt>
                <c:pt idx="91">
                  <c:v>3.8025085995797219</c:v>
                </c:pt>
                <c:pt idx="92">
                  <c:v>2.4214087780342566</c:v>
                </c:pt>
                <c:pt idx="93">
                  <c:v>2.3228955850799999</c:v>
                </c:pt>
                <c:pt idx="94">
                  <c:v>2.91384</c:v>
                </c:pt>
                <c:pt idx="95">
                  <c:v>3.8041800000000001</c:v>
                </c:pt>
                <c:pt idx="96">
                  <c:v>4.5154789620009197</c:v>
                </c:pt>
                <c:pt idx="97">
                  <c:v>5.0926732476404499</c:v>
                </c:pt>
                <c:pt idx="98">
                  <c:v>4.7611764705882349</c:v>
                </c:pt>
                <c:pt idx="99">
                  <c:v>2.9678</c:v>
                </c:pt>
                <c:pt idx="100">
                  <c:v>4.1682621125999999</c:v>
                </c:pt>
                <c:pt idx="101">
                  <c:v>4.070174299259862</c:v>
                </c:pt>
                <c:pt idx="102">
                  <c:v>4.381682408422372</c:v>
                </c:pt>
                <c:pt idx="103">
                  <c:v>3.0870413654658675</c:v>
                </c:pt>
                <c:pt idx="104">
                  <c:v>6.8796559140000006</c:v>
                </c:pt>
                <c:pt idx="105">
                  <c:v>3.3494951586276738</c:v>
                </c:pt>
                <c:pt idx="106">
                  <c:v>4.4407868287948897</c:v>
                </c:pt>
                <c:pt idx="107">
                  <c:v>3.1314960392857141</c:v>
                </c:pt>
                <c:pt idx="108">
                  <c:v>2.9641113281250004</c:v>
                </c:pt>
              </c:numCache>
            </c:numRef>
          </c:yVal>
          <c:smooth val="0"/>
        </c:ser>
        <c:dLbls>
          <c:showLegendKey val="0"/>
          <c:showVal val="0"/>
          <c:showCatName val="0"/>
          <c:showSerName val="0"/>
          <c:showPercent val="0"/>
          <c:showBubbleSize val="0"/>
        </c:dLbls>
        <c:axId val="71856128"/>
        <c:axId val="71857664"/>
      </c:scatterChart>
      <c:valAx>
        <c:axId val="71856128"/>
        <c:scaling>
          <c:orientation val="minMax"/>
        </c:scaling>
        <c:delete val="0"/>
        <c:axPos val="b"/>
        <c:numFmt formatCode="0.0%" sourceLinked="0"/>
        <c:majorTickMark val="out"/>
        <c:minorTickMark val="none"/>
        <c:tickLblPos val="nextTo"/>
        <c:crossAx val="71857664"/>
        <c:crosses val="autoZero"/>
        <c:crossBetween val="midCat"/>
      </c:valAx>
      <c:valAx>
        <c:axId val="71857664"/>
        <c:scaling>
          <c:orientation val="minMax"/>
        </c:scaling>
        <c:delete val="0"/>
        <c:axPos val="l"/>
        <c:majorGridlines/>
        <c:numFmt formatCode="General" sourceLinked="1"/>
        <c:majorTickMark val="out"/>
        <c:minorTickMark val="none"/>
        <c:tickLblPos val="nextTo"/>
        <c:crossAx val="71856128"/>
        <c:crosses val="autoZero"/>
        <c:crossBetween val="midCat"/>
      </c:valAx>
    </c:plotArea>
    <c:legend>
      <c:legendPos val="r"/>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 through Time</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15636180092873006"/>
                  <c:y val="0.19306321084864392"/>
                </c:manualLayout>
              </c:layout>
              <c:numFmt formatCode="General" sourceLinked="0"/>
            </c:trendlineLbl>
          </c:trendline>
          <c:xVal>
            <c:numRef>
              <c:f>'By Date'!$C$3:$C$167</c:f>
              <c:numCache>
                <c:formatCode>General</c:formatCode>
                <c:ptCount val="165"/>
                <c:pt idx="0">
                  <c:v>2001</c:v>
                </c:pt>
                <c:pt idx="1">
                  <c:v>2003</c:v>
                </c:pt>
                <c:pt idx="2">
                  <c:v>2006</c:v>
                </c:pt>
                <c:pt idx="3">
                  <c:v>2006</c:v>
                </c:pt>
                <c:pt idx="4">
                  <c:v>2006</c:v>
                </c:pt>
                <c:pt idx="5">
                  <c:v>2006</c:v>
                </c:pt>
                <c:pt idx="6">
                  <c:v>2007</c:v>
                </c:pt>
                <c:pt idx="7">
                  <c:v>2007</c:v>
                </c:pt>
                <c:pt idx="8">
                  <c:v>2007</c:v>
                </c:pt>
                <c:pt idx="9">
                  <c:v>2007</c:v>
                </c:pt>
                <c:pt idx="10">
                  <c:v>2008</c:v>
                </c:pt>
                <c:pt idx="11">
                  <c:v>2008</c:v>
                </c:pt>
                <c:pt idx="12">
                  <c:v>2008</c:v>
                </c:pt>
                <c:pt idx="13">
                  <c:v>2008</c:v>
                </c:pt>
                <c:pt idx="14">
                  <c:v>2008</c:v>
                </c:pt>
                <c:pt idx="15">
                  <c:v>2008</c:v>
                </c:pt>
                <c:pt idx="16">
                  <c:v>2008</c:v>
                </c:pt>
                <c:pt idx="17">
                  <c:v>2008</c:v>
                </c:pt>
                <c:pt idx="18">
                  <c:v>2008</c:v>
                </c:pt>
                <c:pt idx="19">
                  <c:v>2008</c:v>
                </c:pt>
                <c:pt idx="20">
                  <c:v>2008</c:v>
                </c:pt>
                <c:pt idx="21">
                  <c:v>2008</c:v>
                </c:pt>
                <c:pt idx="22">
                  <c:v>2008</c:v>
                </c:pt>
                <c:pt idx="23">
                  <c:v>2008</c:v>
                </c:pt>
                <c:pt idx="24">
                  <c:v>2008</c:v>
                </c:pt>
                <c:pt idx="25">
                  <c:v>2008</c:v>
                </c:pt>
                <c:pt idx="26">
                  <c:v>2008</c:v>
                </c:pt>
                <c:pt idx="27">
                  <c:v>2009</c:v>
                </c:pt>
                <c:pt idx="28">
                  <c:v>2009</c:v>
                </c:pt>
                <c:pt idx="29">
                  <c:v>2009</c:v>
                </c:pt>
                <c:pt idx="30">
                  <c:v>2009</c:v>
                </c:pt>
                <c:pt idx="31">
                  <c:v>2009</c:v>
                </c:pt>
                <c:pt idx="32">
                  <c:v>2009</c:v>
                </c:pt>
                <c:pt idx="33">
                  <c:v>2009</c:v>
                </c:pt>
                <c:pt idx="34">
                  <c:v>2009</c:v>
                </c:pt>
                <c:pt idx="35">
                  <c:v>2009</c:v>
                </c:pt>
                <c:pt idx="36">
                  <c:v>2009</c:v>
                </c:pt>
                <c:pt idx="37">
                  <c:v>2009</c:v>
                </c:pt>
                <c:pt idx="38">
                  <c:v>2009</c:v>
                </c:pt>
                <c:pt idx="39">
                  <c:v>2009</c:v>
                </c:pt>
                <c:pt idx="40">
                  <c:v>2010</c:v>
                </c:pt>
                <c:pt idx="41">
                  <c:v>2010</c:v>
                </c:pt>
                <c:pt idx="42">
                  <c:v>2010</c:v>
                </c:pt>
                <c:pt idx="43">
                  <c:v>2010</c:v>
                </c:pt>
                <c:pt idx="44">
                  <c:v>2010</c:v>
                </c:pt>
                <c:pt idx="45">
                  <c:v>2010</c:v>
                </c:pt>
                <c:pt idx="46">
                  <c:v>2010</c:v>
                </c:pt>
                <c:pt idx="47">
                  <c:v>2010</c:v>
                </c:pt>
                <c:pt idx="48">
                  <c:v>2010</c:v>
                </c:pt>
                <c:pt idx="49">
                  <c:v>2010</c:v>
                </c:pt>
                <c:pt idx="50">
                  <c:v>2010</c:v>
                </c:pt>
                <c:pt idx="51">
                  <c:v>2010</c:v>
                </c:pt>
                <c:pt idx="52">
                  <c:v>2010</c:v>
                </c:pt>
                <c:pt idx="53">
                  <c:v>2010</c:v>
                </c:pt>
                <c:pt idx="54">
                  <c:v>2010</c:v>
                </c:pt>
                <c:pt idx="55">
                  <c:v>2010</c:v>
                </c:pt>
                <c:pt idx="56">
                  <c:v>2010</c:v>
                </c:pt>
                <c:pt idx="57">
                  <c:v>2010</c:v>
                </c:pt>
                <c:pt idx="58">
                  <c:v>2010</c:v>
                </c:pt>
                <c:pt idx="59">
                  <c:v>2010</c:v>
                </c:pt>
                <c:pt idx="60">
                  <c:v>2010</c:v>
                </c:pt>
                <c:pt idx="61">
                  <c:v>2010</c:v>
                </c:pt>
                <c:pt idx="62">
                  <c:v>2010</c:v>
                </c:pt>
                <c:pt idx="63">
                  <c:v>2010</c:v>
                </c:pt>
                <c:pt idx="64">
                  <c:v>2010</c:v>
                </c:pt>
                <c:pt idx="65">
                  <c:v>2010</c:v>
                </c:pt>
                <c:pt idx="66">
                  <c:v>2011</c:v>
                </c:pt>
                <c:pt idx="67">
                  <c:v>2011</c:v>
                </c:pt>
                <c:pt idx="68">
                  <c:v>2011</c:v>
                </c:pt>
                <c:pt idx="69">
                  <c:v>2011</c:v>
                </c:pt>
                <c:pt idx="70">
                  <c:v>2011</c:v>
                </c:pt>
                <c:pt idx="71">
                  <c:v>2011</c:v>
                </c:pt>
                <c:pt idx="72">
                  <c:v>2011</c:v>
                </c:pt>
                <c:pt idx="73">
                  <c:v>2011</c:v>
                </c:pt>
                <c:pt idx="74">
                  <c:v>2011</c:v>
                </c:pt>
                <c:pt idx="75">
                  <c:v>2011</c:v>
                </c:pt>
                <c:pt idx="76">
                  <c:v>2011</c:v>
                </c:pt>
                <c:pt idx="77">
                  <c:v>2011</c:v>
                </c:pt>
                <c:pt idx="78">
                  <c:v>2011</c:v>
                </c:pt>
                <c:pt idx="79">
                  <c:v>2011</c:v>
                </c:pt>
                <c:pt idx="80">
                  <c:v>2011</c:v>
                </c:pt>
                <c:pt idx="81">
                  <c:v>2011</c:v>
                </c:pt>
                <c:pt idx="82">
                  <c:v>2011</c:v>
                </c:pt>
                <c:pt idx="83">
                  <c:v>2011</c:v>
                </c:pt>
                <c:pt idx="84">
                  <c:v>2011</c:v>
                </c:pt>
                <c:pt idx="85">
                  <c:v>2011</c:v>
                </c:pt>
                <c:pt idx="86">
                  <c:v>2011</c:v>
                </c:pt>
                <c:pt idx="87">
                  <c:v>2011</c:v>
                </c:pt>
                <c:pt idx="88">
                  <c:v>2011</c:v>
                </c:pt>
                <c:pt idx="89">
                  <c:v>2011</c:v>
                </c:pt>
                <c:pt idx="90">
                  <c:v>2011</c:v>
                </c:pt>
                <c:pt idx="91">
                  <c:v>2011</c:v>
                </c:pt>
                <c:pt idx="92">
                  <c:v>2011</c:v>
                </c:pt>
                <c:pt idx="93">
                  <c:v>2011</c:v>
                </c:pt>
                <c:pt idx="94">
                  <c:v>2011</c:v>
                </c:pt>
                <c:pt idx="95">
                  <c:v>2011</c:v>
                </c:pt>
                <c:pt idx="96">
                  <c:v>2011</c:v>
                </c:pt>
                <c:pt idx="97">
                  <c:v>2011</c:v>
                </c:pt>
                <c:pt idx="98">
                  <c:v>2011</c:v>
                </c:pt>
                <c:pt idx="99">
                  <c:v>2011</c:v>
                </c:pt>
                <c:pt idx="100">
                  <c:v>2011</c:v>
                </c:pt>
                <c:pt idx="101">
                  <c:v>2011</c:v>
                </c:pt>
                <c:pt idx="102">
                  <c:v>2011</c:v>
                </c:pt>
                <c:pt idx="103">
                  <c:v>2011</c:v>
                </c:pt>
                <c:pt idx="104">
                  <c:v>2011</c:v>
                </c:pt>
                <c:pt idx="105">
                  <c:v>2011</c:v>
                </c:pt>
                <c:pt idx="106">
                  <c:v>2011</c:v>
                </c:pt>
                <c:pt idx="107">
                  <c:v>2011</c:v>
                </c:pt>
                <c:pt idx="108">
                  <c:v>2011</c:v>
                </c:pt>
                <c:pt idx="109">
                  <c:v>2011</c:v>
                </c:pt>
                <c:pt idx="110">
                  <c:v>2011</c:v>
                </c:pt>
                <c:pt idx="111">
                  <c:v>2012</c:v>
                </c:pt>
                <c:pt idx="112">
                  <c:v>2012</c:v>
                </c:pt>
                <c:pt idx="113">
                  <c:v>2012</c:v>
                </c:pt>
                <c:pt idx="114">
                  <c:v>2012</c:v>
                </c:pt>
                <c:pt idx="115">
                  <c:v>2012</c:v>
                </c:pt>
                <c:pt idx="116">
                  <c:v>2012</c:v>
                </c:pt>
                <c:pt idx="117">
                  <c:v>2012</c:v>
                </c:pt>
                <c:pt idx="118">
                  <c:v>2012</c:v>
                </c:pt>
                <c:pt idx="119">
                  <c:v>2012</c:v>
                </c:pt>
                <c:pt idx="120">
                  <c:v>2012</c:v>
                </c:pt>
                <c:pt idx="121">
                  <c:v>2012</c:v>
                </c:pt>
                <c:pt idx="122">
                  <c:v>2012</c:v>
                </c:pt>
                <c:pt idx="123">
                  <c:v>2012</c:v>
                </c:pt>
                <c:pt idx="124">
                  <c:v>2012</c:v>
                </c:pt>
                <c:pt idx="125">
                  <c:v>2012</c:v>
                </c:pt>
                <c:pt idx="126">
                  <c:v>2012</c:v>
                </c:pt>
                <c:pt idx="127">
                  <c:v>2012</c:v>
                </c:pt>
                <c:pt idx="128">
                  <c:v>2012</c:v>
                </c:pt>
                <c:pt idx="129">
                  <c:v>2012</c:v>
                </c:pt>
                <c:pt idx="130">
                  <c:v>2012</c:v>
                </c:pt>
                <c:pt idx="131">
                  <c:v>2012</c:v>
                </c:pt>
                <c:pt idx="132">
                  <c:v>2012</c:v>
                </c:pt>
                <c:pt idx="133">
                  <c:v>2012</c:v>
                </c:pt>
                <c:pt idx="134">
                  <c:v>2012</c:v>
                </c:pt>
                <c:pt idx="135">
                  <c:v>2012</c:v>
                </c:pt>
                <c:pt idx="136">
                  <c:v>2012</c:v>
                </c:pt>
                <c:pt idx="137">
                  <c:v>2012</c:v>
                </c:pt>
                <c:pt idx="138">
                  <c:v>2012</c:v>
                </c:pt>
                <c:pt idx="139">
                  <c:v>2012</c:v>
                </c:pt>
                <c:pt idx="140">
                  <c:v>2012</c:v>
                </c:pt>
                <c:pt idx="141">
                  <c:v>2012</c:v>
                </c:pt>
                <c:pt idx="142">
                  <c:v>2012</c:v>
                </c:pt>
                <c:pt idx="143">
                  <c:v>2012</c:v>
                </c:pt>
                <c:pt idx="144">
                  <c:v>2012</c:v>
                </c:pt>
                <c:pt idx="145">
                  <c:v>2012</c:v>
                </c:pt>
                <c:pt idx="146">
                  <c:v>2012</c:v>
                </c:pt>
                <c:pt idx="147">
                  <c:v>2013</c:v>
                </c:pt>
                <c:pt idx="148">
                  <c:v>2013</c:v>
                </c:pt>
                <c:pt idx="149">
                  <c:v>2013</c:v>
                </c:pt>
                <c:pt idx="150">
                  <c:v>2013</c:v>
                </c:pt>
                <c:pt idx="151">
                  <c:v>2013</c:v>
                </c:pt>
                <c:pt idx="152">
                  <c:v>2013</c:v>
                </c:pt>
                <c:pt idx="153">
                  <c:v>2013</c:v>
                </c:pt>
                <c:pt idx="154">
                  <c:v>2013</c:v>
                </c:pt>
                <c:pt idx="155">
                  <c:v>2013</c:v>
                </c:pt>
                <c:pt idx="156">
                  <c:v>2013</c:v>
                </c:pt>
                <c:pt idx="157">
                  <c:v>2013</c:v>
                </c:pt>
                <c:pt idx="158">
                  <c:v>2013</c:v>
                </c:pt>
                <c:pt idx="159">
                  <c:v>2013</c:v>
                </c:pt>
                <c:pt idx="160">
                  <c:v>2013</c:v>
                </c:pt>
                <c:pt idx="161">
                  <c:v>2013</c:v>
                </c:pt>
                <c:pt idx="162">
                  <c:v>2013</c:v>
                </c:pt>
                <c:pt idx="163">
                  <c:v>2013</c:v>
                </c:pt>
                <c:pt idx="164">
                  <c:v>2013</c:v>
                </c:pt>
              </c:numCache>
            </c:numRef>
          </c:xVal>
          <c:yVal>
            <c:numRef>
              <c:f>'By Date'!$L$3:$L$167</c:f>
              <c:numCache>
                <c:formatCode>0.00</c:formatCode>
                <c:ptCount val="165"/>
                <c:pt idx="0">
                  <c:v>5.3208104695717511</c:v>
                </c:pt>
                <c:pt idx="1">
                  <c:v>3.3135725596647458</c:v>
                </c:pt>
                <c:pt idx="2">
                  <c:v>3.2247422752619546</c:v>
                </c:pt>
                <c:pt idx="3">
                  <c:v>3.2374851360000001</c:v>
                </c:pt>
                <c:pt idx="4">
                  <c:v>4.4407868287948897</c:v>
                </c:pt>
                <c:pt idx="5">
                  <c:v>2.9382645751443124</c:v>
                </c:pt>
                <c:pt idx="6">
                  <c:v>4.5408458106260499</c:v>
                </c:pt>
                <c:pt idx="7">
                  <c:v>4.1967399911111114</c:v>
                </c:pt>
                <c:pt idx="8">
                  <c:v>5.463591579328674</c:v>
                </c:pt>
                <c:pt idx="9">
                  <c:v>4.713062061970831</c:v>
                </c:pt>
                <c:pt idx="10">
                  <c:v>4.4463983669441465</c:v>
                </c:pt>
                <c:pt idx="11">
                  <c:v>4.5573052963796057</c:v>
                </c:pt>
                <c:pt idx="12">
                  <c:v>3.5549537674695921</c:v>
                </c:pt>
                <c:pt idx="13">
                  <c:v>3.3094817425327197</c:v>
                </c:pt>
                <c:pt idx="14">
                  <c:v>2.3765678747373262</c:v>
                </c:pt>
                <c:pt idx="15">
                  <c:v>5.0926732476404499</c:v>
                </c:pt>
                <c:pt idx="16">
                  <c:v>3.5049627294743622</c:v>
                </c:pt>
                <c:pt idx="17">
                  <c:v>4.8974273704408473</c:v>
                </c:pt>
                <c:pt idx="18">
                  <c:v>4.9309571110602173</c:v>
                </c:pt>
                <c:pt idx="19">
                  <c:v>3.8445135989999999</c:v>
                </c:pt>
                <c:pt idx="20">
                  <c:v>1.7824259060529946</c:v>
                </c:pt>
                <c:pt idx="21">
                  <c:v>4.6875106010598149</c:v>
                </c:pt>
                <c:pt idx="22">
                  <c:v>2.587504104859335</c:v>
                </c:pt>
                <c:pt idx="23">
                  <c:v>3.2321323096427639</c:v>
                </c:pt>
                <c:pt idx="24">
                  <c:v>2.9707098434216577</c:v>
                </c:pt>
                <c:pt idx="25">
                  <c:v>2.614224662211059</c:v>
                </c:pt>
                <c:pt idx="26">
                  <c:v>3.2374851360000001</c:v>
                </c:pt>
                <c:pt idx="27">
                  <c:v>4.5154789620009197</c:v>
                </c:pt>
                <c:pt idx="28">
                  <c:v>3.8889292495701699</c:v>
                </c:pt>
                <c:pt idx="29">
                  <c:v>3.9411717110289199</c:v>
                </c:pt>
                <c:pt idx="30">
                  <c:v>4.3139489437199998</c:v>
                </c:pt>
                <c:pt idx="31">
                  <c:v>3.2806016143601622</c:v>
                </c:pt>
                <c:pt idx="32">
                  <c:v>2.473078923333333</c:v>
                </c:pt>
                <c:pt idx="33">
                  <c:v>1.6112324574490346</c:v>
                </c:pt>
                <c:pt idx="34">
                  <c:v>1.7032069768950835</c:v>
                </c:pt>
                <c:pt idx="35">
                  <c:v>2.6736388590794919</c:v>
                </c:pt>
                <c:pt idx="36">
                  <c:v>2.7153992091906427</c:v>
                </c:pt>
                <c:pt idx="37">
                  <c:v>3.2460439264704939</c:v>
                </c:pt>
                <c:pt idx="38">
                  <c:v>3.8041800000000001</c:v>
                </c:pt>
                <c:pt idx="39">
                  <c:v>3.5844857142857145</c:v>
                </c:pt>
                <c:pt idx="40">
                  <c:v>4.3051664042553197</c:v>
                </c:pt>
                <c:pt idx="41">
                  <c:v>3.5648518121059891</c:v>
                </c:pt>
                <c:pt idx="42">
                  <c:v>3.6728776245940495</c:v>
                </c:pt>
                <c:pt idx="43">
                  <c:v>2.8982535057772272</c:v>
                </c:pt>
                <c:pt idx="44">
                  <c:v>1.696005256062546</c:v>
                </c:pt>
                <c:pt idx="45">
                  <c:v>3.1687571663164351</c:v>
                </c:pt>
                <c:pt idx="46">
                  <c:v>1.9487856572846076</c:v>
                </c:pt>
                <c:pt idx="47">
                  <c:v>3.8960129094054525</c:v>
                </c:pt>
                <c:pt idx="48">
                  <c:v>1.6126710578574712</c:v>
                </c:pt>
                <c:pt idx="49">
                  <c:v>4.8006671069693994</c:v>
                </c:pt>
                <c:pt idx="50">
                  <c:v>2.3765678747373262</c:v>
                </c:pt>
                <c:pt idx="51">
                  <c:v>1.8107183807522484</c:v>
                </c:pt>
                <c:pt idx="52">
                  <c:v>2.7720966476999997</c:v>
                </c:pt>
                <c:pt idx="53">
                  <c:v>3.6757583129270648</c:v>
                </c:pt>
                <c:pt idx="54">
                  <c:v>3.2407743746418078</c:v>
                </c:pt>
                <c:pt idx="55">
                  <c:v>1.2358152948634098</c:v>
                </c:pt>
                <c:pt idx="56">
                  <c:v>3.9416381530800004</c:v>
                </c:pt>
                <c:pt idx="57">
                  <c:v>1.8210853889999998</c:v>
                </c:pt>
                <c:pt idx="58">
                  <c:v>3.1160794433999999</c:v>
                </c:pt>
                <c:pt idx="59">
                  <c:v>3.0833191771428572</c:v>
                </c:pt>
                <c:pt idx="60">
                  <c:v>3.1218606668571427</c:v>
                </c:pt>
                <c:pt idx="61">
                  <c:v>1.4853549217108288</c:v>
                </c:pt>
                <c:pt idx="62">
                  <c:v>4.7611764705882349</c:v>
                </c:pt>
                <c:pt idx="63">
                  <c:v>3.4569486456981231</c:v>
                </c:pt>
                <c:pt idx="64">
                  <c:v>3.3725000000000001</c:v>
                </c:pt>
                <c:pt idx="65">
                  <c:v>3.203875</c:v>
                </c:pt>
                <c:pt idx="66">
                  <c:v>3.1957923375045563</c:v>
                </c:pt>
                <c:pt idx="67">
                  <c:v>3.7044923668680001</c:v>
                </c:pt>
                <c:pt idx="68">
                  <c:v>4.6134163188000006</c:v>
                </c:pt>
                <c:pt idx="69">
                  <c:v>3.089538237158524</c:v>
                </c:pt>
                <c:pt idx="70">
                  <c:v>2.8148858076415029</c:v>
                </c:pt>
                <c:pt idx="71">
                  <c:v>2.3228955850799999</c:v>
                </c:pt>
                <c:pt idx="72">
                  <c:v>3.4064139537901679</c:v>
                </c:pt>
                <c:pt idx="73">
                  <c:v>4.4421829434342541</c:v>
                </c:pt>
                <c:pt idx="74">
                  <c:v>3.7721413434025228</c:v>
                </c:pt>
                <c:pt idx="75">
                  <c:v>3.1793653895425531</c:v>
                </c:pt>
                <c:pt idx="76">
                  <c:v>4.1682621125999999</c:v>
                </c:pt>
                <c:pt idx="77" formatCode="General">
                  <c:v>3.2285820518760002</c:v>
                </c:pt>
                <c:pt idx="78">
                  <c:v>3.1460261809080001</c:v>
                </c:pt>
                <c:pt idx="79">
                  <c:v>5.2217502193548393</c:v>
                </c:pt>
                <c:pt idx="80">
                  <c:v>3.2599676716666668</c:v>
                </c:pt>
                <c:pt idx="81">
                  <c:v>3.0870413654658675</c:v>
                </c:pt>
                <c:pt idx="82">
                  <c:v>6.8796559140000006</c:v>
                </c:pt>
                <c:pt idx="83">
                  <c:v>5.8333938743552549</c:v>
                </c:pt>
                <c:pt idx="84">
                  <c:v>3.1314960392857141</c:v>
                </c:pt>
                <c:pt idx="85">
                  <c:v>2.3052708384952063</c:v>
                </c:pt>
                <c:pt idx="86">
                  <c:v>3.7545778189127508</c:v>
                </c:pt>
                <c:pt idx="87">
                  <c:v>2.3765678747373258</c:v>
                </c:pt>
                <c:pt idx="88">
                  <c:v>2.3765678747373258</c:v>
                </c:pt>
                <c:pt idx="89">
                  <c:v>3.6422496164556724</c:v>
                </c:pt>
                <c:pt idx="90">
                  <c:v>3.4073683987197811</c:v>
                </c:pt>
                <c:pt idx="91">
                  <c:v>2.1793127411341282</c:v>
                </c:pt>
                <c:pt idx="92">
                  <c:v>4.3966505682640538</c:v>
                </c:pt>
                <c:pt idx="93">
                  <c:v>2.0596921581056828</c:v>
                </c:pt>
                <c:pt idx="94">
                  <c:v>4.7531357494746524</c:v>
                </c:pt>
                <c:pt idx="95">
                  <c:v>1.214056926</c:v>
                </c:pt>
                <c:pt idx="96">
                  <c:v>2.2473455080258402</c:v>
                </c:pt>
                <c:pt idx="97">
                  <c:v>3.9659192916000001</c:v>
                </c:pt>
                <c:pt idx="98" formatCode="General">
                  <c:v>4.6838615972222222</c:v>
                </c:pt>
                <c:pt idx="99">
                  <c:v>3.1295689647999998</c:v>
                </c:pt>
                <c:pt idx="100">
                  <c:v>2.7619795066500004</c:v>
                </c:pt>
                <c:pt idx="101">
                  <c:v>2.6142246622110585</c:v>
                </c:pt>
                <c:pt idx="102">
                  <c:v>2.4798969127693837</c:v>
                </c:pt>
                <c:pt idx="103">
                  <c:v>7.0165337254149627</c:v>
                </c:pt>
                <c:pt idx="104">
                  <c:v>4.7531357494746524</c:v>
                </c:pt>
                <c:pt idx="105">
                  <c:v>2.91384</c:v>
                </c:pt>
                <c:pt idx="106">
                  <c:v>4.2493499999999997</c:v>
                </c:pt>
                <c:pt idx="107">
                  <c:v>4.1549863530025535</c:v>
                </c:pt>
                <c:pt idx="108">
                  <c:v>3.0127666666666664</c:v>
                </c:pt>
                <c:pt idx="109">
                  <c:v>2.5293749999999999</c:v>
                </c:pt>
                <c:pt idx="110">
                  <c:v>4.4966666666666661</c:v>
                </c:pt>
                <c:pt idx="111">
                  <c:v>3.4856328829480785</c:v>
                </c:pt>
                <c:pt idx="112">
                  <c:v>3.3668044892112121</c:v>
                </c:pt>
                <c:pt idx="113">
                  <c:v>3.8025085995797219</c:v>
                </c:pt>
                <c:pt idx="114">
                  <c:v>2.4214087780342566</c:v>
                </c:pt>
                <c:pt idx="115">
                  <c:v>2.3376077456432713</c:v>
                </c:pt>
                <c:pt idx="116">
                  <c:v>2.9100831119232557</c:v>
                </c:pt>
                <c:pt idx="117">
                  <c:v>2.8518814496847913</c:v>
                </c:pt>
                <c:pt idx="118">
                  <c:v>4.070174299259862</c:v>
                </c:pt>
                <c:pt idx="119">
                  <c:v>2.8906117285714288</c:v>
                </c:pt>
                <c:pt idx="120">
                  <c:v>4.9024774916571427</c:v>
                </c:pt>
                <c:pt idx="121">
                  <c:v>4.2130066870343503</c:v>
                </c:pt>
                <c:pt idx="122">
                  <c:v>2.0109420478546602</c:v>
                </c:pt>
                <c:pt idx="123">
                  <c:v>2.0068795386670755</c:v>
                </c:pt>
                <c:pt idx="124">
                  <c:v>2.3765678747373262</c:v>
                </c:pt>
                <c:pt idx="125">
                  <c:v>3.687777736661368</c:v>
                </c:pt>
                <c:pt idx="126">
                  <c:v>2.6617560197058054</c:v>
                </c:pt>
                <c:pt idx="127">
                  <c:v>4.7531357494746524</c:v>
                </c:pt>
                <c:pt idx="128">
                  <c:v>1.4259407248423956</c:v>
                </c:pt>
                <c:pt idx="129">
                  <c:v>2.2713676871231994</c:v>
                </c:pt>
                <c:pt idx="130">
                  <c:v>3.3065292170258451</c:v>
                </c:pt>
                <c:pt idx="131">
                  <c:v>3.2375999999999996</c:v>
                </c:pt>
                <c:pt idx="132">
                  <c:v>3.7836302927165968</c:v>
                </c:pt>
                <c:pt idx="133">
                  <c:v>2.4929519999999998</c:v>
                </c:pt>
                <c:pt idx="134">
                  <c:v>4.6696153846153843</c:v>
                </c:pt>
                <c:pt idx="135">
                  <c:v>2.9678</c:v>
                </c:pt>
                <c:pt idx="136">
                  <c:v>2.9641113281250004</c:v>
                </c:pt>
                <c:pt idx="137">
                  <c:v>1.6636565357422222</c:v>
                </c:pt>
                <c:pt idx="138">
                  <c:v>2.8519826327009521</c:v>
                </c:pt>
                <c:pt idx="139">
                  <c:v>4.8178571428571431</c:v>
                </c:pt>
                <c:pt idx="140">
                  <c:v>4.2779739490514288</c:v>
                </c:pt>
                <c:pt idx="141">
                  <c:v>3.2375999999999996</c:v>
                </c:pt>
                <c:pt idx="142">
                  <c:v>3.0401853658536586</c:v>
                </c:pt>
                <c:pt idx="143">
                  <c:v>5.1261999999999999</c:v>
                </c:pt>
                <c:pt idx="144">
                  <c:v>2.3391261066450788</c:v>
                </c:pt>
                <c:pt idx="145">
                  <c:v>3.0482112306757005</c:v>
                </c:pt>
                <c:pt idx="146">
                  <c:v>2.8519826327009521</c:v>
                </c:pt>
                <c:pt idx="147">
                  <c:v>2.16861818569781</c:v>
                </c:pt>
                <c:pt idx="148">
                  <c:v>3.6347508672453221</c:v>
                </c:pt>
                <c:pt idx="149">
                  <c:v>2.8518814496847913</c:v>
                </c:pt>
                <c:pt idx="150">
                  <c:v>2.3765678747373262</c:v>
                </c:pt>
                <c:pt idx="151">
                  <c:v>4.7531357494746524</c:v>
                </c:pt>
                <c:pt idx="152">
                  <c:v>4.135228102042948</c:v>
                </c:pt>
                <c:pt idx="153">
                  <c:v>3.695086956521739</c:v>
                </c:pt>
                <c:pt idx="154">
                  <c:v>4.9528258065835464</c:v>
                </c:pt>
                <c:pt idx="155">
                  <c:v>3.0492305454545456</c:v>
                </c:pt>
                <c:pt idx="156">
                  <c:v>3.2375999999999996</c:v>
                </c:pt>
                <c:pt idx="157">
                  <c:v>5.3622750000000003</c:v>
                </c:pt>
                <c:pt idx="158">
                  <c:v>3.042114808214349</c:v>
                </c:pt>
                <c:pt idx="159">
                  <c:v>2.4281999999999999</c:v>
                </c:pt>
                <c:pt idx="160">
                  <c:v>4.7089402135484608</c:v>
                </c:pt>
                <c:pt idx="161">
                  <c:v>1.7344285714285714</c:v>
                </c:pt>
                <c:pt idx="162">
                  <c:v>2.4281999999999999</c:v>
                </c:pt>
                <c:pt idx="163">
                  <c:v>2.4396882580645163</c:v>
                </c:pt>
                <c:pt idx="164">
                  <c:v>3.0242127272727273</c:v>
                </c:pt>
              </c:numCache>
            </c:numRef>
          </c:yVal>
          <c:smooth val="0"/>
        </c:ser>
        <c:dLbls>
          <c:showLegendKey val="0"/>
          <c:showVal val="0"/>
          <c:showCatName val="0"/>
          <c:showSerName val="0"/>
          <c:showPercent val="0"/>
          <c:showBubbleSize val="0"/>
        </c:dLbls>
        <c:axId val="114148864"/>
        <c:axId val="114150784"/>
      </c:scatterChart>
      <c:valAx>
        <c:axId val="114148864"/>
        <c:scaling>
          <c:orientation val="minMax"/>
        </c:scaling>
        <c:delete val="0"/>
        <c:axPos val="b"/>
        <c:title>
          <c:tx>
            <c:rich>
              <a:bodyPr/>
              <a:lstStyle/>
              <a:p>
                <a:pPr>
                  <a:defRPr/>
                </a:pPr>
                <a:r>
                  <a:rPr lang="en-US"/>
                  <a:t>Year completed</a:t>
                </a:r>
              </a:p>
            </c:rich>
          </c:tx>
          <c:overlay val="0"/>
        </c:title>
        <c:numFmt formatCode="General" sourceLinked="1"/>
        <c:majorTickMark val="out"/>
        <c:minorTickMark val="none"/>
        <c:tickLblPos val="nextTo"/>
        <c:crossAx val="114150784"/>
        <c:crosses val="autoZero"/>
        <c:crossBetween val="midCat"/>
      </c:valAx>
      <c:valAx>
        <c:axId val="114150784"/>
        <c:scaling>
          <c:orientation val="minMax"/>
        </c:scaling>
        <c:delete val="0"/>
        <c:axPos val="l"/>
        <c:majorGridlines/>
        <c:title>
          <c:tx>
            <c:rich>
              <a:bodyPr rot="-5400000" vert="horz"/>
              <a:lstStyle/>
              <a:p>
                <a:pPr>
                  <a:defRPr/>
                </a:pPr>
                <a:r>
                  <a:rPr lang="en-US"/>
                  <a:t>Hectare/MW</a:t>
                </a:r>
              </a:p>
            </c:rich>
          </c:tx>
          <c:overlay val="0"/>
        </c:title>
        <c:numFmt formatCode="0.00" sourceLinked="1"/>
        <c:majorTickMark val="out"/>
        <c:minorTickMark val="none"/>
        <c:tickLblPos val="nextTo"/>
        <c:crossAx val="114148864"/>
        <c:crosses val="autoZero"/>
        <c:crossBetween val="midCat"/>
      </c:valAx>
    </c:plotArea>
    <c:plotVisOnly val="1"/>
    <c:dispBlanksAs val="gap"/>
    <c:showDLblsOverMax val="0"/>
  </c:chart>
  <c:printSettings>
    <c:headerFooter/>
    <c:pageMargins b="0.75000000000000377" l="0.70000000000000062" r="0.70000000000000062" t="0.75000000000000377"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 Area through Time</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15636180092873006"/>
                  <c:y val="0.19306321084864392"/>
                </c:manualLayout>
              </c:layout>
              <c:numFmt formatCode="General" sourceLinked="0"/>
            </c:trendlineLbl>
          </c:trendline>
          <c:xVal>
            <c:numRef>
              <c:f>'By Date'!$C$3:$C$167</c:f>
              <c:numCache>
                <c:formatCode>General</c:formatCode>
                <c:ptCount val="165"/>
                <c:pt idx="0">
                  <c:v>2001</c:v>
                </c:pt>
                <c:pt idx="1">
                  <c:v>2003</c:v>
                </c:pt>
                <c:pt idx="2">
                  <c:v>2006</c:v>
                </c:pt>
                <c:pt idx="3">
                  <c:v>2006</c:v>
                </c:pt>
                <c:pt idx="4">
                  <c:v>2006</c:v>
                </c:pt>
                <c:pt idx="5">
                  <c:v>2006</c:v>
                </c:pt>
                <c:pt idx="6">
                  <c:v>2007</c:v>
                </c:pt>
                <c:pt idx="7">
                  <c:v>2007</c:v>
                </c:pt>
                <c:pt idx="8">
                  <c:v>2007</c:v>
                </c:pt>
                <c:pt idx="9">
                  <c:v>2007</c:v>
                </c:pt>
                <c:pt idx="10">
                  <c:v>2008</c:v>
                </c:pt>
                <c:pt idx="11">
                  <c:v>2008</c:v>
                </c:pt>
                <c:pt idx="12">
                  <c:v>2008</c:v>
                </c:pt>
                <c:pt idx="13">
                  <c:v>2008</c:v>
                </c:pt>
                <c:pt idx="14">
                  <c:v>2008</c:v>
                </c:pt>
                <c:pt idx="15">
                  <c:v>2008</c:v>
                </c:pt>
                <c:pt idx="16">
                  <c:v>2008</c:v>
                </c:pt>
                <c:pt idx="17">
                  <c:v>2008</c:v>
                </c:pt>
                <c:pt idx="18">
                  <c:v>2008</c:v>
                </c:pt>
                <c:pt idx="19">
                  <c:v>2008</c:v>
                </c:pt>
                <c:pt idx="20">
                  <c:v>2008</c:v>
                </c:pt>
                <c:pt idx="21">
                  <c:v>2008</c:v>
                </c:pt>
                <c:pt idx="22">
                  <c:v>2008</c:v>
                </c:pt>
                <c:pt idx="23">
                  <c:v>2008</c:v>
                </c:pt>
                <c:pt idx="24">
                  <c:v>2008</c:v>
                </c:pt>
                <c:pt idx="25">
                  <c:v>2008</c:v>
                </c:pt>
                <c:pt idx="26">
                  <c:v>2008</c:v>
                </c:pt>
                <c:pt idx="27">
                  <c:v>2009</c:v>
                </c:pt>
                <c:pt idx="28">
                  <c:v>2009</c:v>
                </c:pt>
                <c:pt idx="29">
                  <c:v>2009</c:v>
                </c:pt>
                <c:pt idx="30">
                  <c:v>2009</c:v>
                </c:pt>
                <c:pt idx="31">
                  <c:v>2009</c:v>
                </c:pt>
                <c:pt idx="32">
                  <c:v>2009</c:v>
                </c:pt>
                <c:pt idx="33">
                  <c:v>2009</c:v>
                </c:pt>
                <c:pt idx="34">
                  <c:v>2009</c:v>
                </c:pt>
                <c:pt idx="35">
                  <c:v>2009</c:v>
                </c:pt>
                <c:pt idx="36">
                  <c:v>2009</c:v>
                </c:pt>
                <c:pt idx="37">
                  <c:v>2009</c:v>
                </c:pt>
                <c:pt idx="38">
                  <c:v>2009</c:v>
                </c:pt>
                <c:pt idx="39">
                  <c:v>2009</c:v>
                </c:pt>
                <c:pt idx="40">
                  <c:v>2010</c:v>
                </c:pt>
                <c:pt idx="41">
                  <c:v>2010</c:v>
                </c:pt>
                <c:pt idx="42">
                  <c:v>2010</c:v>
                </c:pt>
                <c:pt idx="43">
                  <c:v>2010</c:v>
                </c:pt>
                <c:pt idx="44">
                  <c:v>2010</c:v>
                </c:pt>
                <c:pt idx="45">
                  <c:v>2010</c:v>
                </c:pt>
                <c:pt idx="46">
                  <c:v>2010</c:v>
                </c:pt>
                <c:pt idx="47">
                  <c:v>2010</c:v>
                </c:pt>
                <c:pt idx="48">
                  <c:v>2010</c:v>
                </c:pt>
                <c:pt idx="49">
                  <c:v>2010</c:v>
                </c:pt>
                <c:pt idx="50">
                  <c:v>2010</c:v>
                </c:pt>
                <c:pt idx="51">
                  <c:v>2010</c:v>
                </c:pt>
                <c:pt idx="52">
                  <c:v>2010</c:v>
                </c:pt>
                <c:pt idx="53">
                  <c:v>2010</c:v>
                </c:pt>
                <c:pt idx="54">
                  <c:v>2010</c:v>
                </c:pt>
                <c:pt idx="55">
                  <c:v>2010</c:v>
                </c:pt>
                <c:pt idx="56">
                  <c:v>2010</c:v>
                </c:pt>
                <c:pt idx="57">
                  <c:v>2010</c:v>
                </c:pt>
                <c:pt idx="58">
                  <c:v>2010</c:v>
                </c:pt>
                <c:pt idx="59">
                  <c:v>2010</c:v>
                </c:pt>
                <c:pt idx="60">
                  <c:v>2010</c:v>
                </c:pt>
                <c:pt idx="61">
                  <c:v>2010</c:v>
                </c:pt>
                <c:pt idx="62">
                  <c:v>2010</c:v>
                </c:pt>
                <c:pt idx="63">
                  <c:v>2010</c:v>
                </c:pt>
                <c:pt idx="64">
                  <c:v>2010</c:v>
                </c:pt>
                <c:pt idx="65">
                  <c:v>2010</c:v>
                </c:pt>
                <c:pt idx="66">
                  <c:v>2011</c:v>
                </c:pt>
                <c:pt idx="67">
                  <c:v>2011</c:v>
                </c:pt>
                <c:pt idx="68">
                  <c:v>2011</c:v>
                </c:pt>
                <c:pt idx="69">
                  <c:v>2011</c:v>
                </c:pt>
                <c:pt idx="70">
                  <c:v>2011</c:v>
                </c:pt>
                <c:pt idx="71">
                  <c:v>2011</c:v>
                </c:pt>
                <c:pt idx="72">
                  <c:v>2011</c:v>
                </c:pt>
                <c:pt idx="73">
                  <c:v>2011</c:v>
                </c:pt>
                <c:pt idx="74">
                  <c:v>2011</c:v>
                </c:pt>
                <c:pt idx="75">
                  <c:v>2011</c:v>
                </c:pt>
                <c:pt idx="76">
                  <c:v>2011</c:v>
                </c:pt>
                <c:pt idx="77">
                  <c:v>2011</c:v>
                </c:pt>
                <c:pt idx="78">
                  <c:v>2011</c:v>
                </c:pt>
                <c:pt idx="79">
                  <c:v>2011</c:v>
                </c:pt>
                <c:pt idx="80">
                  <c:v>2011</c:v>
                </c:pt>
                <c:pt idx="81">
                  <c:v>2011</c:v>
                </c:pt>
                <c:pt idx="82">
                  <c:v>2011</c:v>
                </c:pt>
                <c:pt idx="83">
                  <c:v>2011</c:v>
                </c:pt>
                <c:pt idx="84">
                  <c:v>2011</c:v>
                </c:pt>
                <c:pt idx="85">
                  <c:v>2011</c:v>
                </c:pt>
                <c:pt idx="86">
                  <c:v>2011</c:v>
                </c:pt>
                <c:pt idx="87">
                  <c:v>2011</c:v>
                </c:pt>
                <c:pt idx="88">
                  <c:v>2011</c:v>
                </c:pt>
                <c:pt idx="89">
                  <c:v>2011</c:v>
                </c:pt>
                <c:pt idx="90">
                  <c:v>2011</c:v>
                </c:pt>
                <c:pt idx="91">
                  <c:v>2011</c:v>
                </c:pt>
                <c:pt idx="92">
                  <c:v>2011</c:v>
                </c:pt>
                <c:pt idx="93">
                  <c:v>2011</c:v>
                </c:pt>
                <c:pt idx="94">
                  <c:v>2011</c:v>
                </c:pt>
                <c:pt idx="95">
                  <c:v>2011</c:v>
                </c:pt>
                <c:pt idx="96">
                  <c:v>2011</c:v>
                </c:pt>
                <c:pt idx="97">
                  <c:v>2011</c:v>
                </c:pt>
                <c:pt idx="98">
                  <c:v>2011</c:v>
                </c:pt>
                <c:pt idx="99">
                  <c:v>2011</c:v>
                </c:pt>
                <c:pt idx="100">
                  <c:v>2011</c:v>
                </c:pt>
                <c:pt idx="101">
                  <c:v>2011</c:v>
                </c:pt>
                <c:pt idx="102">
                  <c:v>2011</c:v>
                </c:pt>
                <c:pt idx="103">
                  <c:v>2011</c:v>
                </c:pt>
                <c:pt idx="104">
                  <c:v>2011</c:v>
                </c:pt>
                <c:pt idx="105">
                  <c:v>2011</c:v>
                </c:pt>
                <c:pt idx="106">
                  <c:v>2011</c:v>
                </c:pt>
                <c:pt idx="107">
                  <c:v>2011</c:v>
                </c:pt>
                <c:pt idx="108">
                  <c:v>2011</c:v>
                </c:pt>
                <c:pt idx="109">
                  <c:v>2011</c:v>
                </c:pt>
                <c:pt idx="110">
                  <c:v>2011</c:v>
                </c:pt>
                <c:pt idx="111">
                  <c:v>2012</c:v>
                </c:pt>
                <c:pt idx="112">
                  <c:v>2012</c:v>
                </c:pt>
                <c:pt idx="113">
                  <c:v>2012</c:v>
                </c:pt>
                <c:pt idx="114">
                  <c:v>2012</c:v>
                </c:pt>
                <c:pt idx="115">
                  <c:v>2012</c:v>
                </c:pt>
                <c:pt idx="116">
                  <c:v>2012</c:v>
                </c:pt>
                <c:pt idx="117">
                  <c:v>2012</c:v>
                </c:pt>
                <c:pt idx="118">
                  <c:v>2012</c:v>
                </c:pt>
                <c:pt idx="119">
                  <c:v>2012</c:v>
                </c:pt>
                <c:pt idx="120">
                  <c:v>2012</c:v>
                </c:pt>
                <c:pt idx="121">
                  <c:v>2012</c:v>
                </c:pt>
                <c:pt idx="122">
                  <c:v>2012</c:v>
                </c:pt>
                <c:pt idx="123">
                  <c:v>2012</c:v>
                </c:pt>
                <c:pt idx="124">
                  <c:v>2012</c:v>
                </c:pt>
                <c:pt idx="125">
                  <c:v>2012</c:v>
                </c:pt>
                <c:pt idx="126">
                  <c:v>2012</c:v>
                </c:pt>
                <c:pt idx="127">
                  <c:v>2012</c:v>
                </c:pt>
                <c:pt idx="128">
                  <c:v>2012</c:v>
                </c:pt>
                <c:pt idx="129">
                  <c:v>2012</c:v>
                </c:pt>
                <c:pt idx="130">
                  <c:v>2012</c:v>
                </c:pt>
                <c:pt idx="131">
                  <c:v>2012</c:v>
                </c:pt>
                <c:pt idx="132">
                  <c:v>2012</c:v>
                </c:pt>
                <c:pt idx="133">
                  <c:v>2012</c:v>
                </c:pt>
                <c:pt idx="134">
                  <c:v>2012</c:v>
                </c:pt>
                <c:pt idx="135">
                  <c:v>2012</c:v>
                </c:pt>
                <c:pt idx="136">
                  <c:v>2012</c:v>
                </c:pt>
                <c:pt idx="137">
                  <c:v>2012</c:v>
                </c:pt>
                <c:pt idx="138">
                  <c:v>2012</c:v>
                </c:pt>
                <c:pt idx="139">
                  <c:v>2012</c:v>
                </c:pt>
                <c:pt idx="140">
                  <c:v>2012</c:v>
                </c:pt>
                <c:pt idx="141">
                  <c:v>2012</c:v>
                </c:pt>
                <c:pt idx="142">
                  <c:v>2012</c:v>
                </c:pt>
                <c:pt idx="143">
                  <c:v>2012</c:v>
                </c:pt>
                <c:pt idx="144">
                  <c:v>2012</c:v>
                </c:pt>
                <c:pt idx="145">
                  <c:v>2012</c:v>
                </c:pt>
                <c:pt idx="146">
                  <c:v>2012</c:v>
                </c:pt>
                <c:pt idx="147">
                  <c:v>2013</c:v>
                </c:pt>
                <c:pt idx="148">
                  <c:v>2013</c:v>
                </c:pt>
                <c:pt idx="149">
                  <c:v>2013</c:v>
                </c:pt>
                <c:pt idx="150">
                  <c:v>2013</c:v>
                </c:pt>
                <c:pt idx="151">
                  <c:v>2013</c:v>
                </c:pt>
                <c:pt idx="152">
                  <c:v>2013</c:v>
                </c:pt>
                <c:pt idx="153">
                  <c:v>2013</c:v>
                </c:pt>
                <c:pt idx="154">
                  <c:v>2013</c:v>
                </c:pt>
                <c:pt idx="155">
                  <c:v>2013</c:v>
                </c:pt>
                <c:pt idx="156">
                  <c:v>2013</c:v>
                </c:pt>
                <c:pt idx="157">
                  <c:v>2013</c:v>
                </c:pt>
                <c:pt idx="158">
                  <c:v>2013</c:v>
                </c:pt>
                <c:pt idx="159">
                  <c:v>2013</c:v>
                </c:pt>
                <c:pt idx="160">
                  <c:v>2013</c:v>
                </c:pt>
                <c:pt idx="161">
                  <c:v>2013</c:v>
                </c:pt>
                <c:pt idx="162">
                  <c:v>2013</c:v>
                </c:pt>
                <c:pt idx="163">
                  <c:v>2013</c:v>
                </c:pt>
                <c:pt idx="164">
                  <c:v>2013</c:v>
                </c:pt>
              </c:numCache>
            </c:numRef>
          </c:xVal>
          <c:yVal>
            <c:numRef>
              <c:f>'By Date'!$Q$3:$Q$167</c:f>
              <c:numCache>
                <c:formatCode>0.00</c:formatCode>
                <c:ptCount val="165"/>
                <c:pt idx="0">
                  <c:v>2.8269708865514649</c:v>
                </c:pt>
                <c:pt idx="1">
                  <c:v>2.2091267488001178</c:v>
                </c:pt>
                <c:pt idx="2">
                  <c:v>3.1911512098946426</c:v>
                </c:pt>
                <c:pt idx="4">
                  <c:v>2.3359095848788751</c:v>
                </c:pt>
                <c:pt idx="5">
                  <c:v>1.6800508242692385</c:v>
                </c:pt>
                <c:pt idx="6">
                  <c:v>2.3583010566139349</c:v>
                </c:pt>
                <c:pt idx="7">
                  <c:v>3.3275333333333332</c:v>
                </c:pt>
                <c:pt idx="8">
                  <c:v>2.8368563988727411</c:v>
                </c:pt>
                <c:pt idx="9">
                  <c:v>2.4471595423370114</c:v>
                </c:pt>
                <c:pt idx="10">
                  <c:v>3.8215480872717507</c:v>
                </c:pt>
                <c:pt idx="11">
                  <c:v>2.8467177276805455</c:v>
                </c:pt>
                <c:pt idx="12">
                  <c:v>2.8873945758406867</c:v>
                </c:pt>
                <c:pt idx="13">
                  <c:v>1.8700417281225776</c:v>
                </c:pt>
                <c:pt idx="14">
                  <c:v>2.3765678747373262</c:v>
                </c:pt>
                <c:pt idx="15">
                  <c:v>3.5921534514606743</c:v>
                </c:pt>
                <c:pt idx="16">
                  <c:v>2.6805249553715877</c:v>
                </c:pt>
                <c:pt idx="17">
                  <c:v>3.2253421157149424</c:v>
                </c:pt>
                <c:pt idx="18">
                  <c:v>3.0894702427087917</c:v>
                </c:pt>
                <c:pt idx="19">
                  <c:v>3.0998920177200002</c:v>
                </c:pt>
                <c:pt idx="20">
                  <c:v>2.3670616032383767</c:v>
                </c:pt>
                <c:pt idx="21">
                  <c:v>2.7657293775370841</c:v>
                </c:pt>
                <c:pt idx="22">
                  <c:v>2.042838874680307</c:v>
                </c:pt>
                <c:pt idx="23">
                  <c:v>2.6238240220848761</c:v>
                </c:pt>
                <c:pt idx="24">
                  <c:v>2.543017847491682</c:v>
                </c:pt>
                <c:pt idx="25">
                  <c:v>1.7428782755394709</c:v>
                </c:pt>
                <c:pt idx="26">
                  <c:v>2.8329</c:v>
                </c:pt>
                <c:pt idx="27">
                  <c:v>4.2779739490514288</c:v>
                </c:pt>
                <c:pt idx="28">
                  <c:v>2.7654607996943432</c:v>
                </c:pt>
                <c:pt idx="29">
                  <c:v>2.8612906622069958</c:v>
                </c:pt>
                <c:pt idx="30">
                  <c:v>2.6709252372000001</c:v>
                </c:pt>
                <c:pt idx="31">
                  <c:v>2.3158978001188157</c:v>
                </c:pt>
                <c:pt idx="32">
                  <c:v>1.1241666666666665</c:v>
                </c:pt>
                <c:pt idx="33">
                  <c:v>1.0876204955215496</c:v>
                </c:pt>
                <c:pt idx="34">
                  <c:v>1.3863804464518517</c:v>
                </c:pt>
                <c:pt idx="35">
                  <c:v>2.1092039888293765</c:v>
                </c:pt>
                <c:pt idx="36">
                  <c:v>2.230585630275058</c:v>
                </c:pt>
                <c:pt idx="37">
                  <c:v>1.7390138004274098</c:v>
                </c:pt>
                <c:pt idx="38">
                  <c:v>2.91384</c:v>
                </c:pt>
                <c:pt idx="39">
                  <c:v>2.5900799999999999</c:v>
                </c:pt>
                <c:pt idx="40">
                  <c:v>2.6261515065957446</c:v>
                </c:pt>
                <c:pt idx="41">
                  <c:v>3.0420068796637776</c:v>
                </c:pt>
                <c:pt idx="42">
                  <c:v>2.5926194997134466</c:v>
                </c:pt>
                <c:pt idx="43">
                  <c:v>2.1620971153098112</c:v>
                </c:pt>
                <c:pt idx="44">
                  <c:v>1.5231639560816499</c:v>
                </c:pt>
                <c:pt idx="45">
                  <c:v>2.1785205518425492</c:v>
                </c:pt>
                <c:pt idx="46">
                  <c:v>1.5210574041071745</c:v>
                </c:pt>
                <c:pt idx="47">
                  <c:v>3.6910905513817327</c:v>
                </c:pt>
                <c:pt idx="48">
                  <c:v>1.3580869679528345</c:v>
                </c:pt>
                <c:pt idx="49">
                  <c:v>4.3511017088642729</c:v>
                </c:pt>
                <c:pt idx="50">
                  <c:v>1.5929993083554868</c:v>
                </c:pt>
                <c:pt idx="51">
                  <c:v>1.2901826195551926</c:v>
                </c:pt>
                <c:pt idx="52">
                  <c:v>1.7887740000000001</c:v>
                </c:pt>
                <c:pt idx="53">
                  <c:v>2.4083408898363596</c:v>
                </c:pt>
                <c:pt idx="54">
                  <c:v>2.4737911059765803</c:v>
                </c:pt>
                <c:pt idx="55">
                  <c:v>1.2358591408370794</c:v>
                </c:pt>
                <c:pt idx="56">
                  <c:v>3.0351423150000003</c:v>
                </c:pt>
                <c:pt idx="57">
                  <c:v>1.2141</c:v>
                </c:pt>
                <c:pt idx="58">
                  <c:v>3.3954330000000006</c:v>
                </c:pt>
                <c:pt idx="59">
                  <c:v>2.2611809523809527</c:v>
                </c:pt>
                <c:pt idx="60">
                  <c:v>2.4050742857142859</c:v>
                </c:pt>
                <c:pt idx="64">
                  <c:v>2.99478</c:v>
                </c:pt>
                <c:pt idx="65">
                  <c:v>2.7485874999999997</c:v>
                </c:pt>
                <c:pt idx="66">
                  <c:v>2.4140523657149799</c:v>
                </c:pt>
                <c:pt idx="67">
                  <c:v>2.7963777862200003</c:v>
                </c:pt>
                <c:pt idx="68">
                  <c:v>3.0108611764800002</c:v>
                </c:pt>
                <c:pt idx="69">
                  <c:v>2.1389110872635935</c:v>
                </c:pt>
                <c:pt idx="70">
                  <c:v>1.9903655419289119</c:v>
                </c:pt>
                <c:pt idx="71">
                  <c:v>1.9343973687599998</c:v>
                </c:pt>
                <c:pt idx="72">
                  <c:v>2.1191063549741163</c:v>
                </c:pt>
                <c:pt idx="73">
                  <c:v>3.2695626443425243</c:v>
                </c:pt>
                <c:pt idx="74">
                  <c:v>3.3845287724491246</c:v>
                </c:pt>
                <c:pt idx="75">
                  <c:v>2.3733932872340429</c:v>
                </c:pt>
                <c:pt idx="76">
                  <c:v>2.0368550999999999</c:v>
                </c:pt>
                <c:pt idx="77">
                  <c:v>2.2863931200000001</c:v>
                </c:pt>
                <c:pt idx="78">
                  <c:v>2.7082523999999997</c:v>
                </c:pt>
                <c:pt idx="79">
                  <c:v>3.041777419354839</c:v>
                </c:pt>
                <c:pt idx="81">
                  <c:v>3.0871508918125556</c:v>
                </c:pt>
                <c:pt idx="82">
                  <c:v>4.3302899999999998</c:v>
                </c:pt>
                <c:pt idx="83">
                  <c:v>4.7533043878349197</c:v>
                </c:pt>
                <c:pt idx="84">
                  <c:v>2.4314119047619052</c:v>
                </c:pt>
                <c:pt idx="87">
                  <c:v>2.2414999058233542</c:v>
                </c:pt>
                <c:pt idx="91">
                  <c:v>1.9013217551339681</c:v>
                </c:pt>
                <c:pt idx="92">
                  <c:v>2.5834209347882791</c:v>
                </c:pt>
                <c:pt idx="94">
                  <c:v>3.2398522707482815</c:v>
                </c:pt>
                <c:pt idx="95">
                  <c:v>0.90329040000000005</c:v>
                </c:pt>
                <c:pt idx="96">
                  <c:v>1.8751954366901946</c:v>
                </c:pt>
                <c:pt idx="97">
                  <c:v>3.15666</c:v>
                </c:pt>
                <c:pt idx="99">
                  <c:v>2.2499071666666666</c:v>
                </c:pt>
                <c:pt idx="100">
                  <c:v>1.6136063500000002</c:v>
                </c:pt>
                <c:pt idx="101">
                  <c:v>1.8775552331947936</c:v>
                </c:pt>
                <c:pt idx="103">
                  <c:v>4.5269565598427812</c:v>
                </c:pt>
                <c:pt idx="105">
                  <c:v>2.3958240000000002</c:v>
                </c:pt>
                <c:pt idx="106">
                  <c:v>3.4257854999999999</c:v>
                </c:pt>
                <c:pt idx="108">
                  <c:v>1.7267199999999998</c:v>
                </c:pt>
                <c:pt idx="109">
                  <c:v>2.466140625</c:v>
                </c:pt>
                <c:pt idx="110">
                  <c:v>3.1027</c:v>
                </c:pt>
                <c:pt idx="112">
                  <c:v>1.5843785831582173</c:v>
                </c:pt>
                <c:pt idx="121">
                  <c:v>3.1026114095140658</c:v>
                </c:pt>
                <c:pt idx="122">
                  <c:v>1.6453745957890109</c:v>
                </c:pt>
                <c:pt idx="124">
                  <c:v>2.1770134096283935</c:v>
                </c:pt>
                <c:pt idx="125">
                  <c:v>2.4586057178456486</c:v>
                </c:pt>
                <c:pt idx="131">
                  <c:v>2.8329</c:v>
                </c:pt>
                <c:pt idx="136">
                  <c:v>2.3481031250000002</c:v>
                </c:pt>
                <c:pt idx="150">
                  <c:v>2.0130244082480888</c:v>
                </c:pt>
                <c:pt idx="153">
                  <c:v>3.4399500000000001</c:v>
                </c:pt>
                <c:pt idx="154">
                  <c:v>5.0819279010679512</c:v>
                </c:pt>
                <c:pt idx="155">
                  <c:v>3.2449581818181819</c:v>
                </c:pt>
                <c:pt idx="159">
                  <c:v>2.242038</c:v>
                </c:pt>
                <c:pt idx="161">
                  <c:v>1.4222314285714286</c:v>
                </c:pt>
              </c:numCache>
            </c:numRef>
          </c:yVal>
          <c:smooth val="0"/>
        </c:ser>
        <c:dLbls>
          <c:showLegendKey val="0"/>
          <c:showVal val="0"/>
          <c:showCatName val="0"/>
          <c:showSerName val="0"/>
          <c:showPercent val="0"/>
          <c:showBubbleSize val="0"/>
        </c:dLbls>
        <c:axId val="114332032"/>
        <c:axId val="114333952"/>
      </c:scatterChart>
      <c:valAx>
        <c:axId val="114332032"/>
        <c:scaling>
          <c:orientation val="minMax"/>
        </c:scaling>
        <c:delete val="0"/>
        <c:axPos val="b"/>
        <c:title>
          <c:tx>
            <c:rich>
              <a:bodyPr/>
              <a:lstStyle/>
              <a:p>
                <a:pPr>
                  <a:defRPr/>
                </a:pPr>
                <a:r>
                  <a:rPr lang="en-US"/>
                  <a:t>Year completed</a:t>
                </a:r>
              </a:p>
            </c:rich>
          </c:tx>
          <c:overlay val="0"/>
        </c:title>
        <c:numFmt formatCode="General" sourceLinked="1"/>
        <c:majorTickMark val="out"/>
        <c:minorTickMark val="none"/>
        <c:tickLblPos val="nextTo"/>
        <c:crossAx val="114333952"/>
        <c:crosses val="autoZero"/>
        <c:crossBetween val="midCat"/>
      </c:valAx>
      <c:valAx>
        <c:axId val="114333952"/>
        <c:scaling>
          <c:orientation val="minMax"/>
        </c:scaling>
        <c:delete val="0"/>
        <c:axPos val="l"/>
        <c:majorGridlines/>
        <c:title>
          <c:tx>
            <c:rich>
              <a:bodyPr rot="-5400000" vert="horz"/>
              <a:lstStyle/>
              <a:p>
                <a:pPr>
                  <a:defRPr/>
                </a:pPr>
                <a:r>
                  <a:rPr lang="en-US"/>
                  <a:t>Hectare/MW</a:t>
                </a:r>
              </a:p>
            </c:rich>
          </c:tx>
          <c:overlay val="0"/>
        </c:title>
        <c:numFmt formatCode="0.00" sourceLinked="1"/>
        <c:majorTickMark val="out"/>
        <c:minorTickMark val="none"/>
        <c:tickLblPos val="nextTo"/>
        <c:crossAx val="114332032"/>
        <c:crosses val="autoZero"/>
        <c:crossBetween val="midCat"/>
      </c:valAx>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Land use vs efficiency through time</a:t>
            </a:r>
          </a:p>
        </c:rich>
      </c:tx>
      <c:overlay val="0"/>
    </c:title>
    <c:autoTitleDeleted val="0"/>
    <c:plotArea>
      <c:layout/>
      <c:scatterChart>
        <c:scatterStyle val="lineMarker"/>
        <c:varyColors val="0"/>
        <c:ser>
          <c:idx val="0"/>
          <c:order val="0"/>
          <c:tx>
            <c:v>&lt;=07'</c:v>
          </c:tx>
          <c:spPr>
            <a:ln w="28575">
              <a:noFill/>
            </a:ln>
          </c:spPr>
          <c:marker>
            <c:spPr>
              <a:solidFill>
                <a:schemeClr val="accent1"/>
              </a:solidFill>
            </c:spPr>
          </c:marker>
          <c:xVal>
            <c:numRef>
              <c:f>'By Date'!$AA$3:$AA$12</c:f>
              <c:numCache>
                <c:formatCode>0.0%</c:formatCode>
                <c:ptCount val="10"/>
                <c:pt idx="0">
                  <c:v>0.10970000000000001</c:v>
                </c:pt>
                <c:pt idx="4">
                  <c:v>0.28999999999999998</c:v>
                </c:pt>
                <c:pt idx="5">
                  <c:v>0.14180000000000001</c:v>
                </c:pt>
                <c:pt idx="6">
                  <c:v>0.13919999999999999</c:v>
                </c:pt>
                <c:pt idx="8">
                  <c:v>0.14280000000000001</c:v>
                </c:pt>
                <c:pt idx="9">
                  <c:v>0.13919999999999999</c:v>
                </c:pt>
              </c:numCache>
            </c:numRef>
          </c:xVal>
          <c:yVal>
            <c:numRef>
              <c:f>'By Date'!$L$3:$L$12</c:f>
              <c:numCache>
                <c:formatCode>0.00</c:formatCode>
                <c:ptCount val="10"/>
                <c:pt idx="0">
                  <c:v>5.3208104695717511</c:v>
                </c:pt>
                <c:pt idx="1">
                  <c:v>3.3135725596647458</c:v>
                </c:pt>
                <c:pt idx="2">
                  <c:v>3.2247422752619546</c:v>
                </c:pt>
                <c:pt idx="3">
                  <c:v>3.2374851360000001</c:v>
                </c:pt>
                <c:pt idx="4">
                  <c:v>4.4407868287948897</c:v>
                </c:pt>
                <c:pt idx="5">
                  <c:v>2.9382645751443124</c:v>
                </c:pt>
                <c:pt idx="6">
                  <c:v>4.5408458106260499</c:v>
                </c:pt>
                <c:pt idx="7">
                  <c:v>4.1967399911111114</c:v>
                </c:pt>
                <c:pt idx="8">
                  <c:v>5.463591579328674</c:v>
                </c:pt>
                <c:pt idx="9">
                  <c:v>4.713062061970831</c:v>
                </c:pt>
              </c:numCache>
            </c:numRef>
          </c:yVal>
          <c:smooth val="0"/>
        </c:ser>
        <c:ser>
          <c:idx val="1"/>
          <c:order val="1"/>
          <c:tx>
            <c:v>08'</c:v>
          </c:tx>
          <c:spPr>
            <a:ln w="28575">
              <a:noFill/>
            </a:ln>
          </c:spPr>
          <c:marker>
            <c:symbol val="diamond"/>
            <c:size val="6"/>
          </c:marker>
          <c:xVal>
            <c:numRef>
              <c:f>'By Date'!$AA$13:$AA$29</c:f>
              <c:numCache>
                <c:formatCode>0.0%</c:formatCode>
                <c:ptCount val="17"/>
                <c:pt idx="0">
                  <c:v>0.161</c:v>
                </c:pt>
                <c:pt idx="1">
                  <c:v>0.16400000000000001</c:v>
                </c:pt>
                <c:pt idx="2">
                  <c:v>0.13320000000000001</c:v>
                </c:pt>
                <c:pt idx="3">
                  <c:v>0.161</c:v>
                </c:pt>
                <c:pt idx="5">
                  <c:v>0.19600000000000001</c:v>
                </c:pt>
                <c:pt idx="6">
                  <c:v>0.14799999999999999</c:v>
                </c:pt>
                <c:pt idx="7">
                  <c:v>0.19</c:v>
                </c:pt>
                <c:pt idx="8">
                  <c:v>0.12720000000000001</c:v>
                </c:pt>
                <c:pt idx="9">
                  <c:v>0.13800000000000001</c:v>
                </c:pt>
                <c:pt idx="11">
                  <c:v>0.14399999999999999</c:v>
                </c:pt>
                <c:pt idx="12">
                  <c:v>0.12720000000000001</c:v>
                </c:pt>
                <c:pt idx="13">
                  <c:v>0.107</c:v>
                </c:pt>
                <c:pt idx="14">
                  <c:v>0.1069</c:v>
                </c:pt>
                <c:pt idx="16">
                  <c:v>0.107</c:v>
                </c:pt>
              </c:numCache>
            </c:numRef>
          </c:xVal>
          <c:yVal>
            <c:numRef>
              <c:f>'By Date'!$L$13:$L$29</c:f>
              <c:numCache>
                <c:formatCode>0.00</c:formatCode>
                <c:ptCount val="17"/>
                <c:pt idx="0">
                  <c:v>4.4463983669441465</c:v>
                </c:pt>
                <c:pt idx="1">
                  <c:v>4.5573052963796057</c:v>
                </c:pt>
                <c:pt idx="2">
                  <c:v>3.5549537674695921</c:v>
                </c:pt>
                <c:pt idx="3">
                  <c:v>3.3094817425327197</c:v>
                </c:pt>
                <c:pt idx="4">
                  <c:v>2.3765678747373262</c:v>
                </c:pt>
                <c:pt idx="5">
                  <c:v>5.0926732476404499</c:v>
                </c:pt>
                <c:pt idx="6">
                  <c:v>3.5049627294743622</c:v>
                </c:pt>
                <c:pt idx="7">
                  <c:v>4.8974273704408473</c:v>
                </c:pt>
                <c:pt idx="8">
                  <c:v>4.9309571110602173</c:v>
                </c:pt>
                <c:pt idx="9">
                  <c:v>3.8445135989999999</c:v>
                </c:pt>
                <c:pt idx="10">
                  <c:v>1.7824259060529946</c:v>
                </c:pt>
                <c:pt idx="11">
                  <c:v>4.6875106010598149</c:v>
                </c:pt>
                <c:pt idx="12">
                  <c:v>2.587504104859335</c:v>
                </c:pt>
                <c:pt idx="13">
                  <c:v>3.2321323096427639</c:v>
                </c:pt>
                <c:pt idx="14">
                  <c:v>2.9707098434216577</c:v>
                </c:pt>
                <c:pt idx="15">
                  <c:v>2.614224662211059</c:v>
                </c:pt>
                <c:pt idx="16">
                  <c:v>3.2374851360000001</c:v>
                </c:pt>
              </c:numCache>
            </c:numRef>
          </c:yVal>
          <c:smooth val="0"/>
        </c:ser>
        <c:ser>
          <c:idx val="2"/>
          <c:order val="2"/>
          <c:tx>
            <c:v>09'</c:v>
          </c:tx>
          <c:spPr>
            <a:ln w="28575">
              <a:noFill/>
            </a:ln>
          </c:spPr>
          <c:xVal>
            <c:numRef>
              <c:f>'By Date'!$AA$30:$AA$42</c:f>
              <c:numCache>
                <c:formatCode>0.0%</c:formatCode>
                <c:ptCount val="13"/>
                <c:pt idx="0">
                  <c:v>0.19600000000000001</c:v>
                </c:pt>
                <c:pt idx="2">
                  <c:v>0.14799999999999999</c:v>
                </c:pt>
                <c:pt idx="3">
                  <c:v>0.1305</c:v>
                </c:pt>
                <c:pt idx="4">
                  <c:v>0.13919999999999999</c:v>
                </c:pt>
                <c:pt idx="6">
                  <c:v>0.14430000000000001</c:v>
                </c:pt>
                <c:pt idx="9">
                  <c:v>0.1</c:v>
                </c:pt>
                <c:pt idx="11">
                  <c:v>0.19</c:v>
                </c:pt>
                <c:pt idx="12">
                  <c:v>0.1</c:v>
                </c:pt>
              </c:numCache>
            </c:numRef>
          </c:xVal>
          <c:yVal>
            <c:numRef>
              <c:f>'By Date'!$L$30:$L$42</c:f>
              <c:numCache>
                <c:formatCode>0.00</c:formatCode>
                <c:ptCount val="13"/>
                <c:pt idx="0">
                  <c:v>4.5154789620009197</c:v>
                </c:pt>
                <c:pt idx="1">
                  <c:v>3.8889292495701699</c:v>
                </c:pt>
                <c:pt idx="2">
                  <c:v>3.9411717110289199</c:v>
                </c:pt>
                <c:pt idx="3">
                  <c:v>4.3139489437199998</c:v>
                </c:pt>
                <c:pt idx="4">
                  <c:v>3.2806016143601622</c:v>
                </c:pt>
                <c:pt idx="5">
                  <c:v>2.473078923333333</c:v>
                </c:pt>
                <c:pt idx="6">
                  <c:v>1.6112324574490346</c:v>
                </c:pt>
                <c:pt idx="7">
                  <c:v>1.7032069768950835</c:v>
                </c:pt>
                <c:pt idx="8">
                  <c:v>2.6736388590794919</c:v>
                </c:pt>
                <c:pt idx="9">
                  <c:v>2.7153992091906427</c:v>
                </c:pt>
                <c:pt idx="10">
                  <c:v>3.2460439264704939</c:v>
                </c:pt>
                <c:pt idx="11">
                  <c:v>3.8041800000000001</c:v>
                </c:pt>
                <c:pt idx="12">
                  <c:v>3.5844857142857145</c:v>
                </c:pt>
              </c:numCache>
            </c:numRef>
          </c:yVal>
          <c:smooth val="0"/>
        </c:ser>
        <c:ser>
          <c:idx val="3"/>
          <c:order val="3"/>
          <c:tx>
            <c:v>10'</c:v>
          </c:tx>
          <c:spPr>
            <a:ln w="28575">
              <a:noFill/>
            </a:ln>
          </c:spPr>
          <c:marker>
            <c:symbol val="triangle"/>
            <c:size val="5"/>
          </c:marker>
          <c:xVal>
            <c:numRef>
              <c:f>'By Date'!$AA$43:$AA$68</c:f>
              <c:numCache>
                <c:formatCode>0.0%</c:formatCode>
                <c:ptCount val="26"/>
                <c:pt idx="0">
                  <c:v>0.19</c:v>
                </c:pt>
                <c:pt idx="2">
                  <c:v>0.1547</c:v>
                </c:pt>
                <c:pt idx="4">
                  <c:v>0.14399999999999999</c:v>
                </c:pt>
                <c:pt idx="7">
                  <c:v>0.14000000000000001</c:v>
                </c:pt>
                <c:pt idx="8">
                  <c:v>0.1419</c:v>
                </c:pt>
                <c:pt idx="10">
                  <c:v>0.14399999999999999</c:v>
                </c:pt>
                <c:pt idx="11">
                  <c:v>0.14069999999999999</c:v>
                </c:pt>
                <c:pt idx="12">
                  <c:v>0.13769999999999999</c:v>
                </c:pt>
                <c:pt idx="16">
                  <c:v>0.09</c:v>
                </c:pt>
                <c:pt idx="18">
                  <c:v>0.107</c:v>
                </c:pt>
                <c:pt idx="19">
                  <c:v>0.11</c:v>
                </c:pt>
                <c:pt idx="22">
                  <c:v>0.19600000000000001</c:v>
                </c:pt>
                <c:pt idx="24">
                  <c:v>0.1</c:v>
                </c:pt>
                <c:pt idx="25">
                  <c:v>0.1</c:v>
                </c:pt>
              </c:numCache>
            </c:numRef>
          </c:xVal>
          <c:yVal>
            <c:numRef>
              <c:f>'By Date'!$L$43:$L$68</c:f>
              <c:numCache>
                <c:formatCode>0.00</c:formatCode>
                <c:ptCount val="26"/>
                <c:pt idx="0">
                  <c:v>4.3051664042553197</c:v>
                </c:pt>
                <c:pt idx="1">
                  <c:v>3.5648518121059891</c:v>
                </c:pt>
                <c:pt idx="2">
                  <c:v>3.6728776245940495</c:v>
                </c:pt>
                <c:pt idx="3">
                  <c:v>2.8982535057772272</c:v>
                </c:pt>
                <c:pt idx="4">
                  <c:v>1.696005256062546</c:v>
                </c:pt>
                <c:pt idx="5">
                  <c:v>3.1687571663164351</c:v>
                </c:pt>
                <c:pt idx="6">
                  <c:v>1.9487856572846076</c:v>
                </c:pt>
                <c:pt idx="7">
                  <c:v>3.8960129094054525</c:v>
                </c:pt>
                <c:pt idx="8">
                  <c:v>1.6126710578574712</c:v>
                </c:pt>
                <c:pt idx="9">
                  <c:v>4.8006671069693994</c:v>
                </c:pt>
                <c:pt idx="10">
                  <c:v>2.3765678747373262</c:v>
                </c:pt>
                <c:pt idx="11">
                  <c:v>1.8107183807522484</c:v>
                </c:pt>
                <c:pt idx="12">
                  <c:v>2.7720966476999997</c:v>
                </c:pt>
                <c:pt idx="13">
                  <c:v>3.6757583129270648</c:v>
                </c:pt>
                <c:pt idx="14">
                  <c:v>3.2407743746418078</c:v>
                </c:pt>
                <c:pt idx="15">
                  <c:v>1.2358152948634098</c:v>
                </c:pt>
                <c:pt idx="16">
                  <c:v>3.9416381530800004</c:v>
                </c:pt>
                <c:pt idx="17">
                  <c:v>1.8210853889999998</c:v>
                </c:pt>
                <c:pt idx="18">
                  <c:v>3.1160794433999999</c:v>
                </c:pt>
                <c:pt idx="19">
                  <c:v>3.0833191771428572</c:v>
                </c:pt>
                <c:pt idx="20">
                  <c:v>3.1218606668571427</c:v>
                </c:pt>
                <c:pt idx="21">
                  <c:v>1.4853549217108288</c:v>
                </c:pt>
                <c:pt idx="22">
                  <c:v>4.7611764705882349</c:v>
                </c:pt>
                <c:pt idx="23">
                  <c:v>3.4569486456981231</c:v>
                </c:pt>
                <c:pt idx="24">
                  <c:v>3.3725000000000001</c:v>
                </c:pt>
                <c:pt idx="25">
                  <c:v>3.203875</c:v>
                </c:pt>
              </c:numCache>
            </c:numRef>
          </c:yVal>
          <c:smooth val="0"/>
        </c:ser>
        <c:ser>
          <c:idx val="4"/>
          <c:order val="4"/>
          <c:tx>
            <c:v>11'</c:v>
          </c:tx>
          <c:spPr>
            <a:ln w="28575">
              <a:noFill/>
            </a:ln>
          </c:spPr>
          <c:marker>
            <c:symbol val="circle"/>
            <c:size val="5"/>
          </c:marker>
          <c:xVal>
            <c:numRef>
              <c:f>'By Date'!$AA$69:$AA$113</c:f>
              <c:numCache>
                <c:formatCode>0.0%</c:formatCode>
                <c:ptCount val="45"/>
                <c:pt idx="0">
                  <c:v>0.13769999999999999</c:v>
                </c:pt>
                <c:pt idx="1">
                  <c:v>0.13900000000000001</c:v>
                </c:pt>
                <c:pt idx="2">
                  <c:v>0.13600000000000001</c:v>
                </c:pt>
                <c:pt idx="5">
                  <c:v>0.19</c:v>
                </c:pt>
                <c:pt idx="9">
                  <c:v>0.14699999999999999</c:v>
                </c:pt>
                <c:pt idx="10">
                  <c:v>0.20100000000000001</c:v>
                </c:pt>
                <c:pt idx="11">
                  <c:v>0.14699999999999999</c:v>
                </c:pt>
                <c:pt idx="12">
                  <c:v>0.14699999999999999</c:v>
                </c:pt>
                <c:pt idx="15">
                  <c:v>0.25</c:v>
                </c:pt>
                <c:pt idx="16">
                  <c:v>0.25</c:v>
                </c:pt>
                <c:pt idx="18">
                  <c:v>0.28999999999999998</c:v>
                </c:pt>
                <c:pt idx="20">
                  <c:v>9.9900000000000003E-2</c:v>
                </c:pt>
                <c:pt idx="22">
                  <c:v>0.14000000000000001</c:v>
                </c:pt>
                <c:pt idx="23">
                  <c:v>0.14399999999999999</c:v>
                </c:pt>
                <c:pt idx="24">
                  <c:v>9.9900000000000003E-2</c:v>
                </c:pt>
                <c:pt idx="25">
                  <c:v>0.14499999999999999</c:v>
                </c:pt>
                <c:pt idx="26">
                  <c:v>0.107</c:v>
                </c:pt>
                <c:pt idx="28">
                  <c:v>0.107</c:v>
                </c:pt>
                <c:pt idx="29">
                  <c:v>0.14899999999999999</c:v>
                </c:pt>
                <c:pt idx="30">
                  <c:v>0.14099999999999999</c:v>
                </c:pt>
                <c:pt idx="31">
                  <c:v>0.14399999999999999</c:v>
                </c:pt>
                <c:pt idx="32">
                  <c:v>0.106</c:v>
                </c:pt>
                <c:pt idx="33">
                  <c:v>0.107</c:v>
                </c:pt>
                <c:pt idx="34">
                  <c:v>0.14199999999999999</c:v>
                </c:pt>
                <c:pt idx="38">
                  <c:v>0.107</c:v>
                </c:pt>
                <c:pt idx="39">
                  <c:v>0.19</c:v>
                </c:pt>
                <c:pt idx="40">
                  <c:v>0.107</c:v>
                </c:pt>
                <c:pt idx="41">
                  <c:v>0.1</c:v>
                </c:pt>
                <c:pt idx="42">
                  <c:v>0.14000000000000001</c:v>
                </c:pt>
                <c:pt idx="43">
                  <c:v>0.13200000000000001</c:v>
                </c:pt>
                <c:pt idx="44">
                  <c:v>0.09</c:v>
                </c:pt>
              </c:numCache>
            </c:numRef>
          </c:xVal>
          <c:yVal>
            <c:numRef>
              <c:f>'By Date'!$L$69:$L$113</c:f>
              <c:numCache>
                <c:formatCode>0.00</c:formatCode>
                <c:ptCount val="45"/>
                <c:pt idx="0">
                  <c:v>3.1957923375045563</c:v>
                </c:pt>
                <c:pt idx="1">
                  <c:v>3.7044923668680001</c:v>
                </c:pt>
                <c:pt idx="2">
                  <c:v>4.6134163188000006</c:v>
                </c:pt>
                <c:pt idx="3">
                  <c:v>3.089538237158524</c:v>
                </c:pt>
                <c:pt idx="4">
                  <c:v>2.8148858076415029</c:v>
                </c:pt>
                <c:pt idx="5">
                  <c:v>2.3228955850799999</c:v>
                </c:pt>
                <c:pt idx="6">
                  <c:v>3.4064139537901679</c:v>
                </c:pt>
                <c:pt idx="7">
                  <c:v>4.4421829434342541</c:v>
                </c:pt>
                <c:pt idx="8">
                  <c:v>3.7721413434025228</c:v>
                </c:pt>
                <c:pt idx="9">
                  <c:v>3.1793653895425531</c:v>
                </c:pt>
                <c:pt idx="10">
                  <c:v>4.1682621125999999</c:v>
                </c:pt>
                <c:pt idx="11" formatCode="General">
                  <c:v>3.2285820518760002</c:v>
                </c:pt>
                <c:pt idx="12">
                  <c:v>3.1460261809080001</c:v>
                </c:pt>
                <c:pt idx="13">
                  <c:v>5.2217502193548393</c:v>
                </c:pt>
                <c:pt idx="14">
                  <c:v>3.2599676716666668</c:v>
                </c:pt>
                <c:pt idx="15">
                  <c:v>3.0870413654658675</c:v>
                </c:pt>
                <c:pt idx="16">
                  <c:v>6.8796559140000006</c:v>
                </c:pt>
                <c:pt idx="17">
                  <c:v>5.8333938743552549</c:v>
                </c:pt>
                <c:pt idx="18">
                  <c:v>3.1314960392857141</c:v>
                </c:pt>
                <c:pt idx="19">
                  <c:v>2.3052708384952063</c:v>
                </c:pt>
                <c:pt idx="20">
                  <c:v>3.7545778189127508</c:v>
                </c:pt>
                <c:pt idx="21">
                  <c:v>2.3765678747373258</c:v>
                </c:pt>
                <c:pt idx="22">
                  <c:v>2.3765678747373258</c:v>
                </c:pt>
                <c:pt idx="23">
                  <c:v>3.6422496164556724</c:v>
                </c:pt>
                <c:pt idx="24">
                  <c:v>3.4073683987197811</c:v>
                </c:pt>
                <c:pt idx="25">
                  <c:v>2.1793127411341282</c:v>
                </c:pt>
                <c:pt idx="26">
                  <c:v>4.3966505682640538</c:v>
                </c:pt>
                <c:pt idx="27">
                  <c:v>2.0596921581056828</c:v>
                </c:pt>
                <c:pt idx="28">
                  <c:v>4.7531357494746524</c:v>
                </c:pt>
                <c:pt idx="29">
                  <c:v>1.214056926</c:v>
                </c:pt>
                <c:pt idx="30">
                  <c:v>2.2473455080258402</c:v>
                </c:pt>
                <c:pt idx="31">
                  <c:v>3.9659192916000001</c:v>
                </c:pt>
                <c:pt idx="32" formatCode="General">
                  <c:v>4.6838615972222222</c:v>
                </c:pt>
                <c:pt idx="33">
                  <c:v>3.1295689647999998</c:v>
                </c:pt>
                <c:pt idx="34">
                  <c:v>2.7619795066500004</c:v>
                </c:pt>
                <c:pt idx="35">
                  <c:v>2.6142246622110585</c:v>
                </c:pt>
                <c:pt idx="36">
                  <c:v>2.4798969127693837</c:v>
                </c:pt>
                <c:pt idx="37">
                  <c:v>7.0165337254149627</c:v>
                </c:pt>
                <c:pt idx="38">
                  <c:v>4.7531357494746524</c:v>
                </c:pt>
                <c:pt idx="39">
                  <c:v>2.91384</c:v>
                </c:pt>
                <c:pt idx="40">
                  <c:v>4.2493499999999997</c:v>
                </c:pt>
                <c:pt idx="41">
                  <c:v>4.1549863530025535</c:v>
                </c:pt>
                <c:pt idx="42">
                  <c:v>3.0127666666666664</c:v>
                </c:pt>
                <c:pt idx="43">
                  <c:v>2.5293749999999999</c:v>
                </c:pt>
                <c:pt idx="44">
                  <c:v>4.4966666666666661</c:v>
                </c:pt>
              </c:numCache>
            </c:numRef>
          </c:yVal>
          <c:smooth val="0"/>
        </c:ser>
        <c:ser>
          <c:idx val="5"/>
          <c:order val="5"/>
          <c:tx>
            <c:v>12'</c:v>
          </c:tx>
          <c:spPr>
            <a:ln w="28575">
              <a:noFill/>
            </a:ln>
          </c:spPr>
          <c:marker>
            <c:symbol val="circle"/>
            <c:size val="5"/>
          </c:marker>
          <c:xVal>
            <c:numRef>
              <c:f>'By Date'!$AA$114:$AA$149</c:f>
              <c:numCache>
                <c:formatCode>0.0%</c:formatCode>
                <c:ptCount val="36"/>
                <c:pt idx="2">
                  <c:v>0.19</c:v>
                </c:pt>
                <c:pt idx="3">
                  <c:v>0.19</c:v>
                </c:pt>
                <c:pt idx="4">
                  <c:v>0.14610000000000001</c:v>
                </c:pt>
                <c:pt idx="5">
                  <c:v>0.185</c:v>
                </c:pt>
                <c:pt idx="6">
                  <c:v>0.14299999999999999</c:v>
                </c:pt>
                <c:pt idx="7">
                  <c:v>0.20100000000000001</c:v>
                </c:pt>
                <c:pt idx="8">
                  <c:v>0.185</c:v>
                </c:pt>
                <c:pt idx="10">
                  <c:v>8.5000000000000006E-2</c:v>
                </c:pt>
                <c:pt idx="12">
                  <c:v>0.14499999999999999</c:v>
                </c:pt>
                <c:pt idx="14">
                  <c:v>0.107</c:v>
                </c:pt>
                <c:pt idx="16">
                  <c:v>0.107</c:v>
                </c:pt>
                <c:pt idx="17">
                  <c:v>0.158</c:v>
                </c:pt>
                <c:pt idx="19">
                  <c:v>0.12</c:v>
                </c:pt>
                <c:pt idx="20">
                  <c:v>0.14000000000000001</c:v>
                </c:pt>
                <c:pt idx="22">
                  <c:v>0.185</c:v>
                </c:pt>
                <c:pt idx="23">
                  <c:v>0.107</c:v>
                </c:pt>
                <c:pt idx="24">
                  <c:v>0.19600000000000001</c:v>
                </c:pt>
                <c:pt idx="25">
                  <c:v>0.31</c:v>
                </c:pt>
                <c:pt idx="26">
                  <c:v>0.14099999999999999</c:v>
                </c:pt>
                <c:pt idx="27">
                  <c:v>0.158</c:v>
                </c:pt>
                <c:pt idx="28">
                  <c:v>0.1</c:v>
                </c:pt>
                <c:pt idx="32">
                  <c:v>0.14699999999999999</c:v>
                </c:pt>
              </c:numCache>
            </c:numRef>
          </c:xVal>
          <c:yVal>
            <c:numRef>
              <c:f>'By Date'!$L$114:$L$149</c:f>
              <c:numCache>
                <c:formatCode>0.00</c:formatCode>
                <c:ptCount val="36"/>
                <c:pt idx="0">
                  <c:v>3.4856328829480785</c:v>
                </c:pt>
                <c:pt idx="1">
                  <c:v>3.3668044892112121</c:v>
                </c:pt>
                <c:pt idx="2">
                  <c:v>3.8025085995797219</c:v>
                </c:pt>
                <c:pt idx="3">
                  <c:v>2.4214087780342566</c:v>
                </c:pt>
                <c:pt idx="4">
                  <c:v>2.3376077456432713</c:v>
                </c:pt>
                <c:pt idx="5">
                  <c:v>2.9100831119232557</c:v>
                </c:pt>
                <c:pt idx="6">
                  <c:v>2.8518814496847913</c:v>
                </c:pt>
                <c:pt idx="7">
                  <c:v>4.070174299259862</c:v>
                </c:pt>
                <c:pt idx="8">
                  <c:v>2.8906117285714288</c:v>
                </c:pt>
                <c:pt idx="9">
                  <c:v>4.9024774916571427</c:v>
                </c:pt>
                <c:pt idx="10">
                  <c:v>4.2130066870343503</c:v>
                </c:pt>
                <c:pt idx="11">
                  <c:v>2.0109420478546602</c:v>
                </c:pt>
                <c:pt idx="12">
                  <c:v>2.0068795386670755</c:v>
                </c:pt>
                <c:pt idx="13">
                  <c:v>2.3765678747373262</c:v>
                </c:pt>
                <c:pt idx="14">
                  <c:v>3.687777736661368</c:v>
                </c:pt>
                <c:pt idx="15">
                  <c:v>2.6617560197058054</c:v>
                </c:pt>
                <c:pt idx="16">
                  <c:v>4.7531357494746524</c:v>
                </c:pt>
                <c:pt idx="17">
                  <c:v>1.4259407248423956</c:v>
                </c:pt>
                <c:pt idx="18">
                  <c:v>2.2713676871231994</c:v>
                </c:pt>
                <c:pt idx="19">
                  <c:v>3.3065292170258451</c:v>
                </c:pt>
                <c:pt idx="20">
                  <c:v>3.2375999999999996</c:v>
                </c:pt>
                <c:pt idx="21">
                  <c:v>3.7836302927165968</c:v>
                </c:pt>
                <c:pt idx="22">
                  <c:v>2.4929519999999998</c:v>
                </c:pt>
                <c:pt idx="23">
                  <c:v>4.6696153846153843</c:v>
                </c:pt>
                <c:pt idx="24">
                  <c:v>2.9678</c:v>
                </c:pt>
                <c:pt idx="25">
                  <c:v>2.9641113281250004</c:v>
                </c:pt>
                <c:pt idx="26">
                  <c:v>1.6636565357422222</c:v>
                </c:pt>
                <c:pt idx="27">
                  <c:v>2.8519826327009521</c:v>
                </c:pt>
                <c:pt idx="28">
                  <c:v>4.8178571428571431</c:v>
                </c:pt>
                <c:pt idx="29">
                  <c:v>4.2779739490514288</c:v>
                </c:pt>
                <c:pt idx="30">
                  <c:v>3.2375999999999996</c:v>
                </c:pt>
                <c:pt idx="31">
                  <c:v>3.0401853658536586</c:v>
                </c:pt>
                <c:pt idx="32">
                  <c:v>5.1261999999999999</c:v>
                </c:pt>
                <c:pt idx="33">
                  <c:v>2.3391261066450788</c:v>
                </c:pt>
                <c:pt idx="34">
                  <c:v>3.0482112306757005</c:v>
                </c:pt>
                <c:pt idx="35">
                  <c:v>2.8519826327009521</c:v>
                </c:pt>
              </c:numCache>
            </c:numRef>
          </c:yVal>
          <c:smooth val="0"/>
        </c:ser>
        <c:ser>
          <c:idx val="6"/>
          <c:order val="6"/>
          <c:tx>
            <c:v>13'</c:v>
          </c:tx>
          <c:spPr>
            <a:ln w="28575">
              <a:noFill/>
            </a:ln>
          </c:spPr>
          <c:xVal>
            <c:numRef>
              <c:f>'By Date'!$AA$150:$AA$167</c:f>
              <c:numCache>
                <c:formatCode>0.0%</c:formatCode>
                <c:ptCount val="18"/>
                <c:pt idx="0">
                  <c:v>0.14400000000000002</c:v>
                </c:pt>
                <c:pt idx="1">
                  <c:v>0.14000000000000001</c:v>
                </c:pt>
                <c:pt idx="6">
                  <c:v>0.1076</c:v>
                </c:pt>
                <c:pt idx="7">
                  <c:v>0.1</c:v>
                </c:pt>
                <c:pt idx="8">
                  <c:v>0.1</c:v>
                </c:pt>
                <c:pt idx="15">
                  <c:v>0.14499999999999999</c:v>
                </c:pt>
              </c:numCache>
            </c:numRef>
          </c:xVal>
          <c:yVal>
            <c:numRef>
              <c:f>'By Date'!$L$150:$L$167</c:f>
              <c:numCache>
                <c:formatCode>0.00</c:formatCode>
                <c:ptCount val="18"/>
                <c:pt idx="0">
                  <c:v>2.16861818569781</c:v>
                </c:pt>
                <c:pt idx="1">
                  <c:v>3.6347508672453221</c:v>
                </c:pt>
                <c:pt idx="2">
                  <c:v>2.8518814496847913</c:v>
                </c:pt>
                <c:pt idx="3">
                  <c:v>2.3765678747373262</c:v>
                </c:pt>
                <c:pt idx="4">
                  <c:v>4.7531357494746524</c:v>
                </c:pt>
                <c:pt idx="5">
                  <c:v>4.135228102042948</c:v>
                </c:pt>
                <c:pt idx="6">
                  <c:v>3.695086956521739</c:v>
                </c:pt>
                <c:pt idx="7">
                  <c:v>4.9528258065835464</c:v>
                </c:pt>
                <c:pt idx="8">
                  <c:v>3.0492305454545456</c:v>
                </c:pt>
                <c:pt idx="9">
                  <c:v>3.2375999999999996</c:v>
                </c:pt>
                <c:pt idx="10">
                  <c:v>5.3622750000000003</c:v>
                </c:pt>
                <c:pt idx="11">
                  <c:v>3.042114808214349</c:v>
                </c:pt>
                <c:pt idx="12">
                  <c:v>2.4281999999999999</c:v>
                </c:pt>
                <c:pt idx="13">
                  <c:v>4.7089402135484608</c:v>
                </c:pt>
                <c:pt idx="14">
                  <c:v>1.7344285714285714</c:v>
                </c:pt>
                <c:pt idx="15">
                  <c:v>2.4281999999999999</c:v>
                </c:pt>
                <c:pt idx="16">
                  <c:v>2.4396882580645163</c:v>
                </c:pt>
                <c:pt idx="17">
                  <c:v>3.0242127272727273</c:v>
                </c:pt>
              </c:numCache>
            </c:numRef>
          </c:yVal>
          <c:smooth val="0"/>
        </c:ser>
        <c:dLbls>
          <c:showLegendKey val="0"/>
          <c:showVal val="0"/>
          <c:showCatName val="0"/>
          <c:showSerName val="0"/>
          <c:showPercent val="0"/>
          <c:showBubbleSize val="0"/>
        </c:dLbls>
        <c:axId val="114831360"/>
        <c:axId val="114833280"/>
      </c:scatterChart>
      <c:valAx>
        <c:axId val="114831360"/>
        <c:scaling>
          <c:orientation val="minMax"/>
        </c:scaling>
        <c:delete val="0"/>
        <c:axPos val="b"/>
        <c:title>
          <c:tx>
            <c:rich>
              <a:bodyPr/>
              <a:lstStyle/>
              <a:p>
                <a:pPr>
                  <a:defRPr/>
                </a:pPr>
                <a:r>
                  <a:rPr lang="en-US"/>
                  <a:t>Module Efficiency</a:t>
                </a:r>
              </a:p>
            </c:rich>
          </c:tx>
          <c:overlay val="0"/>
        </c:title>
        <c:numFmt formatCode="0.0%" sourceLinked="1"/>
        <c:majorTickMark val="out"/>
        <c:minorTickMark val="none"/>
        <c:tickLblPos val="nextTo"/>
        <c:crossAx val="114833280"/>
        <c:crosses val="autoZero"/>
        <c:crossBetween val="midCat"/>
      </c:valAx>
      <c:valAx>
        <c:axId val="114833280"/>
        <c:scaling>
          <c:orientation val="minMax"/>
        </c:scaling>
        <c:delete val="0"/>
        <c:axPos val="l"/>
        <c:majorGridlines/>
        <c:title>
          <c:tx>
            <c:rich>
              <a:bodyPr rot="-5400000" vert="horz"/>
              <a:lstStyle/>
              <a:p>
                <a:pPr>
                  <a:defRPr/>
                </a:pPr>
                <a:r>
                  <a:rPr lang="en-US"/>
                  <a:t>Total Hectare/MW</a:t>
                </a:r>
              </a:p>
            </c:rich>
          </c:tx>
          <c:overlay val="0"/>
        </c:title>
        <c:numFmt formatCode="0.00" sourceLinked="1"/>
        <c:majorTickMark val="out"/>
        <c:minorTickMark val="none"/>
        <c:tickLblPos val="nextTo"/>
        <c:crossAx val="114831360"/>
        <c:crosses val="autoZero"/>
        <c:crossBetween val="midCat"/>
      </c:valAx>
    </c:plotArea>
    <c:legend>
      <c:legendPos val="r"/>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4714899768191"/>
          <c:y val="7.66379022766039E-2"/>
          <c:w val="0.82021206588304985"/>
          <c:h val="0.75802642316769264"/>
        </c:manualLayout>
      </c:layout>
      <c:scatterChart>
        <c:scatterStyle val="lineMarker"/>
        <c:varyColors val="0"/>
        <c:ser>
          <c:idx val="2"/>
          <c:order val="0"/>
          <c:tx>
            <c:strRef>
              <c:f>CSP!$U$3</c:f>
              <c:strCache>
                <c:ptCount val="1"/>
                <c:pt idx="0">
                  <c:v>Parabolic Trough</c:v>
                </c:pt>
              </c:strCache>
            </c:strRef>
          </c:tx>
          <c:spPr>
            <a:ln w="28575">
              <a:noFill/>
            </a:ln>
          </c:spPr>
          <c:marker>
            <c:symbol val="triangle"/>
            <c:size val="5"/>
          </c:marker>
          <c:xVal>
            <c:numRef>
              <c:f>CSP!$D$3:$D$11</c:f>
              <c:numCache>
                <c:formatCode>General</c:formatCode>
                <c:ptCount val="9"/>
                <c:pt idx="0">
                  <c:v>354000</c:v>
                </c:pt>
                <c:pt idx="1">
                  <c:v>50000</c:v>
                </c:pt>
                <c:pt idx="2">
                  <c:v>57000</c:v>
                </c:pt>
                <c:pt idx="3">
                  <c:v>250000</c:v>
                </c:pt>
                <c:pt idx="4">
                  <c:v>280000</c:v>
                </c:pt>
                <c:pt idx="5">
                  <c:v>75000</c:v>
                </c:pt>
                <c:pt idx="6">
                  <c:v>64000</c:v>
                </c:pt>
                <c:pt idx="8">
                  <c:v>250000</c:v>
                </c:pt>
              </c:numCache>
            </c:numRef>
          </c:xVal>
          <c:yVal>
            <c:numRef>
              <c:f>CSP!$L$3:$L$11</c:f>
              <c:numCache>
                <c:formatCode>0.00</c:formatCode>
                <c:ptCount val="9"/>
                <c:pt idx="0">
                  <c:v>5.8107344632768365</c:v>
                </c:pt>
                <c:pt idx="1">
                  <c:v>5.3</c:v>
                </c:pt>
                <c:pt idx="2">
                  <c:v>6.6140350877192979</c:v>
                </c:pt>
                <c:pt idx="3">
                  <c:v>7.06</c:v>
                </c:pt>
                <c:pt idx="4">
                  <c:v>11.096428571428572</c:v>
                </c:pt>
                <c:pt idx="5">
                  <c:v>6.666666666666667</c:v>
                </c:pt>
                <c:pt idx="6">
                  <c:v>6.25</c:v>
                </c:pt>
                <c:pt idx="8">
                  <c:v>18.559999999999999</c:v>
                </c:pt>
              </c:numCache>
            </c:numRef>
          </c:yVal>
          <c:smooth val="0"/>
        </c:ser>
        <c:ser>
          <c:idx val="0"/>
          <c:order val="1"/>
          <c:tx>
            <c:strRef>
              <c:f>CSP!$U$14</c:f>
              <c:strCache>
                <c:ptCount val="1"/>
                <c:pt idx="0">
                  <c:v>Tower</c:v>
                </c:pt>
              </c:strCache>
            </c:strRef>
          </c:tx>
          <c:spPr>
            <a:ln w="28575">
              <a:noFill/>
            </a:ln>
          </c:spPr>
          <c:marker>
            <c:symbol val="diamond"/>
            <c:size val="5"/>
          </c:marker>
          <c:xVal>
            <c:numRef>
              <c:f>CSP!$D$14:$D$27</c:f>
              <c:numCache>
                <c:formatCode>General</c:formatCode>
                <c:ptCount val="14"/>
                <c:pt idx="0">
                  <c:v>10000</c:v>
                </c:pt>
                <c:pt idx="1">
                  <c:v>150000</c:v>
                </c:pt>
                <c:pt idx="2">
                  <c:v>100000</c:v>
                </c:pt>
                <c:pt idx="3">
                  <c:v>150000</c:v>
                </c:pt>
                <c:pt idx="4">
                  <c:v>110000</c:v>
                </c:pt>
                <c:pt idx="5">
                  <c:v>200000</c:v>
                </c:pt>
                <c:pt idx="6">
                  <c:v>5000</c:v>
                </c:pt>
                <c:pt idx="7">
                  <c:v>250000</c:v>
                </c:pt>
                <c:pt idx="8">
                  <c:v>250000</c:v>
                </c:pt>
                <c:pt idx="9">
                  <c:v>250000</c:v>
                </c:pt>
                <c:pt idx="10">
                  <c:v>250000</c:v>
                </c:pt>
                <c:pt idx="11">
                  <c:v>250000</c:v>
                </c:pt>
                <c:pt idx="12">
                  <c:v>13000</c:v>
                </c:pt>
                <c:pt idx="13">
                  <c:v>377000</c:v>
                </c:pt>
              </c:numCache>
            </c:numRef>
          </c:xVal>
          <c:yVal>
            <c:numRef>
              <c:f>CSP!$L$14:$L$27</c:f>
              <c:numCache>
                <c:formatCode>0.00</c:formatCode>
                <c:ptCount val="14"/>
                <c:pt idx="0">
                  <c:v>13.2</c:v>
                </c:pt>
                <c:pt idx="1">
                  <c:v>17.066666666666666</c:v>
                </c:pt>
                <c:pt idx="2">
                  <c:v>16.75</c:v>
                </c:pt>
                <c:pt idx="3">
                  <c:v>17.066666666666666</c:v>
                </c:pt>
                <c:pt idx="4">
                  <c:v>14.545454545454545</c:v>
                </c:pt>
                <c:pt idx="5">
                  <c:v>15</c:v>
                </c:pt>
                <c:pt idx="6">
                  <c:v>10</c:v>
                </c:pt>
                <c:pt idx="7">
                  <c:v>6.56</c:v>
                </c:pt>
                <c:pt idx="8">
                  <c:v>6.56</c:v>
                </c:pt>
                <c:pt idx="9">
                  <c:v>7.666666666666667</c:v>
                </c:pt>
                <c:pt idx="10">
                  <c:v>7.666666666666667</c:v>
                </c:pt>
                <c:pt idx="11">
                  <c:v>7.666666666666667</c:v>
                </c:pt>
                <c:pt idx="12">
                  <c:v>6.615384615384615</c:v>
                </c:pt>
                <c:pt idx="13">
                  <c:v>9.5013262599469499</c:v>
                </c:pt>
              </c:numCache>
            </c:numRef>
          </c:yVal>
          <c:smooth val="0"/>
        </c:ser>
        <c:ser>
          <c:idx val="1"/>
          <c:order val="2"/>
          <c:tx>
            <c:strRef>
              <c:f>CSP!$B$75</c:f>
              <c:strCache>
                <c:ptCount val="1"/>
                <c:pt idx="0">
                  <c:v>Dish Sterling</c:v>
                </c:pt>
              </c:strCache>
            </c:strRef>
          </c:tx>
          <c:spPr>
            <a:ln w="28575">
              <a:noFill/>
            </a:ln>
          </c:spPr>
          <c:marker>
            <c:symbol val="square"/>
            <c:size val="5"/>
          </c:marker>
          <c:xVal>
            <c:numRef>
              <c:f>CSP!$D$13</c:f>
              <c:numCache>
                <c:formatCode>General</c:formatCode>
                <c:ptCount val="1"/>
                <c:pt idx="0">
                  <c:v>1500</c:v>
                </c:pt>
              </c:numCache>
            </c:numRef>
          </c:xVal>
          <c:yVal>
            <c:numRef>
              <c:f>CSP!$L$13</c:f>
              <c:numCache>
                <c:formatCode>0.00</c:formatCode>
                <c:ptCount val="1"/>
                <c:pt idx="0">
                  <c:v>10</c:v>
                </c:pt>
              </c:numCache>
            </c:numRef>
          </c:yVal>
          <c:smooth val="0"/>
        </c:ser>
        <c:ser>
          <c:idx val="3"/>
          <c:order val="3"/>
          <c:tx>
            <c:strRef>
              <c:f>CSP!$U$12</c:f>
              <c:strCache>
                <c:ptCount val="1"/>
                <c:pt idx="0">
                  <c:v>Linear Fresnel</c:v>
                </c:pt>
              </c:strCache>
            </c:strRef>
          </c:tx>
          <c:spPr>
            <a:ln w="28575">
              <a:noFill/>
            </a:ln>
          </c:spPr>
          <c:marker>
            <c:symbol val="circle"/>
            <c:size val="5"/>
          </c:marker>
          <c:xVal>
            <c:numRef>
              <c:f>CSP!$D$12</c:f>
              <c:numCache>
                <c:formatCode>General</c:formatCode>
                <c:ptCount val="1"/>
                <c:pt idx="0">
                  <c:v>7500</c:v>
                </c:pt>
              </c:numCache>
            </c:numRef>
          </c:xVal>
          <c:yVal>
            <c:numRef>
              <c:f>CSP!$L$12</c:f>
              <c:numCache>
                <c:formatCode>0.00</c:formatCode>
                <c:ptCount val="1"/>
                <c:pt idx="0">
                  <c:v>4.666666666666667</c:v>
                </c:pt>
              </c:numCache>
            </c:numRef>
          </c:yVal>
          <c:smooth val="0"/>
        </c:ser>
        <c:dLbls>
          <c:showLegendKey val="0"/>
          <c:showVal val="0"/>
          <c:showCatName val="0"/>
          <c:showSerName val="0"/>
          <c:showPercent val="0"/>
          <c:showBubbleSize val="0"/>
        </c:dLbls>
        <c:axId val="108026880"/>
        <c:axId val="108037632"/>
      </c:scatterChart>
      <c:valAx>
        <c:axId val="108026880"/>
        <c:scaling>
          <c:orientation val="minMax"/>
        </c:scaling>
        <c:delete val="0"/>
        <c:axPos val="b"/>
        <c:title>
          <c:tx>
            <c:rich>
              <a:bodyPr/>
              <a:lstStyle/>
              <a:p>
                <a:pPr>
                  <a:defRPr/>
                </a:pPr>
                <a:r>
                  <a:rPr lang="en-US"/>
                  <a:t>Capacity (MW-AC)</a:t>
                </a:r>
              </a:p>
            </c:rich>
          </c:tx>
          <c:overlay val="0"/>
        </c:title>
        <c:numFmt formatCode="General" sourceLinked="1"/>
        <c:majorTickMark val="out"/>
        <c:minorTickMark val="none"/>
        <c:tickLblPos val="nextTo"/>
        <c:crossAx val="108037632"/>
        <c:crosses val="autoZero"/>
        <c:crossBetween val="midCat"/>
        <c:dispUnits>
          <c:builtInUnit val="thousands"/>
        </c:dispUnits>
      </c:valAx>
      <c:valAx>
        <c:axId val="108037632"/>
        <c:scaling>
          <c:orientation val="minMax"/>
        </c:scaling>
        <c:delete val="0"/>
        <c:axPos val="l"/>
        <c:title>
          <c:tx>
            <c:rich>
              <a:bodyPr rot="-5400000" vert="horz"/>
              <a:lstStyle/>
              <a:p>
                <a:pPr>
                  <a:defRPr/>
                </a:pPr>
                <a:r>
                  <a:rPr lang="en-US"/>
                  <a:t>Total Land Use (Acres/MW)</a:t>
                </a:r>
              </a:p>
            </c:rich>
          </c:tx>
          <c:overlay val="0"/>
        </c:title>
        <c:numFmt formatCode="0" sourceLinked="0"/>
        <c:majorTickMark val="out"/>
        <c:minorTickMark val="none"/>
        <c:tickLblPos val="nextTo"/>
        <c:crossAx val="108026880"/>
        <c:crosses val="autoZero"/>
        <c:crossBetween val="midCat"/>
      </c:valAx>
    </c:plotArea>
    <c:legend>
      <c:legendPos val="r"/>
      <c:layout>
        <c:manualLayout>
          <c:xMode val="edge"/>
          <c:yMode val="edge"/>
          <c:x val="0.78049518098108306"/>
          <c:y val="4.2696906476434038E-2"/>
          <c:w val="0.17441664936765791"/>
          <c:h val="0.37265938712789104"/>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4714899768195"/>
          <c:y val="7.66379022766039E-2"/>
          <c:w val="0.8202120658830494"/>
          <c:h val="0.75802642316769264"/>
        </c:manualLayout>
      </c:layout>
      <c:scatterChart>
        <c:scatterStyle val="lineMarker"/>
        <c:varyColors val="0"/>
        <c:ser>
          <c:idx val="2"/>
          <c:order val="0"/>
          <c:tx>
            <c:strRef>
              <c:f>CSP!$B$73</c:f>
              <c:strCache>
                <c:ptCount val="1"/>
                <c:pt idx="0">
                  <c:v>Parabolic Trough</c:v>
                </c:pt>
              </c:strCache>
            </c:strRef>
          </c:tx>
          <c:spPr>
            <a:ln w="28575">
              <a:noFill/>
            </a:ln>
          </c:spPr>
          <c:marker>
            <c:symbol val="triangle"/>
            <c:size val="5"/>
          </c:marker>
          <c:xVal>
            <c:numRef>
              <c:f>CSP!$D$3:$D$11</c:f>
              <c:numCache>
                <c:formatCode>General</c:formatCode>
                <c:ptCount val="9"/>
                <c:pt idx="0">
                  <c:v>354000</c:v>
                </c:pt>
                <c:pt idx="1">
                  <c:v>50000</c:v>
                </c:pt>
                <c:pt idx="2">
                  <c:v>57000</c:v>
                </c:pt>
                <c:pt idx="3">
                  <c:v>250000</c:v>
                </c:pt>
                <c:pt idx="4">
                  <c:v>280000</c:v>
                </c:pt>
                <c:pt idx="5">
                  <c:v>75000</c:v>
                </c:pt>
                <c:pt idx="6">
                  <c:v>64000</c:v>
                </c:pt>
                <c:pt idx="8">
                  <c:v>250000</c:v>
                </c:pt>
              </c:numCache>
            </c:numRef>
          </c:xVal>
          <c:yVal>
            <c:numRef>
              <c:f>CSP!$Q$3:$Q$11</c:f>
              <c:numCache>
                <c:formatCode>0.00</c:formatCode>
                <c:ptCount val="9"/>
                <c:pt idx="0">
                  <c:v>5.8107344632768365</c:v>
                </c:pt>
                <c:pt idx="1">
                  <c:v>4.5999999999999996</c:v>
                </c:pt>
                <c:pt idx="2">
                  <c:v>4.3859649122807021</c:v>
                </c:pt>
                <c:pt idx="4">
                  <c:v>6.9024999999999999</c:v>
                </c:pt>
                <c:pt idx="5">
                  <c:v>5.333333333333333</c:v>
                </c:pt>
                <c:pt idx="6">
                  <c:v>4.53125</c:v>
                </c:pt>
                <c:pt idx="8">
                  <c:v>7.2</c:v>
                </c:pt>
              </c:numCache>
            </c:numRef>
          </c:yVal>
          <c:smooth val="0"/>
        </c:ser>
        <c:ser>
          <c:idx val="0"/>
          <c:order val="1"/>
          <c:tx>
            <c:strRef>
              <c:f>CSP!$B$74</c:f>
              <c:strCache>
                <c:ptCount val="1"/>
                <c:pt idx="0">
                  <c:v>Tower</c:v>
                </c:pt>
              </c:strCache>
            </c:strRef>
          </c:tx>
          <c:spPr>
            <a:ln w="28575">
              <a:noFill/>
            </a:ln>
          </c:spPr>
          <c:marker>
            <c:symbol val="diamond"/>
            <c:size val="5"/>
          </c:marker>
          <c:xVal>
            <c:numRef>
              <c:f>CSP!$D$14:$D$27</c:f>
              <c:numCache>
                <c:formatCode>General</c:formatCode>
                <c:ptCount val="14"/>
                <c:pt idx="0">
                  <c:v>10000</c:v>
                </c:pt>
                <c:pt idx="1">
                  <c:v>150000</c:v>
                </c:pt>
                <c:pt idx="2">
                  <c:v>100000</c:v>
                </c:pt>
                <c:pt idx="3">
                  <c:v>150000</c:v>
                </c:pt>
                <c:pt idx="4">
                  <c:v>110000</c:v>
                </c:pt>
                <c:pt idx="5">
                  <c:v>200000</c:v>
                </c:pt>
                <c:pt idx="6">
                  <c:v>5000</c:v>
                </c:pt>
                <c:pt idx="7">
                  <c:v>250000</c:v>
                </c:pt>
                <c:pt idx="8">
                  <c:v>250000</c:v>
                </c:pt>
                <c:pt idx="9">
                  <c:v>250000</c:v>
                </c:pt>
                <c:pt idx="10">
                  <c:v>250000</c:v>
                </c:pt>
                <c:pt idx="11">
                  <c:v>250000</c:v>
                </c:pt>
                <c:pt idx="12">
                  <c:v>13000</c:v>
                </c:pt>
                <c:pt idx="13">
                  <c:v>377000</c:v>
                </c:pt>
              </c:numCache>
            </c:numRef>
          </c:xVal>
          <c:yVal>
            <c:numRef>
              <c:f>CSP!$Q$14:$Q$27</c:f>
              <c:numCache>
                <c:formatCode>0.00</c:formatCode>
                <c:ptCount val="14"/>
                <c:pt idx="0">
                  <c:v>11</c:v>
                </c:pt>
                <c:pt idx="1">
                  <c:v>9.4</c:v>
                </c:pt>
                <c:pt idx="4">
                  <c:v>13.881818181818181</c:v>
                </c:pt>
                <c:pt idx="5">
                  <c:v>13.345000000000001</c:v>
                </c:pt>
                <c:pt idx="6">
                  <c:v>4.3520000000000003</c:v>
                </c:pt>
                <c:pt idx="7">
                  <c:v>6.2380000000000004</c:v>
                </c:pt>
                <c:pt idx="8">
                  <c:v>6.2380000000000004</c:v>
                </c:pt>
                <c:pt idx="12">
                  <c:v>4.384615384615385</c:v>
                </c:pt>
                <c:pt idx="13">
                  <c:v>8.7453580901856771</c:v>
                </c:pt>
              </c:numCache>
            </c:numRef>
          </c:yVal>
          <c:smooth val="0"/>
        </c:ser>
        <c:ser>
          <c:idx val="1"/>
          <c:order val="2"/>
          <c:tx>
            <c:strRef>
              <c:f>CSP!$B$75</c:f>
              <c:strCache>
                <c:ptCount val="1"/>
                <c:pt idx="0">
                  <c:v>Dish Sterling</c:v>
                </c:pt>
              </c:strCache>
            </c:strRef>
          </c:tx>
          <c:spPr>
            <a:ln w="28575">
              <a:noFill/>
            </a:ln>
          </c:spPr>
          <c:marker>
            <c:symbol val="square"/>
            <c:size val="5"/>
          </c:marker>
          <c:xVal>
            <c:numRef>
              <c:f>CSP!$D$13</c:f>
              <c:numCache>
                <c:formatCode>General</c:formatCode>
                <c:ptCount val="1"/>
                <c:pt idx="0">
                  <c:v>1500</c:v>
                </c:pt>
              </c:numCache>
            </c:numRef>
          </c:xVal>
          <c:yVal>
            <c:numRef>
              <c:f>CSP!$Q$13</c:f>
              <c:numCache>
                <c:formatCode>0.00</c:formatCode>
                <c:ptCount val="1"/>
                <c:pt idx="0">
                  <c:v>2.8200000000000003</c:v>
                </c:pt>
              </c:numCache>
            </c:numRef>
          </c:yVal>
          <c:smooth val="0"/>
        </c:ser>
        <c:ser>
          <c:idx val="3"/>
          <c:order val="3"/>
          <c:tx>
            <c:strRef>
              <c:f>CSP!$B$76</c:f>
              <c:strCache>
                <c:ptCount val="1"/>
                <c:pt idx="0">
                  <c:v>Linear Fresnel</c:v>
                </c:pt>
              </c:strCache>
            </c:strRef>
          </c:tx>
          <c:spPr>
            <a:ln w="28575">
              <a:noFill/>
            </a:ln>
          </c:spPr>
          <c:marker>
            <c:symbol val="circle"/>
            <c:size val="5"/>
          </c:marker>
          <c:xVal>
            <c:numRef>
              <c:f>CSP!$D$12</c:f>
              <c:numCache>
                <c:formatCode>General</c:formatCode>
                <c:ptCount val="1"/>
                <c:pt idx="0">
                  <c:v>7500</c:v>
                </c:pt>
              </c:numCache>
            </c:numRef>
          </c:xVal>
          <c:yVal>
            <c:numRef>
              <c:f>CSP!$Q$12</c:f>
              <c:numCache>
                <c:formatCode>0.00</c:formatCode>
                <c:ptCount val="1"/>
                <c:pt idx="0">
                  <c:v>1.9866666666666668</c:v>
                </c:pt>
              </c:numCache>
            </c:numRef>
          </c:yVal>
          <c:smooth val="0"/>
        </c:ser>
        <c:dLbls>
          <c:showLegendKey val="0"/>
          <c:showVal val="0"/>
          <c:showCatName val="0"/>
          <c:showSerName val="0"/>
          <c:showPercent val="0"/>
          <c:showBubbleSize val="0"/>
        </c:dLbls>
        <c:axId val="115106176"/>
        <c:axId val="115108480"/>
      </c:scatterChart>
      <c:valAx>
        <c:axId val="115106176"/>
        <c:scaling>
          <c:orientation val="minMax"/>
        </c:scaling>
        <c:delete val="0"/>
        <c:axPos val="b"/>
        <c:title>
          <c:tx>
            <c:rich>
              <a:bodyPr/>
              <a:lstStyle/>
              <a:p>
                <a:pPr>
                  <a:defRPr/>
                </a:pPr>
                <a:r>
                  <a:rPr lang="en-US"/>
                  <a:t>Capacity (MW-AC)</a:t>
                </a:r>
              </a:p>
            </c:rich>
          </c:tx>
          <c:overlay val="0"/>
        </c:title>
        <c:numFmt formatCode="General" sourceLinked="1"/>
        <c:majorTickMark val="out"/>
        <c:minorTickMark val="none"/>
        <c:tickLblPos val="nextTo"/>
        <c:crossAx val="115108480"/>
        <c:crosses val="autoZero"/>
        <c:crossBetween val="midCat"/>
        <c:dispUnits>
          <c:builtInUnit val="thousands"/>
        </c:dispUnits>
      </c:valAx>
      <c:valAx>
        <c:axId val="115108480"/>
        <c:scaling>
          <c:orientation val="minMax"/>
        </c:scaling>
        <c:delete val="0"/>
        <c:axPos val="l"/>
        <c:title>
          <c:tx>
            <c:rich>
              <a:bodyPr rot="-5400000" vert="horz"/>
              <a:lstStyle/>
              <a:p>
                <a:pPr>
                  <a:defRPr/>
                </a:pPr>
                <a:r>
                  <a:rPr lang="en-US"/>
                  <a:t>Direct Land Use (Acres/MW)</a:t>
                </a:r>
              </a:p>
            </c:rich>
          </c:tx>
          <c:overlay val="0"/>
        </c:title>
        <c:numFmt formatCode="0" sourceLinked="0"/>
        <c:majorTickMark val="out"/>
        <c:minorTickMark val="none"/>
        <c:tickLblPos val="nextTo"/>
        <c:crossAx val="115106176"/>
        <c:crosses val="autoZero"/>
        <c:crossBetween val="midCat"/>
      </c:valAx>
    </c:plotArea>
    <c:legend>
      <c:legendPos val="r"/>
      <c:layout>
        <c:manualLayout>
          <c:xMode val="edge"/>
          <c:yMode val="edge"/>
          <c:x val="0.80842000147827331"/>
          <c:y val="7.0843708638984228E-3"/>
          <c:w val="0.17441664936765791"/>
          <c:h val="0.37978189425039821"/>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manualLayout>
          <c:layoutTarget val="inner"/>
          <c:xMode val="edge"/>
          <c:yMode val="edge"/>
          <c:x val="0.12632525194296379"/>
          <c:y val="3.5318610982624309E-2"/>
          <c:w val="0.83624098620003362"/>
          <c:h val="0.75479022156293829"/>
        </c:manualLayout>
      </c:layout>
      <c:scatterChart>
        <c:scatterStyle val="lineMarker"/>
        <c:varyColors val="0"/>
        <c:ser>
          <c:idx val="0"/>
          <c:order val="0"/>
          <c:tx>
            <c:v>Generation</c:v>
          </c:tx>
          <c:spPr>
            <a:ln w="28575">
              <a:noFill/>
            </a:ln>
          </c:spPr>
          <c:marker>
            <c:symbol val="diamond"/>
            <c:size val="6"/>
          </c:marker>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CSP!$AK$3:$AK$27</c:f>
              <c:numCache>
                <c:formatCode>General</c:formatCode>
                <c:ptCount val="25"/>
                <c:pt idx="0">
                  <c:v>2.4352595541068882</c:v>
                </c:pt>
                <c:pt idx="1">
                  <c:v>2.2873719657568508</c:v>
                </c:pt>
                <c:pt idx="2">
                  <c:v>3.0030541458946796</c:v>
                </c:pt>
                <c:pt idx="3">
                  <c:v>2.9556925608835405</c:v>
                </c:pt>
                <c:pt idx="4">
                  <c:v>2.9953501936264453</c:v>
                </c:pt>
                <c:pt idx="5">
                  <c:v>5.6220726078758512</c:v>
                </c:pt>
                <c:pt idx="6">
                  <c:v>2.9622185245342081</c:v>
                </c:pt>
                <c:pt idx="8">
                  <c:v>8.2924399431698372</c:v>
                </c:pt>
                <c:pt idx="9">
                  <c:v>4.0144593945461162</c:v>
                </c:pt>
                <c:pt idx="10">
                  <c:v>5.3429839496762153</c:v>
                </c:pt>
                <c:pt idx="11">
                  <c:v>4.0157584445848</c:v>
                </c:pt>
                <c:pt idx="12">
                  <c:v>3.825293885263092</c:v>
                </c:pt>
                <c:pt idx="13">
                  <c:v>3.0602169373719041</c:v>
                </c:pt>
                <c:pt idx="14">
                  <c:v>3.3044156689732209</c:v>
                </c:pt>
                <c:pt idx="15">
                  <c:v>2.8368688446650387</c:v>
                </c:pt>
                <c:pt idx="16">
                  <c:v>2.5414502035519901</c:v>
                </c:pt>
                <c:pt idx="17">
                  <c:v>10.124808514558968</c:v>
                </c:pt>
                <c:pt idx="18">
                  <c:v>2.6860283143383663</c:v>
                </c:pt>
                <c:pt idx="19">
                  <c:v>2.6860283143383663</c:v>
                </c:pt>
                <c:pt idx="20">
                  <c:v>3.1656641151557046</c:v>
                </c:pt>
                <c:pt idx="21">
                  <c:v>3.1656641151557046</c:v>
                </c:pt>
                <c:pt idx="22">
                  <c:v>3.1656641151557046</c:v>
                </c:pt>
                <c:pt idx="23">
                  <c:v>7.975366134221332</c:v>
                </c:pt>
                <c:pt idx="24">
                  <c:v>4.0332887793419729</c:v>
                </c:pt>
              </c:numCache>
            </c:numRef>
          </c:yVal>
          <c:smooth val="0"/>
        </c:ser>
        <c:dLbls>
          <c:showLegendKey val="0"/>
          <c:showVal val="0"/>
          <c:showCatName val="0"/>
          <c:showSerName val="0"/>
          <c:showPercent val="0"/>
          <c:showBubbleSize val="0"/>
        </c:dLbls>
        <c:axId val="115133056"/>
        <c:axId val="115139328"/>
      </c:scatterChart>
      <c:valAx>
        <c:axId val="115133056"/>
        <c:scaling>
          <c:orientation val="minMax"/>
          <c:min val="1.0000000000000002E-2"/>
        </c:scaling>
        <c:delete val="0"/>
        <c:axPos val="b"/>
        <c:title>
          <c:tx>
            <c:rich>
              <a:bodyPr/>
              <a:lstStyle/>
              <a:p>
                <a:pPr>
                  <a:defRPr/>
                </a:pPr>
                <a:r>
                  <a:rPr lang="en-US"/>
                  <a:t>Storage (hours)</a:t>
                </a:r>
              </a:p>
            </c:rich>
          </c:tx>
          <c:overlay val="0"/>
        </c:title>
        <c:numFmt formatCode="#,##0" sourceLinked="0"/>
        <c:majorTickMark val="out"/>
        <c:minorTickMark val="none"/>
        <c:tickLblPos val="nextTo"/>
        <c:crossAx val="115139328"/>
        <c:crosses val="autoZero"/>
        <c:crossBetween val="midCat"/>
      </c:valAx>
      <c:valAx>
        <c:axId val="115139328"/>
        <c:scaling>
          <c:orientation val="minMax"/>
          <c:max val="6"/>
        </c:scaling>
        <c:delete val="0"/>
        <c:axPos val="l"/>
        <c:majorGridlines>
          <c:spPr>
            <a:ln>
              <a:noFill/>
            </a:ln>
          </c:spPr>
        </c:majorGridlines>
        <c:title>
          <c:tx>
            <c:rich>
              <a:bodyPr rot="-5400000" vert="horz"/>
              <a:lstStyle/>
              <a:p>
                <a:pPr>
                  <a:defRPr/>
                </a:pPr>
                <a:r>
                  <a:rPr lang="en-US"/>
                  <a:t>Total Area Requirements  (Acres/GWh/yr)</a:t>
                </a:r>
              </a:p>
            </c:rich>
          </c:tx>
          <c:overlay val="0"/>
        </c:title>
        <c:numFmt formatCode="General" sourceLinked="1"/>
        <c:majorTickMark val="out"/>
        <c:minorTickMark val="none"/>
        <c:tickLblPos val="nextTo"/>
        <c:crossAx val="115133056"/>
        <c:crosses val="autoZero"/>
        <c:crossBetween val="midCat"/>
        <c:minorUnit val="1"/>
      </c:valAx>
    </c:plotArea>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CSP!$AM$3:$AM$11</c:f>
              <c:numCache>
                <c:formatCode>General</c:formatCode>
                <c:ptCount val="9"/>
                <c:pt idx="0">
                  <c:v>0.27238404664241672</c:v>
                </c:pt>
                <c:pt idx="1">
                  <c:v>0.26450565981735158</c:v>
                </c:pt>
                <c:pt idx="2">
                  <c:v>0.25141965473043337</c:v>
                </c:pt>
                <c:pt idx="3">
                  <c:v>0.272672497716895</c:v>
                </c:pt>
                <c:pt idx="4">
                  <c:v>0.42289398850293541</c:v>
                </c:pt>
                <c:pt idx="5">
                  <c:v>0.13536556012176559</c:v>
                </c:pt>
                <c:pt idx="6">
                  <c:v>0.24085674764554796</c:v>
                </c:pt>
                <c:pt idx="8">
                  <c:v>0.25550036849315066</c:v>
                </c:pt>
              </c:numCache>
            </c:numRef>
          </c:xVal>
          <c:yVal>
            <c:numRef>
              <c:f>CSP!$AA$3:$AA$11</c:f>
              <c:numCache>
                <c:formatCode>General</c:formatCode>
                <c:ptCount val="9"/>
                <c:pt idx="0">
                  <c:v>1.25</c:v>
                </c:pt>
                <c:pt idx="1">
                  <c:v>1.25</c:v>
                </c:pt>
                <c:pt idx="2">
                  <c:v>1.25</c:v>
                </c:pt>
                <c:pt idx="3">
                  <c:v>1.25</c:v>
                </c:pt>
                <c:pt idx="4">
                  <c:v>2</c:v>
                </c:pt>
                <c:pt idx="5">
                  <c:v>1.25</c:v>
                </c:pt>
                <c:pt idx="6">
                  <c:v>1.35</c:v>
                </c:pt>
                <c:pt idx="8">
                  <c:v>1.25</c:v>
                </c:pt>
              </c:numCache>
            </c:numRef>
          </c:yVal>
          <c:smooth val="0"/>
        </c:ser>
        <c:dLbls>
          <c:showLegendKey val="0"/>
          <c:showVal val="0"/>
          <c:showCatName val="0"/>
          <c:showSerName val="0"/>
          <c:showPercent val="0"/>
          <c:showBubbleSize val="0"/>
        </c:dLbls>
        <c:axId val="115045120"/>
        <c:axId val="115046656"/>
      </c:scatterChart>
      <c:valAx>
        <c:axId val="115045120"/>
        <c:scaling>
          <c:orientation val="minMax"/>
        </c:scaling>
        <c:delete val="0"/>
        <c:axPos val="b"/>
        <c:numFmt formatCode="General" sourceLinked="1"/>
        <c:majorTickMark val="out"/>
        <c:minorTickMark val="none"/>
        <c:tickLblPos val="nextTo"/>
        <c:crossAx val="115046656"/>
        <c:crosses val="autoZero"/>
        <c:crossBetween val="midCat"/>
      </c:valAx>
      <c:valAx>
        <c:axId val="115046656"/>
        <c:scaling>
          <c:orientation val="minMax"/>
        </c:scaling>
        <c:delete val="0"/>
        <c:axPos val="l"/>
        <c:majorGridlines/>
        <c:numFmt formatCode="General" sourceLinked="1"/>
        <c:majorTickMark val="out"/>
        <c:minorTickMark val="none"/>
        <c:tickLblPos val="nextTo"/>
        <c:crossAx val="1150451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4723344379454"/>
          <c:y val="8.7291576195540108E-2"/>
          <c:w val="0.82021206588304985"/>
          <c:h val="0.75802642316769264"/>
        </c:manualLayout>
      </c:layout>
      <c:scatterChart>
        <c:scatterStyle val="lineMarker"/>
        <c:varyColors val="0"/>
        <c:ser>
          <c:idx val="2"/>
          <c:order val="0"/>
          <c:tx>
            <c:strRef>
              <c:f>CSP!$U$3</c:f>
              <c:strCache>
                <c:ptCount val="1"/>
                <c:pt idx="0">
                  <c:v>Parabolic Trough</c:v>
                </c:pt>
              </c:strCache>
            </c:strRef>
          </c:tx>
          <c:spPr>
            <a:ln w="28575">
              <a:noFill/>
            </a:ln>
          </c:spPr>
          <c:marker>
            <c:symbol val="triangle"/>
            <c:size val="5"/>
          </c:marker>
          <c:xVal>
            <c:numRef>
              <c:f>CSP!$D$3:$D$11</c:f>
              <c:numCache>
                <c:formatCode>General</c:formatCode>
                <c:ptCount val="9"/>
                <c:pt idx="0">
                  <c:v>354000</c:v>
                </c:pt>
                <c:pt idx="1">
                  <c:v>50000</c:v>
                </c:pt>
                <c:pt idx="2">
                  <c:v>57000</c:v>
                </c:pt>
                <c:pt idx="3">
                  <c:v>250000</c:v>
                </c:pt>
                <c:pt idx="4">
                  <c:v>280000</c:v>
                </c:pt>
                <c:pt idx="5">
                  <c:v>75000</c:v>
                </c:pt>
                <c:pt idx="6">
                  <c:v>64000</c:v>
                </c:pt>
                <c:pt idx="8">
                  <c:v>250000</c:v>
                </c:pt>
              </c:numCache>
            </c:numRef>
          </c:xVal>
          <c:yVal>
            <c:numRef>
              <c:f>CSP!$AK$3:$AK$11</c:f>
              <c:numCache>
                <c:formatCode>General</c:formatCode>
                <c:ptCount val="9"/>
                <c:pt idx="0">
                  <c:v>2.4352595541068882</c:v>
                </c:pt>
                <c:pt idx="1">
                  <c:v>2.2873719657568508</c:v>
                </c:pt>
                <c:pt idx="2">
                  <c:v>3.0030541458946796</c:v>
                </c:pt>
                <c:pt idx="3">
                  <c:v>2.9556925608835405</c:v>
                </c:pt>
                <c:pt idx="4">
                  <c:v>2.9953501936264453</c:v>
                </c:pt>
                <c:pt idx="5">
                  <c:v>5.6220726078758512</c:v>
                </c:pt>
                <c:pt idx="6">
                  <c:v>2.9622185245342081</c:v>
                </c:pt>
                <c:pt idx="8">
                  <c:v>8.2924399431698372</c:v>
                </c:pt>
              </c:numCache>
            </c:numRef>
          </c:yVal>
          <c:smooth val="0"/>
        </c:ser>
        <c:ser>
          <c:idx val="0"/>
          <c:order val="1"/>
          <c:tx>
            <c:strRef>
              <c:f>CSP!$U$14</c:f>
              <c:strCache>
                <c:ptCount val="1"/>
                <c:pt idx="0">
                  <c:v>Tower</c:v>
                </c:pt>
              </c:strCache>
            </c:strRef>
          </c:tx>
          <c:spPr>
            <a:ln w="28575">
              <a:noFill/>
            </a:ln>
          </c:spPr>
          <c:marker>
            <c:symbol val="diamond"/>
            <c:size val="5"/>
          </c:marker>
          <c:xVal>
            <c:numRef>
              <c:f>CSP!$D$14:$D$27</c:f>
              <c:numCache>
                <c:formatCode>General</c:formatCode>
                <c:ptCount val="14"/>
                <c:pt idx="0">
                  <c:v>10000</c:v>
                </c:pt>
                <c:pt idx="1">
                  <c:v>150000</c:v>
                </c:pt>
                <c:pt idx="2">
                  <c:v>100000</c:v>
                </c:pt>
                <c:pt idx="3">
                  <c:v>150000</c:v>
                </c:pt>
                <c:pt idx="4">
                  <c:v>110000</c:v>
                </c:pt>
                <c:pt idx="5">
                  <c:v>200000</c:v>
                </c:pt>
                <c:pt idx="6">
                  <c:v>5000</c:v>
                </c:pt>
                <c:pt idx="7">
                  <c:v>250000</c:v>
                </c:pt>
                <c:pt idx="8">
                  <c:v>250000</c:v>
                </c:pt>
                <c:pt idx="9">
                  <c:v>250000</c:v>
                </c:pt>
                <c:pt idx="10">
                  <c:v>250000</c:v>
                </c:pt>
                <c:pt idx="11">
                  <c:v>250000</c:v>
                </c:pt>
                <c:pt idx="12">
                  <c:v>13000</c:v>
                </c:pt>
                <c:pt idx="13">
                  <c:v>377000</c:v>
                </c:pt>
              </c:numCache>
            </c:numRef>
          </c:xVal>
          <c:yVal>
            <c:numRef>
              <c:f>CSP!$AK$14:$AK$27</c:f>
              <c:numCache>
                <c:formatCode>General</c:formatCode>
                <c:ptCount val="14"/>
                <c:pt idx="0">
                  <c:v>4.0157584445848</c:v>
                </c:pt>
                <c:pt idx="1">
                  <c:v>3.825293885263092</c:v>
                </c:pt>
                <c:pt idx="2">
                  <c:v>3.0602169373719041</c:v>
                </c:pt>
                <c:pt idx="3">
                  <c:v>3.3044156689732209</c:v>
                </c:pt>
                <c:pt idx="4">
                  <c:v>2.8368688446650387</c:v>
                </c:pt>
                <c:pt idx="5">
                  <c:v>2.5414502035519901</c:v>
                </c:pt>
                <c:pt idx="6">
                  <c:v>10.124808514558968</c:v>
                </c:pt>
                <c:pt idx="7">
                  <c:v>2.6860283143383663</c:v>
                </c:pt>
                <c:pt idx="8">
                  <c:v>2.6860283143383663</c:v>
                </c:pt>
                <c:pt idx="9">
                  <c:v>3.1656641151557046</c:v>
                </c:pt>
                <c:pt idx="10">
                  <c:v>3.1656641151557046</c:v>
                </c:pt>
                <c:pt idx="11">
                  <c:v>3.1656641151557046</c:v>
                </c:pt>
                <c:pt idx="12">
                  <c:v>7.975366134221332</c:v>
                </c:pt>
                <c:pt idx="13">
                  <c:v>4.0332887793419729</c:v>
                </c:pt>
              </c:numCache>
            </c:numRef>
          </c:yVal>
          <c:smooth val="0"/>
        </c:ser>
        <c:ser>
          <c:idx val="1"/>
          <c:order val="2"/>
          <c:tx>
            <c:strRef>
              <c:f>CSP!$B$75</c:f>
              <c:strCache>
                <c:ptCount val="1"/>
                <c:pt idx="0">
                  <c:v>Dish Sterling</c:v>
                </c:pt>
              </c:strCache>
            </c:strRef>
          </c:tx>
          <c:spPr>
            <a:ln w="28575">
              <a:noFill/>
            </a:ln>
          </c:spPr>
          <c:marker>
            <c:symbol val="square"/>
            <c:size val="5"/>
          </c:marker>
          <c:xVal>
            <c:numRef>
              <c:f>CSP!$D$13</c:f>
              <c:numCache>
                <c:formatCode>General</c:formatCode>
                <c:ptCount val="1"/>
                <c:pt idx="0">
                  <c:v>1500</c:v>
                </c:pt>
              </c:numCache>
            </c:numRef>
          </c:xVal>
          <c:yVal>
            <c:numRef>
              <c:f>CSP!$AK$13</c:f>
              <c:numCache>
                <c:formatCode>General</c:formatCode>
                <c:ptCount val="1"/>
                <c:pt idx="0">
                  <c:v>5.3429839496762153</c:v>
                </c:pt>
              </c:numCache>
            </c:numRef>
          </c:yVal>
          <c:smooth val="0"/>
        </c:ser>
        <c:ser>
          <c:idx val="3"/>
          <c:order val="3"/>
          <c:tx>
            <c:strRef>
              <c:f>CSP!$U$12</c:f>
              <c:strCache>
                <c:ptCount val="1"/>
                <c:pt idx="0">
                  <c:v>Linear Fresnel</c:v>
                </c:pt>
              </c:strCache>
            </c:strRef>
          </c:tx>
          <c:spPr>
            <a:ln w="28575">
              <a:noFill/>
            </a:ln>
          </c:spPr>
          <c:marker>
            <c:symbol val="circle"/>
            <c:size val="5"/>
          </c:marker>
          <c:xVal>
            <c:numRef>
              <c:f>CSP!$D$12</c:f>
              <c:numCache>
                <c:formatCode>General</c:formatCode>
                <c:ptCount val="1"/>
                <c:pt idx="0">
                  <c:v>7500</c:v>
                </c:pt>
              </c:numCache>
            </c:numRef>
          </c:xVal>
          <c:yVal>
            <c:numRef>
              <c:f>CSP!$AK$12</c:f>
              <c:numCache>
                <c:formatCode>General</c:formatCode>
                <c:ptCount val="1"/>
                <c:pt idx="0">
                  <c:v>4.0144593945461162</c:v>
                </c:pt>
              </c:numCache>
            </c:numRef>
          </c:yVal>
          <c:smooth val="0"/>
        </c:ser>
        <c:dLbls>
          <c:showLegendKey val="0"/>
          <c:showVal val="0"/>
          <c:showCatName val="0"/>
          <c:showSerName val="0"/>
          <c:showPercent val="0"/>
          <c:showBubbleSize val="0"/>
        </c:dLbls>
        <c:axId val="115069312"/>
        <c:axId val="115071616"/>
      </c:scatterChart>
      <c:valAx>
        <c:axId val="115069312"/>
        <c:scaling>
          <c:orientation val="minMax"/>
        </c:scaling>
        <c:delete val="0"/>
        <c:axPos val="b"/>
        <c:title>
          <c:tx>
            <c:rich>
              <a:bodyPr/>
              <a:lstStyle/>
              <a:p>
                <a:pPr>
                  <a:defRPr/>
                </a:pPr>
                <a:r>
                  <a:rPr lang="en-US"/>
                  <a:t>Capacity (MW-AC)</a:t>
                </a:r>
              </a:p>
            </c:rich>
          </c:tx>
          <c:overlay val="0"/>
        </c:title>
        <c:numFmt formatCode="General" sourceLinked="1"/>
        <c:majorTickMark val="out"/>
        <c:minorTickMark val="none"/>
        <c:tickLblPos val="nextTo"/>
        <c:crossAx val="115071616"/>
        <c:crosses val="autoZero"/>
        <c:crossBetween val="midCat"/>
        <c:dispUnits>
          <c:builtInUnit val="thousands"/>
        </c:dispUnits>
      </c:valAx>
      <c:valAx>
        <c:axId val="115071616"/>
        <c:scaling>
          <c:orientation val="minMax"/>
        </c:scaling>
        <c:delete val="0"/>
        <c:axPos val="l"/>
        <c:title>
          <c:tx>
            <c:rich>
              <a:bodyPr rot="-5400000" vert="horz"/>
              <a:lstStyle/>
              <a:p>
                <a:pPr>
                  <a:defRPr/>
                </a:pPr>
                <a:r>
                  <a:rPr lang="en-US"/>
                  <a:t>Total Land Use (Acres/GWh/yr)</a:t>
                </a:r>
              </a:p>
            </c:rich>
          </c:tx>
          <c:overlay val="0"/>
        </c:title>
        <c:numFmt formatCode="0" sourceLinked="0"/>
        <c:majorTickMark val="out"/>
        <c:minorTickMark val="none"/>
        <c:tickLblPos val="nextTo"/>
        <c:crossAx val="115069312"/>
        <c:crosses val="autoZero"/>
        <c:crossBetween val="midCat"/>
      </c:valAx>
    </c:plotArea>
    <c:legend>
      <c:legendPos val="r"/>
      <c:layout>
        <c:manualLayout>
          <c:xMode val="edge"/>
          <c:yMode val="edge"/>
          <c:x val="0.79772760192446057"/>
          <c:y val="7.1107019851031281E-2"/>
          <c:w val="0.17441664936765791"/>
          <c:h val="0.37265938712789104"/>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4714899768195"/>
          <c:y val="7.66379022766039E-2"/>
          <c:w val="0.8202120658830494"/>
          <c:h val="0.75802642316769264"/>
        </c:manualLayout>
      </c:layout>
      <c:scatterChart>
        <c:scatterStyle val="lineMarker"/>
        <c:varyColors val="0"/>
        <c:ser>
          <c:idx val="2"/>
          <c:order val="0"/>
          <c:tx>
            <c:strRef>
              <c:f>CSP!$B$73</c:f>
              <c:strCache>
                <c:ptCount val="1"/>
                <c:pt idx="0">
                  <c:v>Parabolic Trough</c:v>
                </c:pt>
              </c:strCache>
            </c:strRef>
          </c:tx>
          <c:spPr>
            <a:ln w="28575">
              <a:noFill/>
            </a:ln>
          </c:spPr>
          <c:marker>
            <c:symbol val="triangle"/>
            <c:size val="5"/>
          </c:marker>
          <c:xVal>
            <c:numRef>
              <c:f>CSP!$D$3:$D$11</c:f>
              <c:numCache>
                <c:formatCode>General</c:formatCode>
                <c:ptCount val="9"/>
                <c:pt idx="0">
                  <c:v>354000</c:v>
                </c:pt>
                <c:pt idx="1">
                  <c:v>50000</c:v>
                </c:pt>
                <c:pt idx="2">
                  <c:v>57000</c:v>
                </c:pt>
                <c:pt idx="3">
                  <c:v>250000</c:v>
                </c:pt>
                <c:pt idx="4">
                  <c:v>280000</c:v>
                </c:pt>
                <c:pt idx="5">
                  <c:v>75000</c:v>
                </c:pt>
                <c:pt idx="6">
                  <c:v>64000</c:v>
                </c:pt>
                <c:pt idx="8">
                  <c:v>250000</c:v>
                </c:pt>
              </c:numCache>
            </c:numRef>
          </c:xVal>
          <c:yVal>
            <c:numRef>
              <c:f>CSP!$AL$3:$AL$11</c:f>
              <c:numCache>
                <c:formatCode>General</c:formatCode>
                <c:ptCount val="9"/>
                <c:pt idx="0">
                  <c:v>2.4352595541068882</c:v>
                </c:pt>
                <c:pt idx="1">
                  <c:v>1.9852662344304741</c:v>
                </c:pt>
                <c:pt idx="2">
                  <c:v>1.9914152161105301</c:v>
                </c:pt>
                <c:pt idx="4">
                  <c:v>1.8632485739368623</c:v>
                </c:pt>
                <c:pt idx="5">
                  <c:v>4.4976580863006808</c:v>
                </c:pt>
                <c:pt idx="6">
                  <c:v>2.1476084302873009</c:v>
                </c:pt>
                <c:pt idx="8">
                  <c:v>3.2168948055400226</c:v>
                </c:pt>
              </c:numCache>
            </c:numRef>
          </c:yVal>
          <c:smooth val="0"/>
        </c:ser>
        <c:ser>
          <c:idx val="0"/>
          <c:order val="1"/>
          <c:tx>
            <c:strRef>
              <c:f>CSP!$B$74</c:f>
              <c:strCache>
                <c:ptCount val="1"/>
                <c:pt idx="0">
                  <c:v>Tower</c:v>
                </c:pt>
              </c:strCache>
            </c:strRef>
          </c:tx>
          <c:spPr>
            <a:ln w="28575">
              <a:noFill/>
            </a:ln>
          </c:spPr>
          <c:marker>
            <c:symbol val="diamond"/>
            <c:size val="5"/>
          </c:marker>
          <c:xVal>
            <c:numRef>
              <c:f>CSP!$D$14:$D$27</c:f>
              <c:numCache>
                <c:formatCode>General</c:formatCode>
                <c:ptCount val="14"/>
                <c:pt idx="0">
                  <c:v>10000</c:v>
                </c:pt>
                <c:pt idx="1">
                  <c:v>150000</c:v>
                </c:pt>
                <c:pt idx="2">
                  <c:v>100000</c:v>
                </c:pt>
                <c:pt idx="3">
                  <c:v>150000</c:v>
                </c:pt>
                <c:pt idx="4">
                  <c:v>110000</c:v>
                </c:pt>
                <c:pt idx="5">
                  <c:v>200000</c:v>
                </c:pt>
                <c:pt idx="6">
                  <c:v>5000</c:v>
                </c:pt>
                <c:pt idx="7">
                  <c:v>250000</c:v>
                </c:pt>
                <c:pt idx="8">
                  <c:v>250000</c:v>
                </c:pt>
                <c:pt idx="9">
                  <c:v>250000</c:v>
                </c:pt>
                <c:pt idx="10">
                  <c:v>250000</c:v>
                </c:pt>
                <c:pt idx="11">
                  <c:v>250000</c:v>
                </c:pt>
                <c:pt idx="12">
                  <c:v>13000</c:v>
                </c:pt>
                <c:pt idx="13">
                  <c:v>377000</c:v>
                </c:pt>
              </c:numCache>
            </c:numRef>
          </c:xVal>
          <c:yVal>
            <c:numRef>
              <c:f>CSP!$AL$14:$AL$27</c:f>
              <c:numCache>
                <c:formatCode>General</c:formatCode>
                <c:ptCount val="14"/>
                <c:pt idx="0">
                  <c:v>3.3464653704873335</c:v>
                </c:pt>
                <c:pt idx="1">
                  <c:v>2.1069001477425622</c:v>
                </c:pt>
                <c:pt idx="4">
                  <c:v>2.7074367036271965</c:v>
                </c:pt>
                <c:pt idx="5">
                  <c:v>2.2610435310934207</c:v>
                </c:pt>
                <c:pt idx="6">
                  <c:v>4.406316665536063</c:v>
                </c:pt>
                <c:pt idx="7">
                  <c:v>2.5541836318357816</c:v>
                </c:pt>
                <c:pt idx="8">
                  <c:v>2.5541836318357816</c:v>
                </c:pt>
                <c:pt idx="12">
                  <c:v>5.2859984843094878</c:v>
                </c:pt>
                <c:pt idx="13">
                  <c:v>3.7123822181715482</c:v>
                </c:pt>
              </c:numCache>
            </c:numRef>
          </c:yVal>
          <c:smooth val="0"/>
        </c:ser>
        <c:ser>
          <c:idx val="1"/>
          <c:order val="2"/>
          <c:tx>
            <c:strRef>
              <c:f>CSP!$B$75</c:f>
              <c:strCache>
                <c:ptCount val="1"/>
                <c:pt idx="0">
                  <c:v>Dish Sterling</c:v>
                </c:pt>
              </c:strCache>
            </c:strRef>
          </c:tx>
          <c:spPr>
            <a:ln w="28575">
              <a:noFill/>
            </a:ln>
          </c:spPr>
          <c:marker>
            <c:symbol val="square"/>
            <c:size val="5"/>
          </c:marker>
          <c:xVal>
            <c:numRef>
              <c:f>CSP!$D$13</c:f>
              <c:numCache>
                <c:formatCode>General</c:formatCode>
                <c:ptCount val="1"/>
                <c:pt idx="0">
                  <c:v>1500</c:v>
                </c:pt>
              </c:numCache>
            </c:numRef>
          </c:xVal>
          <c:yVal>
            <c:numRef>
              <c:f>CSP!$AL$13</c:f>
              <c:numCache>
                <c:formatCode>General</c:formatCode>
                <c:ptCount val="1"/>
                <c:pt idx="0">
                  <c:v>1.5067214738086929</c:v>
                </c:pt>
              </c:numCache>
            </c:numRef>
          </c:yVal>
          <c:smooth val="0"/>
        </c:ser>
        <c:ser>
          <c:idx val="3"/>
          <c:order val="3"/>
          <c:tx>
            <c:strRef>
              <c:f>CSP!$B$76</c:f>
              <c:strCache>
                <c:ptCount val="1"/>
                <c:pt idx="0">
                  <c:v>Linear Fresnel</c:v>
                </c:pt>
              </c:strCache>
            </c:strRef>
          </c:tx>
          <c:spPr>
            <a:ln w="28575">
              <a:noFill/>
            </a:ln>
          </c:spPr>
          <c:marker>
            <c:symbol val="circle"/>
            <c:size val="5"/>
          </c:marker>
          <c:xVal>
            <c:numRef>
              <c:f>CSP!$D$12</c:f>
              <c:numCache>
                <c:formatCode>General</c:formatCode>
                <c:ptCount val="1"/>
                <c:pt idx="0">
                  <c:v>7500</c:v>
                </c:pt>
              </c:numCache>
            </c:numRef>
          </c:xVal>
          <c:yVal>
            <c:numRef>
              <c:f>CSP!$AL$12</c:f>
              <c:numCache>
                <c:formatCode>General</c:formatCode>
                <c:ptCount val="1"/>
                <c:pt idx="0">
                  <c:v>1.7090127136782036</c:v>
                </c:pt>
              </c:numCache>
            </c:numRef>
          </c:yVal>
          <c:smooth val="0"/>
        </c:ser>
        <c:dLbls>
          <c:showLegendKey val="0"/>
          <c:showVal val="0"/>
          <c:showCatName val="0"/>
          <c:showSerName val="0"/>
          <c:showPercent val="0"/>
          <c:showBubbleSize val="0"/>
        </c:dLbls>
        <c:axId val="115332224"/>
        <c:axId val="115334528"/>
      </c:scatterChart>
      <c:valAx>
        <c:axId val="115332224"/>
        <c:scaling>
          <c:orientation val="minMax"/>
        </c:scaling>
        <c:delete val="0"/>
        <c:axPos val="b"/>
        <c:title>
          <c:tx>
            <c:rich>
              <a:bodyPr/>
              <a:lstStyle/>
              <a:p>
                <a:pPr>
                  <a:defRPr/>
                </a:pPr>
                <a:r>
                  <a:rPr lang="en-US"/>
                  <a:t>Capacity (MW-AC)</a:t>
                </a:r>
              </a:p>
            </c:rich>
          </c:tx>
          <c:overlay val="0"/>
        </c:title>
        <c:numFmt formatCode="General" sourceLinked="1"/>
        <c:majorTickMark val="out"/>
        <c:minorTickMark val="none"/>
        <c:tickLblPos val="nextTo"/>
        <c:crossAx val="115334528"/>
        <c:crosses val="autoZero"/>
        <c:crossBetween val="midCat"/>
        <c:dispUnits>
          <c:builtInUnit val="thousands"/>
        </c:dispUnits>
      </c:valAx>
      <c:valAx>
        <c:axId val="115334528"/>
        <c:scaling>
          <c:orientation val="minMax"/>
        </c:scaling>
        <c:delete val="0"/>
        <c:axPos val="l"/>
        <c:title>
          <c:tx>
            <c:rich>
              <a:bodyPr rot="-5400000" vert="horz"/>
              <a:lstStyle/>
              <a:p>
                <a:pPr>
                  <a:defRPr/>
                </a:pPr>
                <a:r>
                  <a:rPr lang="en-US"/>
                  <a:t>Direct Land Use (Acres/GWh/yr)</a:t>
                </a:r>
              </a:p>
            </c:rich>
          </c:tx>
          <c:overlay val="0"/>
        </c:title>
        <c:numFmt formatCode="0" sourceLinked="0"/>
        <c:majorTickMark val="out"/>
        <c:minorTickMark val="none"/>
        <c:tickLblPos val="nextTo"/>
        <c:crossAx val="115332224"/>
        <c:crosses val="autoZero"/>
        <c:crossBetween val="midCat"/>
      </c:valAx>
    </c:plotArea>
    <c:legend>
      <c:legendPos val="r"/>
      <c:layout>
        <c:manualLayout>
          <c:xMode val="edge"/>
          <c:yMode val="edge"/>
          <c:x val="0.70599889795274307"/>
          <c:y val="2.5119470823528101E-2"/>
          <c:w val="0.17441664936765791"/>
          <c:h val="0.37978189425039821"/>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Small PV</a:t>
            </a:r>
          </a:p>
        </c:rich>
      </c:tx>
      <c:layout>
        <c:manualLayout>
          <c:xMode val="edge"/>
          <c:yMode val="edge"/>
          <c:x val="0.43686093215620775"/>
          <c:y val="4.0494075620739096E-2"/>
        </c:manualLayout>
      </c:layout>
      <c:overlay val="1"/>
    </c:title>
    <c:autoTitleDeleted val="0"/>
    <c:plotArea>
      <c:layout>
        <c:manualLayout>
          <c:layoutTarget val="inner"/>
          <c:xMode val="edge"/>
          <c:yMode val="edge"/>
          <c:x val="0.10954714899768191"/>
          <c:y val="7.66379022766039E-2"/>
          <c:w val="0.82021206588304985"/>
          <c:h val="0.75802642316769264"/>
        </c:manualLayout>
      </c:layout>
      <c:scatterChart>
        <c:scatterStyle val="lineMarker"/>
        <c:varyColors val="0"/>
        <c:ser>
          <c:idx val="2"/>
          <c:order val="0"/>
          <c:tx>
            <c:strRef>
              <c:f>Data!$C$311</c:f>
              <c:strCache>
                <c:ptCount val="1"/>
                <c:pt idx="0">
                  <c:v>Fixed</c:v>
                </c:pt>
              </c:strCache>
            </c:strRef>
          </c:tx>
          <c:spPr>
            <a:ln w="28575">
              <a:noFill/>
            </a:ln>
          </c:spPr>
          <c:marker>
            <c:symbol val="triangle"/>
            <c:size val="4"/>
          </c:marker>
          <c:xVal>
            <c:numRef>
              <c:f>Data!$F$66:$F$116</c:f>
              <c:numCache>
                <c:formatCode>0</c:formatCode>
                <c:ptCount val="51"/>
                <c:pt idx="0">
                  <c:v>600</c:v>
                </c:pt>
                <c:pt idx="1">
                  <c:v>1000</c:v>
                </c:pt>
                <c:pt idx="2">
                  <c:v>1188.6400000000001</c:v>
                </c:pt>
                <c:pt idx="3">
                  <c:v>1000</c:v>
                </c:pt>
                <c:pt idx="4">
                  <c:v>1100</c:v>
                </c:pt>
                <c:pt idx="5">
                  <c:v>1120</c:v>
                </c:pt>
                <c:pt idx="6">
                  <c:v>1180</c:v>
                </c:pt>
                <c:pt idx="7">
                  <c:v>1190</c:v>
                </c:pt>
                <c:pt idx="8">
                  <c:v>1160.0999999999999</c:v>
                </c:pt>
                <c:pt idx="9">
                  <c:v>1200</c:v>
                </c:pt>
                <c:pt idx="10">
                  <c:v>1200</c:v>
                </c:pt>
                <c:pt idx="11">
                  <c:v>1200</c:v>
                </c:pt>
                <c:pt idx="12">
                  <c:v>1250</c:v>
                </c:pt>
                <c:pt idx="13">
                  <c:v>1291</c:v>
                </c:pt>
                <c:pt idx="14">
                  <c:v>3300</c:v>
                </c:pt>
                <c:pt idx="15">
                  <c:v>1300</c:v>
                </c:pt>
                <c:pt idx="16">
                  <c:v>1305</c:v>
                </c:pt>
                <c:pt idx="17">
                  <c:v>1400</c:v>
                </c:pt>
                <c:pt idx="18">
                  <c:v>1600</c:v>
                </c:pt>
                <c:pt idx="19">
                  <c:v>1660</c:v>
                </c:pt>
                <c:pt idx="20">
                  <c:v>1850</c:v>
                </c:pt>
                <c:pt idx="21">
                  <c:v>2000</c:v>
                </c:pt>
                <c:pt idx="22">
                  <c:v>2000</c:v>
                </c:pt>
                <c:pt idx="23">
                  <c:v>2000</c:v>
                </c:pt>
                <c:pt idx="24">
                  <c:v>2100</c:v>
                </c:pt>
                <c:pt idx="25">
                  <c:v>2592</c:v>
                </c:pt>
                <c:pt idx="26">
                  <c:v>2151</c:v>
                </c:pt>
                <c:pt idx="27">
                  <c:v>3000</c:v>
                </c:pt>
                <c:pt idx="28">
                  <c:v>3000</c:v>
                </c:pt>
                <c:pt idx="29">
                  <c:v>3000</c:v>
                </c:pt>
                <c:pt idx="30">
                  <c:v>4100</c:v>
                </c:pt>
                <c:pt idx="31">
                  <c:v>4400</c:v>
                </c:pt>
                <c:pt idx="32">
                  <c:v>4500</c:v>
                </c:pt>
                <c:pt idx="33">
                  <c:v>5000</c:v>
                </c:pt>
                <c:pt idx="34">
                  <c:v>5000</c:v>
                </c:pt>
                <c:pt idx="35">
                  <c:v>5000</c:v>
                </c:pt>
                <c:pt idx="36" formatCode="General">
                  <c:v>6200</c:v>
                </c:pt>
                <c:pt idx="37" formatCode="General">
                  <c:v>5742</c:v>
                </c:pt>
                <c:pt idx="38">
                  <c:v>6480</c:v>
                </c:pt>
                <c:pt idx="39">
                  <c:v>6768</c:v>
                </c:pt>
                <c:pt idx="40" formatCode="General">
                  <c:v>10000</c:v>
                </c:pt>
                <c:pt idx="41">
                  <c:v>11745.254232357105</c:v>
                </c:pt>
                <c:pt idx="42">
                  <c:v>12000</c:v>
                </c:pt>
                <c:pt idx="43">
                  <c:v>12600</c:v>
                </c:pt>
                <c:pt idx="44">
                  <c:v>12502</c:v>
                </c:pt>
                <c:pt idx="45">
                  <c:v>15010</c:v>
                </c:pt>
                <c:pt idx="46">
                  <c:v>16100</c:v>
                </c:pt>
                <c:pt idx="47">
                  <c:v>17400</c:v>
                </c:pt>
                <c:pt idx="48" formatCode="General">
                  <c:v>20000</c:v>
                </c:pt>
                <c:pt idx="49">
                  <c:v>20295.799313513078</c:v>
                </c:pt>
                <c:pt idx="50">
                  <c:v>21141.457618242788</c:v>
                </c:pt>
              </c:numCache>
            </c:numRef>
          </c:xVal>
          <c:yVal>
            <c:numRef>
              <c:f>Data!$M$66:$M$116</c:f>
              <c:numCache>
                <c:formatCode>0.00</c:formatCode>
                <c:ptCount val="51"/>
                <c:pt idx="0">
                  <c:v>11.6462299939241</c:v>
                </c:pt>
                <c:pt idx="1">
                  <c:v>5.6964483026931951</c:v>
                </c:pt>
                <c:pt idx="2">
                  <c:v>6.3938618925831197</c:v>
                </c:pt>
                <c:pt idx="3">
                  <c:v>6.1111111111111107</c:v>
                </c:pt>
                <c:pt idx="4">
                  <c:v>10.410566251407433</c:v>
                </c:pt>
                <c:pt idx="5">
                  <c:v>3.9849969716925888</c:v>
                </c:pt>
                <c:pt idx="6">
                  <c:v>3.9814421126634252</c:v>
                </c:pt>
                <c:pt idx="7">
                  <c:v>9.2777638474081332</c:v>
                </c:pt>
                <c:pt idx="8">
                  <c:v>7.260609891230863</c:v>
                </c:pt>
                <c:pt idx="9">
                  <c:v>4.2087160999279618</c:v>
                </c:pt>
                <c:pt idx="10">
                  <c:v>5.8726271161785517</c:v>
                </c:pt>
                <c:pt idx="11">
                  <c:v>5.8726271161785517</c:v>
                </c:pt>
                <c:pt idx="12">
                  <c:v>7.9867728780028315</c:v>
                </c:pt>
                <c:pt idx="13">
                  <c:v>8.1880161186068126</c:v>
                </c:pt>
                <c:pt idx="14">
                  <c:v>4.6731875172984489</c:v>
                </c:pt>
                <c:pt idx="15">
                  <c:v>4.9691460213818521</c:v>
                </c:pt>
                <c:pt idx="16">
                  <c:v>9.0001948140667469</c:v>
                </c:pt>
                <c:pt idx="17">
                  <c:v>6.8250000000000002</c:v>
                </c:pt>
                <c:pt idx="18">
                  <c:v>6.6067055057008712</c:v>
                </c:pt>
                <c:pt idx="19">
                  <c:v>8.4197906846415407</c:v>
                </c:pt>
                <c:pt idx="20">
                  <c:v>5.8726271161785526</c:v>
                </c:pt>
                <c:pt idx="21">
                  <c:v>7.3407838952231907</c:v>
                </c:pt>
                <c:pt idx="22">
                  <c:v>5.3851990655357325</c:v>
                </c:pt>
                <c:pt idx="23">
                  <c:v>10.864360164930321</c:v>
                </c:pt>
                <c:pt idx="24">
                  <c:v>4.4743825647074686</c:v>
                </c:pt>
                <c:pt idx="25">
                  <c:v>6.85</c:v>
                </c:pt>
                <c:pt idx="26">
                  <c:v>6.7098975782062533</c:v>
                </c:pt>
                <c:pt idx="27">
                  <c:v>9.0829966063561614</c:v>
                </c:pt>
                <c:pt idx="28">
                  <c:v>6.4598898277964079</c:v>
                </c:pt>
                <c:pt idx="29">
                  <c:v>5.0896101673547456</c:v>
                </c:pt>
                <c:pt idx="30">
                  <c:v>8.0211492318536326</c:v>
                </c:pt>
                <c:pt idx="31">
                  <c:v>8.0081278856980251</c:v>
                </c:pt>
                <c:pt idx="32">
                  <c:v>4.9591073425507775</c:v>
                </c:pt>
                <c:pt idx="33">
                  <c:v>5.8726271161785526</c:v>
                </c:pt>
                <c:pt idx="34">
                  <c:v>3.0537661004128474</c:v>
                </c:pt>
                <c:pt idx="35">
                  <c:v>11.745254232357105</c:v>
                </c:pt>
                <c:pt idx="36">
                  <c:v>9.74</c:v>
                </c:pt>
                <c:pt idx="37">
                  <c:v>3</c:v>
                </c:pt>
                <c:pt idx="38">
                  <c:v>13.14800901577761</c:v>
                </c:pt>
                <c:pt idx="39">
                  <c:v>5.5533116937858651</c:v>
                </c:pt>
                <c:pt idx="40">
                  <c:v>7.0471525394142631</c:v>
                </c:pt>
                <c:pt idx="41">
                  <c:v>4.5</c:v>
                </c:pt>
                <c:pt idx="42">
                  <c:v>8</c:v>
                </c:pt>
                <c:pt idx="43">
                  <c:v>7.7</c:v>
                </c:pt>
                <c:pt idx="44">
                  <c:v>9.8000000000000007</c:v>
                </c:pt>
                <c:pt idx="45">
                  <c:v>7.6190476190476195</c:v>
                </c:pt>
                <c:pt idx="46">
                  <c:v>7.7142857142857144</c:v>
                </c:pt>
                <c:pt idx="47">
                  <c:v>9.1126972492425811</c:v>
                </c:pt>
                <c:pt idx="48">
                  <c:v>5.8726271161785526</c:v>
                </c:pt>
                <c:pt idx="49">
                  <c:v>11.574074074074073</c:v>
                </c:pt>
                <c:pt idx="50">
                  <c:v>7.7333333333333325</c:v>
                </c:pt>
              </c:numCache>
            </c:numRef>
          </c:yVal>
          <c:smooth val="0"/>
        </c:ser>
        <c:ser>
          <c:idx val="0"/>
          <c:order val="1"/>
          <c:tx>
            <c:strRef>
              <c:f>Data!$C$312</c:f>
              <c:strCache>
                <c:ptCount val="1"/>
                <c:pt idx="0">
                  <c:v>1 Axis</c:v>
                </c:pt>
              </c:strCache>
            </c:strRef>
          </c:tx>
          <c:spPr>
            <a:ln w="28575">
              <a:noFill/>
            </a:ln>
          </c:spPr>
          <c:marker>
            <c:symbol val="diamond"/>
            <c:size val="4"/>
          </c:marker>
          <c:xVal>
            <c:numRef>
              <c:f>Data!$F$3:$F$57</c:f>
              <c:numCache>
                <c:formatCode>0</c:formatCode>
                <c:ptCount val="55"/>
                <c:pt idx="0">
                  <c:v>596</c:v>
                </c:pt>
                <c:pt idx="1">
                  <c:v>633</c:v>
                </c:pt>
                <c:pt idx="2">
                  <c:v>600</c:v>
                </c:pt>
                <c:pt idx="3">
                  <c:v>720.72</c:v>
                </c:pt>
                <c:pt idx="4">
                  <c:v>1069</c:v>
                </c:pt>
                <c:pt idx="5">
                  <c:v>1000</c:v>
                </c:pt>
                <c:pt idx="6">
                  <c:v>1000</c:v>
                </c:pt>
                <c:pt idx="7">
                  <c:v>1000</c:v>
                </c:pt>
                <c:pt idx="8">
                  <c:v>1088.96</c:v>
                </c:pt>
                <c:pt idx="9">
                  <c:v>1100</c:v>
                </c:pt>
                <c:pt idx="10">
                  <c:v>1102.08</c:v>
                </c:pt>
                <c:pt idx="11">
                  <c:v>1120</c:v>
                </c:pt>
                <c:pt idx="12">
                  <c:v>1000</c:v>
                </c:pt>
                <c:pt idx="13">
                  <c:v>1179.52</c:v>
                </c:pt>
                <c:pt idx="14">
                  <c:v>1083</c:v>
                </c:pt>
                <c:pt idx="15">
                  <c:v>1140.48</c:v>
                </c:pt>
                <c:pt idx="16">
                  <c:v>1159.2</c:v>
                </c:pt>
                <c:pt idx="17">
                  <c:v>1189</c:v>
                </c:pt>
                <c:pt idx="18">
                  <c:v>1727</c:v>
                </c:pt>
                <c:pt idx="19">
                  <c:v>2000</c:v>
                </c:pt>
                <c:pt idx="20">
                  <c:v>2000</c:v>
                </c:pt>
                <c:pt idx="21">
                  <c:v>2000</c:v>
                </c:pt>
                <c:pt idx="22">
                  <c:v>2200</c:v>
                </c:pt>
                <c:pt idx="23">
                  <c:v>2830</c:v>
                </c:pt>
                <c:pt idx="24">
                  <c:v>3000</c:v>
                </c:pt>
                <c:pt idx="25">
                  <c:v>4100</c:v>
                </c:pt>
                <c:pt idx="26">
                  <c:v>4400</c:v>
                </c:pt>
                <c:pt idx="27" formatCode="General">
                  <c:v>4800</c:v>
                </c:pt>
                <c:pt idx="28" formatCode="General">
                  <c:v>5000</c:v>
                </c:pt>
                <c:pt idx="29">
                  <c:v>5300</c:v>
                </c:pt>
                <c:pt idx="30">
                  <c:v>5910</c:v>
                </c:pt>
                <c:pt idx="31" formatCode="General">
                  <c:v>6400</c:v>
                </c:pt>
                <c:pt idx="32">
                  <c:v>6000</c:v>
                </c:pt>
                <c:pt idx="33">
                  <c:v>6000</c:v>
                </c:pt>
                <c:pt idx="34" formatCode="General">
                  <c:v>6100</c:v>
                </c:pt>
                <c:pt idx="35">
                  <c:v>6605</c:v>
                </c:pt>
                <c:pt idx="36" formatCode="General">
                  <c:v>8000</c:v>
                </c:pt>
                <c:pt idx="37" formatCode="General">
                  <c:v>9800</c:v>
                </c:pt>
                <c:pt idx="38">
                  <c:v>10000</c:v>
                </c:pt>
                <c:pt idx="39">
                  <c:v>10000</c:v>
                </c:pt>
                <c:pt idx="40">
                  <c:v>10700</c:v>
                </c:pt>
                <c:pt idx="41">
                  <c:v>10800</c:v>
                </c:pt>
                <c:pt idx="42" formatCode="General">
                  <c:v>12000</c:v>
                </c:pt>
                <c:pt idx="43" formatCode="General">
                  <c:v>11750</c:v>
                </c:pt>
                <c:pt idx="44">
                  <c:v>11745.254232357105</c:v>
                </c:pt>
                <c:pt idx="45" formatCode="General">
                  <c:v>13780</c:v>
                </c:pt>
                <c:pt idx="46">
                  <c:v>14400</c:v>
                </c:pt>
                <c:pt idx="47">
                  <c:v>18000</c:v>
                </c:pt>
                <c:pt idx="48" formatCode="General">
                  <c:v>15000</c:v>
                </c:pt>
                <c:pt idx="49" formatCode="General">
                  <c:v>17000</c:v>
                </c:pt>
                <c:pt idx="50" formatCode="General">
                  <c:v>16438.8</c:v>
                </c:pt>
                <c:pt idx="51" formatCode="General">
                  <c:v>16609</c:v>
                </c:pt>
                <c:pt idx="52">
                  <c:v>17200</c:v>
                </c:pt>
                <c:pt idx="53" formatCode="General">
                  <c:v>20000</c:v>
                </c:pt>
                <c:pt idx="54" formatCode="General">
                  <c:v>21000</c:v>
                </c:pt>
              </c:numCache>
            </c:numRef>
          </c:xVal>
          <c:yVal>
            <c:numRef>
              <c:f>Data!$M$3:$M$57</c:f>
              <c:numCache>
                <c:formatCode>0.00</c:formatCode>
                <c:ptCount val="55"/>
                <c:pt idx="0">
                  <c:v>10.987289652703186</c:v>
                </c:pt>
                <c:pt idx="1">
                  <c:v>11.261346643920726</c:v>
                </c:pt>
                <c:pt idx="2">
                  <c:v>8.784482073296763</c:v>
                </c:pt>
                <c:pt idx="3">
                  <c:v>8.1779074893215995</c:v>
                </c:pt>
                <c:pt idx="4">
                  <c:v>7.8969748511723967</c:v>
                </c:pt>
                <c:pt idx="5">
                  <c:v>5.8726271161785526</c:v>
                </c:pt>
                <c:pt idx="6">
                  <c:v>11.15799152073925</c:v>
                </c:pt>
                <c:pt idx="7">
                  <c:v>12.584269662921347</c:v>
                </c:pt>
                <c:pt idx="8">
                  <c:v>8.6609515280859952</c:v>
                </c:pt>
                <c:pt idx="9">
                  <c:v>9.6097534628376309</c:v>
                </c:pt>
                <c:pt idx="10">
                  <c:v>9.7388473965896711</c:v>
                </c:pt>
                <c:pt idx="11">
                  <c:v>12.10180659298223</c:v>
                </c:pt>
                <c:pt idx="12">
                  <c:v>10.638297872340425</c:v>
                </c:pt>
                <c:pt idx="13">
                  <c:v>12.184660386493812</c:v>
                </c:pt>
                <c:pt idx="14">
                  <c:v>10.66</c:v>
                </c:pt>
                <c:pt idx="15">
                  <c:v>9.1539999999999999</c:v>
                </c:pt>
                <c:pt idx="16">
                  <c:v>11.4</c:v>
                </c:pt>
                <c:pt idx="17">
                  <c:v>9.5</c:v>
                </c:pt>
                <c:pt idx="18">
                  <c:v>8.106543138390272</c:v>
                </c:pt>
                <c:pt idx="19">
                  <c:v>8.8089406742678289</c:v>
                </c:pt>
                <c:pt idx="20">
                  <c:v>5.8491366077138389</c:v>
                </c:pt>
                <c:pt idx="21">
                  <c:v>7.6344152510321184</c:v>
                </c:pt>
                <c:pt idx="22">
                  <c:v>9.0758782704577623</c:v>
                </c:pt>
                <c:pt idx="23">
                  <c:v>7.9685117053447492</c:v>
                </c:pt>
                <c:pt idx="24">
                  <c:v>8.6131864370618771</c:v>
                </c:pt>
                <c:pt idx="25">
                  <c:v>7.1617403855836006</c:v>
                </c:pt>
                <c:pt idx="26">
                  <c:v>4.1909202601819668</c:v>
                </c:pt>
                <c:pt idx="27">
                  <c:v>8.3195550812529486</c:v>
                </c:pt>
                <c:pt idx="28">
                  <c:v>9.3962033858856842</c:v>
                </c:pt>
                <c:pt idx="29">
                  <c:v>5.9834314013894678</c:v>
                </c:pt>
                <c:pt idx="30">
                  <c:v>6.9557343169627526</c:v>
                </c:pt>
                <c:pt idx="31">
                  <c:v>5.74</c:v>
                </c:pt>
                <c:pt idx="32">
                  <c:v>7.8301694882380701</c:v>
                </c:pt>
                <c:pt idx="33">
                  <c:v>8.4174321998559254</c:v>
                </c:pt>
                <c:pt idx="34">
                  <c:v>5.7763545405034931</c:v>
                </c:pt>
                <c:pt idx="35">
                  <c:v>11.22067436883775</c:v>
                </c:pt>
                <c:pt idx="36">
                  <c:v>5.358772243512929</c:v>
                </c:pt>
                <c:pt idx="37">
                  <c:v>7.1909719789941446</c:v>
                </c:pt>
                <c:pt idx="38">
                  <c:v>4.8155542352664131</c:v>
                </c:pt>
                <c:pt idx="39">
                  <c:v>7.0471525394142631</c:v>
                </c:pt>
                <c:pt idx="40">
                  <c:v>10.976873114352433</c:v>
                </c:pt>
                <c:pt idx="41">
                  <c:v>9.3211642616234034</c:v>
                </c:pt>
                <c:pt idx="42">
                  <c:v>7.8563829787234036</c:v>
                </c:pt>
                <c:pt idx="43">
                  <c:v>8</c:v>
                </c:pt>
                <c:pt idx="44">
                  <c:v>10.3</c:v>
                </c:pt>
                <c:pt idx="45">
                  <c:v>10.057619734529306</c:v>
                </c:pt>
                <c:pt idx="46">
                  <c:v>7.3407838952231907</c:v>
                </c:pt>
                <c:pt idx="47">
                  <c:v>10.37037037037037</c:v>
                </c:pt>
                <c:pt idx="48">
                  <c:v>7.1428571428571432</c:v>
                </c:pt>
                <c:pt idx="49">
                  <c:v>8.9816650012142549</c:v>
                </c:pt>
                <c:pt idx="50">
                  <c:v>7.9779999999999998</c:v>
                </c:pt>
                <c:pt idx="51">
                  <c:v>7.774</c:v>
                </c:pt>
                <c:pt idx="52">
                  <c:v>12.903225806451612</c:v>
                </c:pt>
                <c:pt idx="53">
                  <c:v>12.114285714285714</c:v>
                </c:pt>
                <c:pt idx="54">
                  <c:v>8.0555555555555554</c:v>
                </c:pt>
              </c:numCache>
            </c:numRef>
          </c:yVal>
          <c:smooth val="0"/>
        </c:ser>
        <c:ser>
          <c:idx val="1"/>
          <c:order val="2"/>
          <c:tx>
            <c:strRef>
              <c:f>Data!$C$313</c:f>
              <c:strCache>
                <c:ptCount val="1"/>
                <c:pt idx="0">
                  <c:v>2 Axis</c:v>
                </c:pt>
              </c:strCache>
            </c:strRef>
          </c:tx>
          <c:spPr>
            <a:ln w="28575">
              <a:noFill/>
            </a:ln>
          </c:spPr>
          <c:marker>
            <c:symbol val="square"/>
            <c:size val="4"/>
          </c:marker>
          <c:xVal>
            <c:numRef>
              <c:f>Data!$F$58:$F$61</c:f>
              <c:numCache>
                <c:formatCode>0</c:formatCode>
                <c:ptCount val="4"/>
                <c:pt idx="0">
                  <c:v>1014</c:v>
                </c:pt>
                <c:pt idx="1">
                  <c:v>1037</c:v>
                </c:pt>
                <c:pt idx="2">
                  <c:v>1159</c:v>
                </c:pt>
                <c:pt idx="3">
                  <c:v>2200</c:v>
                </c:pt>
              </c:numCache>
            </c:numRef>
          </c:xVal>
          <c:yVal>
            <c:numRef>
              <c:f>Data!$M$58:$M$61</c:f>
              <c:numCache>
                <c:formatCode>0.00</c:formatCode>
                <c:ptCount val="4"/>
                <c:pt idx="0">
                  <c:v>11.583090958932056</c:v>
                </c:pt>
                <c:pt idx="1">
                  <c:v>13.500828821914748</c:v>
                </c:pt>
                <c:pt idx="2">
                  <c:v>9.6272575675058238</c:v>
                </c:pt>
                <c:pt idx="3">
                  <c:v>14.414630194256446</c:v>
                </c:pt>
              </c:numCache>
            </c:numRef>
          </c:yVal>
          <c:smooth val="0"/>
        </c:ser>
        <c:ser>
          <c:idx val="3"/>
          <c:order val="3"/>
          <c:tx>
            <c:v>CPV</c:v>
          </c:tx>
          <c:spPr>
            <a:ln w="28575">
              <a:noFill/>
            </a:ln>
          </c:spPr>
          <c:marker>
            <c:symbol val="circle"/>
            <c:size val="4"/>
          </c:marker>
          <c:xVal>
            <c:numRef>
              <c:f>Data!$F$62:$F$65</c:f>
              <c:numCache>
                <c:formatCode>0</c:formatCode>
                <c:ptCount val="4"/>
                <c:pt idx="0">
                  <c:v>175</c:v>
                </c:pt>
                <c:pt idx="1">
                  <c:v>1047</c:v>
                </c:pt>
                <c:pt idx="2">
                  <c:v>1174.5254232357104</c:v>
                </c:pt>
                <c:pt idx="3">
                  <c:v>6468</c:v>
                </c:pt>
              </c:numCache>
            </c:numRef>
          </c:xVal>
          <c:yVal>
            <c:numRef>
              <c:f>Data!$M$62:$M$65</c:f>
              <c:numCache>
                <c:formatCode>0.00</c:formatCode>
                <c:ptCount val="4"/>
                <c:pt idx="0">
                  <c:v>10.973423239945067</c:v>
                </c:pt>
                <c:pt idx="1">
                  <c:v>7.6282453467075744</c:v>
                </c:pt>
                <c:pt idx="2">
                  <c:v>17</c:v>
                </c:pt>
                <c:pt idx="3">
                  <c:v>7.7380952380952381</c:v>
                </c:pt>
              </c:numCache>
            </c:numRef>
          </c:yVal>
          <c:smooth val="0"/>
        </c:ser>
        <c:dLbls>
          <c:showLegendKey val="0"/>
          <c:showVal val="0"/>
          <c:showCatName val="0"/>
          <c:showSerName val="0"/>
          <c:showPercent val="0"/>
          <c:showBubbleSize val="0"/>
        </c:dLbls>
        <c:axId val="93533312"/>
        <c:axId val="93535616"/>
      </c:scatterChart>
      <c:valAx>
        <c:axId val="93533312"/>
        <c:scaling>
          <c:orientation val="minMax"/>
        </c:scaling>
        <c:delete val="0"/>
        <c:axPos val="b"/>
        <c:title>
          <c:tx>
            <c:rich>
              <a:bodyPr/>
              <a:lstStyle/>
              <a:p>
                <a:pPr>
                  <a:defRPr/>
                </a:pPr>
                <a:r>
                  <a:rPr lang="en-US"/>
                  <a:t>Capacity (MW-DC)</a:t>
                </a:r>
              </a:p>
            </c:rich>
          </c:tx>
          <c:overlay val="0"/>
        </c:title>
        <c:numFmt formatCode="0" sourceLinked="1"/>
        <c:majorTickMark val="out"/>
        <c:minorTickMark val="none"/>
        <c:tickLblPos val="nextTo"/>
        <c:crossAx val="93535616"/>
        <c:crosses val="autoZero"/>
        <c:crossBetween val="midCat"/>
        <c:majorUnit val="2000"/>
        <c:dispUnits>
          <c:builtInUnit val="thousands"/>
        </c:dispUnits>
      </c:valAx>
      <c:valAx>
        <c:axId val="93535616"/>
        <c:scaling>
          <c:orientation val="minMax"/>
        </c:scaling>
        <c:delete val="0"/>
        <c:axPos val="l"/>
        <c:title>
          <c:tx>
            <c:rich>
              <a:bodyPr rot="-5400000" vert="horz"/>
              <a:lstStyle/>
              <a:p>
                <a:pPr>
                  <a:defRPr/>
                </a:pPr>
                <a:r>
                  <a:rPr lang="en-US"/>
                  <a:t>Total Land Use (Acres/MW)</a:t>
                </a:r>
              </a:p>
            </c:rich>
          </c:tx>
          <c:overlay val="0"/>
        </c:title>
        <c:numFmt formatCode="0" sourceLinked="0"/>
        <c:majorTickMark val="out"/>
        <c:minorTickMark val="none"/>
        <c:tickLblPos val="nextTo"/>
        <c:crossAx val="93533312"/>
        <c:crosses val="autoZero"/>
        <c:crossBetween val="midCat"/>
      </c:valAx>
    </c:plotArea>
    <c:legend>
      <c:legendPos val="r"/>
      <c:layout>
        <c:manualLayout>
          <c:xMode val="edge"/>
          <c:yMode val="edge"/>
          <c:x val="0.8225265569076593"/>
          <c:y val="6.5136538783715878E-2"/>
          <c:w val="0.13406938678119781"/>
          <c:h val="0.31993090320578937"/>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tx>
            <c:v>Generation</c:v>
          </c:tx>
          <c:spPr>
            <a:ln w="28575">
              <a:noFill/>
            </a:ln>
          </c:spPr>
          <c:marker>
            <c:symbol val="diamond"/>
            <c:size val="6"/>
          </c:marker>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CSP!$AL$3:$AL$27</c:f>
              <c:numCache>
                <c:formatCode>General</c:formatCode>
                <c:ptCount val="25"/>
                <c:pt idx="0">
                  <c:v>2.4352595541068882</c:v>
                </c:pt>
                <c:pt idx="1">
                  <c:v>1.9852662344304741</c:v>
                </c:pt>
                <c:pt idx="2">
                  <c:v>1.9914152161105301</c:v>
                </c:pt>
                <c:pt idx="4">
                  <c:v>1.8632485739368623</c:v>
                </c:pt>
                <c:pt idx="5">
                  <c:v>4.4976580863006808</c:v>
                </c:pt>
                <c:pt idx="6">
                  <c:v>2.1476084302873009</c:v>
                </c:pt>
                <c:pt idx="8">
                  <c:v>3.2168948055400226</c:v>
                </c:pt>
                <c:pt idx="9">
                  <c:v>1.7090127136782036</c:v>
                </c:pt>
                <c:pt idx="10">
                  <c:v>1.5067214738086929</c:v>
                </c:pt>
                <c:pt idx="11">
                  <c:v>3.3464653704873335</c:v>
                </c:pt>
                <c:pt idx="12">
                  <c:v>2.1069001477425622</c:v>
                </c:pt>
                <c:pt idx="15">
                  <c:v>2.7074367036271965</c:v>
                </c:pt>
                <c:pt idx="16">
                  <c:v>2.2610435310934207</c:v>
                </c:pt>
                <c:pt idx="17">
                  <c:v>4.406316665536063</c:v>
                </c:pt>
                <c:pt idx="18">
                  <c:v>2.5541836318357816</c:v>
                </c:pt>
                <c:pt idx="19">
                  <c:v>2.5541836318357816</c:v>
                </c:pt>
                <c:pt idx="23">
                  <c:v>5.2859984843094878</c:v>
                </c:pt>
                <c:pt idx="24">
                  <c:v>3.7123822181715482</c:v>
                </c:pt>
              </c:numCache>
            </c:numRef>
          </c:yVal>
          <c:smooth val="0"/>
        </c:ser>
        <c:dLbls>
          <c:showLegendKey val="0"/>
          <c:showVal val="0"/>
          <c:showCatName val="0"/>
          <c:showSerName val="0"/>
          <c:showPercent val="0"/>
          <c:showBubbleSize val="0"/>
        </c:dLbls>
        <c:axId val="115363200"/>
        <c:axId val="115365376"/>
      </c:scatterChart>
      <c:valAx>
        <c:axId val="115363200"/>
        <c:scaling>
          <c:orientation val="minMax"/>
          <c:min val="1.0000000000000002E-3"/>
        </c:scaling>
        <c:delete val="0"/>
        <c:axPos val="b"/>
        <c:title>
          <c:tx>
            <c:rich>
              <a:bodyPr/>
              <a:lstStyle/>
              <a:p>
                <a:pPr>
                  <a:defRPr/>
                </a:pPr>
                <a:r>
                  <a:rPr lang="en-US"/>
                  <a:t>Storage (hours)</a:t>
                </a:r>
              </a:p>
            </c:rich>
          </c:tx>
          <c:overlay val="0"/>
        </c:title>
        <c:numFmt formatCode="General" sourceLinked="1"/>
        <c:majorTickMark val="out"/>
        <c:minorTickMark val="none"/>
        <c:tickLblPos val="nextTo"/>
        <c:crossAx val="115365376"/>
        <c:crosses val="autoZero"/>
        <c:crossBetween val="midCat"/>
      </c:valAx>
      <c:valAx>
        <c:axId val="115365376"/>
        <c:scaling>
          <c:orientation val="minMax"/>
        </c:scaling>
        <c:delete val="0"/>
        <c:axPos val="l"/>
        <c:majorGridlines>
          <c:spPr>
            <a:ln>
              <a:noFill/>
            </a:ln>
          </c:spPr>
        </c:majorGridlines>
        <c:title>
          <c:tx>
            <c:rich>
              <a:bodyPr rot="-5400000" vert="horz"/>
              <a:lstStyle/>
              <a:p>
                <a:pPr>
                  <a:defRPr/>
                </a:pPr>
                <a:r>
                  <a:rPr lang="en-US"/>
                  <a:t>Direct Area Requirements  (Acres/GWh/yr)</a:t>
                </a:r>
              </a:p>
            </c:rich>
          </c:tx>
          <c:overlay val="0"/>
        </c:title>
        <c:numFmt formatCode="General" sourceLinked="1"/>
        <c:majorTickMark val="out"/>
        <c:minorTickMark val="none"/>
        <c:tickLblPos val="nextTo"/>
        <c:crossAx val="115363200"/>
        <c:crosses val="autoZero"/>
        <c:crossBetween val="midCat"/>
        <c:minorUnit val="1"/>
      </c:valAx>
    </c:plotArea>
    <c:legend>
      <c:legendPos val="r"/>
      <c:layout>
        <c:manualLayout>
          <c:xMode val="edge"/>
          <c:yMode val="edge"/>
          <c:x val="0.77546735180732695"/>
          <c:y val="0.11148395745565912"/>
          <c:w val="0.15857144224698971"/>
          <c:h val="0.14750524973560136"/>
        </c:manualLayout>
      </c:layout>
      <c:overlay val="1"/>
    </c:legend>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tx>
            <c:v>Specified Values</c:v>
          </c:tx>
          <c:spPr>
            <a:ln w="28575">
              <a:noFill/>
            </a:ln>
          </c:spPr>
          <c:marker>
            <c:symbol val="diamond"/>
            <c:size val="6"/>
          </c:marker>
          <c:errBars>
            <c:errDir val="y"/>
            <c:errBarType val="both"/>
            <c:errValType val="cust"/>
            <c:noEndCap val="0"/>
            <c:plus>
              <c:numRef>
                <c:f>CSP!$AX$3:$AX$27</c:f>
                <c:numCache>
                  <c:formatCode>General</c:formatCode>
                  <c:ptCount val="25"/>
                  <c:pt idx="0">
                    <c:v>0.28529254255008407</c:v>
                  </c:pt>
                  <c:pt idx="1">
                    <c:v>0.28360246001445688</c:v>
                  </c:pt>
                  <c:pt idx="2">
                    <c:v>0.44165396947975122</c:v>
                  </c:pt>
                  <c:pt idx="3">
                    <c:v>0.45184307310812377</c:v>
                  </c:pt>
                  <c:pt idx="4">
                    <c:v>2.5838729654767079E-2</c:v>
                  </c:pt>
                  <c:pt idx="5">
                    <c:v>1.3212381121491763</c:v>
                  </c:pt>
                  <c:pt idx="6">
                    <c:v>0.53046511786237449</c:v>
                  </c:pt>
                  <c:pt idx="8">
                    <c:v>1.9344426099168208</c:v>
                  </c:pt>
                  <c:pt idx="9">
                    <c:v>0.47627014376387233</c:v>
                  </c:pt>
                  <c:pt idx="11">
                    <c:v>1.3395016455521063</c:v>
                  </c:pt>
                  <c:pt idx="12">
                    <c:v>0.57849035093614543</c:v>
                  </c:pt>
                  <c:pt idx="13">
                    <c:v>7.3626708314101119E-2</c:v>
                  </c:pt>
                  <c:pt idx="14">
                    <c:v>0.34619846972413626</c:v>
                  </c:pt>
                  <c:pt idx="15">
                    <c:v>3.0476576803083097</c:v>
                  </c:pt>
                  <c:pt idx="16">
                    <c:v>6.9412590575332E-2</c:v>
                  </c:pt>
                  <c:pt idx="18">
                    <c:v>0.37906815587735387</c:v>
                  </c:pt>
                  <c:pt idx="19">
                    <c:v>0.37906815587735387</c:v>
                  </c:pt>
                  <c:pt idx="20">
                    <c:v>0.28033162762171315</c:v>
                  </c:pt>
                  <c:pt idx="21">
                    <c:v>0.28033162762171315</c:v>
                  </c:pt>
                  <c:pt idx="22">
                    <c:v>0.28033162762171315</c:v>
                  </c:pt>
                  <c:pt idx="23">
                    <c:v>5.2588028683930155</c:v>
                  </c:pt>
                  <c:pt idx="24">
                    <c:v>0.5388232557231607</c:v>
                  </c:pt>
                </c:numCache>
              </c:numRef>
            </c:plus>
            <c:minus>
              <c:numRef>
                <c:f>CSP!$AY$3:$AY$27</c:f>
                <c:numCache>
                  <c:formatCode>General</c:formatCode>
                  <c:ptCount val="25"/>
                  <c:pt idx="0">
                    <c:v>0.23313960129587041</c:v>
                  </c:pt>
                  <c:pt idx="1">
                    <c:v>0.22827260036222263</c:v>
                  </c:pt>
                  <c:pt idx="2">
                    <c:v>0.34334829161367919</c:v>
                  </c:pt>
                  <c:pt idx="3">
                    <c:v>0.20410443208621842</c:v>
                  </c:pt>
                  <c:pt idx="4">
                    <c:v>0.41674966549590131</c:v>
                  </c:pt>
                  <c:pt idx="5">
                    <c:v>0.90141173592583712</c:v>
                  </c:pt>
                  <c:pt idx="6">
                    <c:v>0.20617465594755435</c:v>
                  </c:pt>
                  <c:pt idx="8">
                    <c:v>0.21651576623000679</c:v>
                  </c:pt>
                  <c:pt idx="9">
                    <c:v>0.37516446258611236</c:v>
                  </c:pt>
                  <c:pt idx="11">
                    <c:v>0.88617461146516163</c:v>
                  </c:pt>
                  <c:pt idx="12">
                    <c:v>0.4524237126939723</c:v>
                  </c:pt>
                  <c:pt idx="13">
                    <c:v>0.45454457045330088</c:v>
                  </c:pt>
                  <c:pt idx="14">
                    <c:v>0.28767130543033037</c:v>
                  </c:pt>
                  <c:pt idx="15">
                    <c:v>-2.7112646612505009</c:v>
                  </c:pt>
                  <c:pt idx="16">
                    <c:v>0.25915995043979878</c:v>
                  </c:pt>
                  <c:pt idx="18">
                    <c:v>0.12905893986627426</c:v>
                  </c:pt>
                  <c:pt idx="19">
                    <c:v>0.12905893986627426</c:v>
                  </c:pt>
                  <c:pt idx="20">
                    <c:v>0.43661464477864964</c:v>
                  </c:pt>
                  <c:pt idx="21">
                    <c:v>0.43661464477864964</c:v>
                  </c:pt>
                  <c:pt idx="22">
                    <c:v>0.43661464477864964</c:v>
                  </c:pt>
                  <c:pt idx="23">
                    <c:v>1.6146745282532851</c:v>
                  </c:pt>
                  <c:pt idx="24">
                    <c:v>8.3810840255367669E-2</c:v>
                  </c:pt>
                </c:numCache>
              </c:numRef>
            </c:minus>
          </c:errBars>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CSP!$AU$3:$AU$27</c:f>
              <c:numCache>
                <c:formatCode>General</c:formatCode>
                <c:ptCount val="25"/>
                <c:pt idx="3">
                  <c:v>2.9416666666666669</c:v>
                </c:pt>
                <c:pt idx="4">
                  <c:v>3.1070000000000002</c:v>
                </c:pt>
                <c:pt idx="6">
                  <c:v>2.9850746268656718</c:v>
                </c:pt>
                <c:pt idx="8">
                  <c:v>7.7333333333333334</c:v>
                </c:pt>
                <c:pt idx="10">
                  <c:v>5.3429839496762153</c:v>
                </c:pt>
                <c:pt idx="13">
                  <c:v>3.35</c:v>
                </c:pt>
                <c:pt idx="16">
                  <c:v>2.7272727272727271</c:v>
                </c:pt>
                <c:pt idx="17">
                  <c:v>10.124798263394602</c:v>
                </c:pt>
                <c:pt idx="18">
                  <c:v>2.6324237560192616</c:v>
                </c:pt>
                <c:pt idx="19">
                  <c:v>2.6324237560192616</c:v>
                </c:pt>
                <c:pt idx="20">
                  <c:v>3.3449680046538686</c:v>
                </c:pt>
                <c:pt idx="21">
                  <c:v>3.3449680046538686</c:v>
                </c:pt>
                <c:pt idx="22">
                  <c:v>3.3449680046538686</c:v>
                </c:pt>
                <c:pt idx="24">
                  <c:v>3.5819999999999999</c:v>
                </c:pt>
              </c:numCache>
            </c:numRef>
          </c:yVal>
          <c:smooth val="0"/>
        </c:ser>
        <c:ser>
          <c:idx val="1"/>
          <c:order val="1"/>
          <c:tx>
            <c:v>Average Calculated</c:v>
          </c:tx>
          <c:spPr>
            <a:ln w="28575">
              <a:noFill/>
            </a:ln>
          </c:spPr>
          <c:marker>
            <c:symbol val="star"/>
            <c:size val="3"/>
            <c:spPr>
              <a:solidFill>
                <a:srgbClr val="00B050"/>
              </a:solidFill>
              <a:ln>
                <a:solidFill>
                  <a:srgbClr val="92D050"/>
                </a:solidFill>
              </a:ln>
            </c:spPr>
          </c:marker>
          <c:errBars>
            <c:errDir val="y"/>
            <c:errBarType val="both"/>
            <c:errValType val="cust"/>
            <c:noEndCap val="0"/>
            <c:plus>
              <c:numRef>
                <c:f>CSP!$AX$3:$AX$27</c:f>
                <c:numCache>
                  <c:formatCode>General</c:formatCode>
                  <c:ptCount val="25"/>
                  <c:pt idx="0">
                    <c:v>0.28529254255008407</c:v>
                  </c:pt>
                  <c:pt idx="1">
                    <c:v>0.28360246001445688</c:v>
                  </c:pt>
                  <c:pt idx="2">
                    <c:v>0.44165396947975122</c:v>
                  </c:pt>
                  <c:pt idx="3">
                    <c:v>0.45184307310812377</c:v>
                  </c:pt>
                  <c:pt idx="4">
                    <c:v>2.5838729654767079E-2</c:v>
                  </c:pt>
                  <c:pt idx="5">
                    <c:v>1.3212381121491763</c:v>
                  </c:pt>
                  <c:pt idx="6">
                    <c:v>0.53046511786237449</c:v>
                  </c:pt>
                  <c:pt idx="8">
                    <c:v>1.9344426099168208</c:v>
                  </c:pt>
                  <c:pt idx="9">
                    <c:v>0.47627014376387233</c:v>
                  </c:pt>
                  <c:pt idx="11">
                    <c:v>1.3395016455521063</c:v>
                  </c:pt>
                  <c:pt idx="12">
                    <c:v>0.57849035093614543</c:v>
                  </c:pt>
                  <c:pt idx="13">
                    <c:v>7.3626708314101119E-2</c:v>
                  </c:pt>
                  <c:pt idx="14">
                    <c:v>0.34619846972413626</c:v>
                  </c:pt>
                  <c:pt idx="15">
                    <c:v>3.0476576803083097</c:v>
                  </c:pt>
                  <c:pt idx="16">
                    <c:v>6.9412590575332E-2</c:v>
                  </c:pt>
                  <c:pt idx="18">
                    <c:v>0.37906815587735387</c:v>
                  </c:pt>
                  <c:pt idx="19">
                    <c:v>0.37906815587735387</c:v>
                  </c:pt>
                  <c:pt idx="20">
                    <c:v>0.28033162762171315</c:v>
                  </c:pt>
                  <c:pt idx="21">
                    <c:v>0.28033162762171315</c:v>
                  </c:pt>
                  <c:pt idx="22">
                    <c:v>0.28033162762171315</c:v>
                  </c:pt>
                  <c:pt idx="23">
                    <c:v>5.2588028683930155</c:v>
                  </c:pt>
                  <c:pt idx="24">
                    <c:v>0.5388232557231607</c:v>
                  </c:pt>
                </c:numCache>
              </c:numRef>
            </c:plus>
            <c:minus>
              <c:numRef>
                <c:f>CSP!$AY$3:$AY$27</c:f>
                <c:numCache>
                  <c:formatCode>General</c:formatCode>
                  <c:ptCount val="25"/>
                  <c:pt idx="0">
                    <c:v>0.23313960129587041</c:v>
                  </c:pt>
                  <c:pt idx="1">
                    <c:v>0.22827260036222263</c:v>
                  </c:pt>
                  <c:pt idx="2">
                    <c:v>0.34334829161367919</c:v>
                  </c:pt>
                  <c:pt idx="3">
                    <c:v>0.20410443208621842</c:v>
                  </c:pt>
                  <c:pt idx="4">
                    <c:v>0.41674966549590131</c:v>
                  </c:pt>
                  <c:pt idx="5">
                    <c:v>0.90141173592583712</c:v>
                  </c:pt>
                  <c:pt idx="6">
                    <c:v>0.20617465594755435</c:v>
                  </c:pt>
                  <c:pt idx="8">
                    <c:v>0.21651576623000679</c:v>
                  </c:pt>
                  <c:pt idx="9">
                    <c:v>0.37516446258611236</c:v>
                  </c:pt>
                  <c:pt idx="11">
                    <c:v>0.88617461146516163</c:v>
                  </c:pt>
                  <c:pt idx="12">
                    <c:v>0.4524237126939723</c:v>
                  </c:pt>
                  <c:pt idx="13">
                    <c:v>0.45454457045330088</c:v>
                  </c:pt>
                  <c:pt idx="14">
                    <c:v>0.28767130543033037</c:v>
                  </c:pt>
                  <c:pt idx="15">
                    <c:v>-2.7112646612505009</c:v>
                  </c:pt>
                  <c:pt idx="16">
                    <c:v>0.25915995043979878</c:v>
                  </c:pt>
                  <c:pt idx="18">
                    <c:v>0.12905893986627426</c:v>
                  </c:pt>
                  <c:pt idx="19">
                    <c:v>0.12905893986627426</c:v>
                  </c:pt>
                  <c:pt idx="20">
                    <c:v>0.43661464477864964</c:v>
                  </c:pt>
                  <c:pt idx="21">
                    <c:v>0.43661464477864964</c:v>
                  </c:pt>
                  <c:pt idx="22">
                    <c:v>0.43661464477864964</c:v>
                  </c:pt>
                  <c:pt idx="23">
                    <c:v>1.6146745282532851</c:v>
                  </c:pt>
                  <c:pt idx="24">
                    <c:v>8.3810840255367669E-2</c:v>
                  </c:pt>
                </c:numCache>
              </c:numRef>
            </c:minus>
          </c:errBars>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CSP!$AV$3:$AV$27</c:f>
              <c:numCache>
                <c:formatCode>General</c:formatCode>
                <c:ptCount val="25"/>
                <c:pt idx="0">
                  <c:v>2.5506898757100469</c:v>
                </c:pt>
                <c:pt idx="1">
                  <c:v>2.340098869707079</c:v>
                </c:pt>
                <c:pt idx="2">
                  <c:v>3.0850941511610785</c:v>
                </c:pt>
                <c:pt idx="5">
                  <c:v>5.6736765848660928</c:v>
                </c:pt>
                <c:pt idx="9">
                  <c:v>3.5345122143400918</c:v>
                </c:pt>
                <c:pt idx="11">
                  <c:v>5.2369801977281387</c:v>
                </c:pt>
                <c:pt idx="12">
                  <c:v>4.1521334427178287</c:v>
                </c:pt>
                <c:pt idx="14">
                  <c:v>3.4032527263264827</c:v>
                </c:pt>
                <c:pt idx="15">
                  <c:v>2.8696363931075295</c:v>
                </c:pt>
                <c:pt idx="23">
                  <c:v>4.6602392935337331</c:v>
                </c:pt>
              </c:numCache>
            </c:numRef>
          </c:yVal>
          <c:smooth val="0"/>
        </c:ser>
        <c:dLbls>
          <c:showLegendKey val="0"/>
          <c:showVal val="0"/>
          <c:showCatName val="0"/>
          <c:showSerName val="0"/>
          <c:showPercent val="0"/>
          <c:showBubbleSize val="0"/>
        </c:dLbls>
        <c:axId val="115383680"/>
        <c:axId val="116004352"/>
      </c:scatterChart>
      <c:valAx>
        <c:axId val="115383680"/>
        <c:scaling>
          <c:orientation val="minMax"/>
        </c:scaling>
        <c:delete val="0"/>
        <c:axPos val="b"/>
        <c:title>
          <c:tx>
            <c:rich>
              <a:bodyPr/>
              <a:lstStyle/>
              <a:p>
                <a:pPr>
                  <a:defRPr/>
                </a:pPr>
                <a:r>
                  <a:rPr lang="en-US"/>
                  <a:t>Storage (hours)</a:t>
                </a:r>
              </a:p>
            </c:rich>
          </c:tx>
          <c:overlay val="0"/>
        </c:title>
        <c:numFmt formatCode="General" sourceLinked="1"/>
        <c:majorTickMark val="out"/>
        <c:minorTickMark val="none"/>
        <c:tickLblPos val="nextTo"/>
        <c:crossAx val="116004352"/>
        <c:crosses val="autoZero"/>
        <c:crossBetween val="midCat"/>
      </c:valAx>
      <c:valAx>
        <c:axId val="116004352"/>
        <c:scaling>
          <c:orientation val="minMax"/>
        </c:scaling>
        <c:delete val="0"/>
        <c:axPos val="l"/>
        <c:majorGridlines>
          <c:spPr>
            <a:ln>
              <a:noFill/>
            </a:ln>
          </c:spPr>
        </c:majorGridlines>
        <c:title>
          <c:tx>
            <c:rich>
              <a:bodyPr rot="-5400000" vert="horz"/>
              <a:lstStyle/>
              <a:p>
                <a:pPr>
                  <a:defRPr/>
                </a:pPr>
                <a:r>
                  <a:rPr lang="en-US"/>
                  <a:t>Total Area Requirements  (Acres/GWh/yr)</a:t>
                </a:r>
              </a:p>
            </c:rich>
          </c:tx>
          <c:overlay val="0"/>
        </c:title>
        <c:numFmt formatCode="General" sourceLinked="1"/>
        <c:majorTickMark val="out"/>
        <c:minorTickMark val="none"/>
        <c:tickLblPos val="nextTo"/>
        <c:crossAx val="115383680"/>
        <c:crosses val="autoZero"/>
        <c:crossBetween val="midCat"/>
        <c:minorUnit val="1"/>
      </c:valAx>
    </c:plotArea>
    <c:legend>
      <c:legendPos val="r"/>
      <c:layout>
        <c:manualLayout>
          <c:xMode val="edge"/>
          <c:yMode val="edge"/>
          <c:x val="0.72676206339592164"/>
          <c:y val="0.13495889135652916"/>
          <c:w val="0.2425046072791458"/>
          <c:h val="0.14593494169355595"/>
        </c:manualLayout>
      </c:layout>
      <c:overlay val="1"/>
    </c:legend>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spPr>
            <a:ln w="28575">
              <a:noFill/>
            </a:ln>
          </c:spPr>
          <c:errBars>
            <c:errDir val="y"/>
            <c:errBarType val="both"/>
            <c:errValType val="cust"/>
            <c:noEndCap val="0"/>
            <c:plus>
              <c:numRef>
                <c:f>CSP!$AX$3:$AX$27</c:f>
                <c:numCache>
                  <c:formatCode>General</c:formatCode>
                  <c:ptCount val="25"/>
                  <c:pt idx="0">
                    <c:v>0.28529254255008407</c:v>
                  </c:pt>
                  <c:pt idx="1">
                    <c:v>0.28360246001445688</c:v>
                  </c:pt>
                  <c:pt idx="2">
                    <c:v>0.44165396947975122</c:v>
                  </c:pt>
                  <c:pt idx="3">
                    <c:v>0.45184307310812377</c:v>
                  </c:pt>
                  <c:pt idx="4">
                    <c:v>2.5838729654767079E-2</c:v>
                  </c:pt>
                  <c:pt idx="5">
                    <c:v>1.3212381121491763</c:v>
                  </c:pt>
                  <c:pt idx="6">
                    <c:v>0.53046511786237449</c:v>
                  </c:pt>
                  <c:pt idx="8">
                    <c:v>1.9344426099168208</c:v>
                  </c:pt>
                  <c:pt idx="9">
                    <c:v>0.47627014376387233</c:v>
                  </c:pt>
                  <c:pt idx="11">
                    <c:v>1.3395016455521063</c:v>
                  </c:pt>
                  <c:pt idx="12">
                    <c:v>0.57849035093614543</c:v>
                  </c:pt>
                  <c:pt idx="13">
                    <c:v>7.3626708314101119E-2</c:v>
                  </c:pt>
                  <c:pt idx="14">
                    <c:v>0.34619846972413626</c:v>
                  </c:pt>
                  <c:pt idx="15">
                    <c:v>3.0476576803083097</c:v>
                  </c:pt>
                  <c:pt idx="16">
                    <c:v>6.9412590575332E-2</c:v>
                  </c:pt>
                  <c:pt idx="18">
                    <c:v>0.37906815587735387</c:v>
                  </c:pt>
                  <c:pt idx="19">
                    <c:v>0.37906815587735387</c:v>
                  </c:pt>
                  <c:pt idx="20">
                    <c:v>0.28033162762171315</c:v>
                  </c:pt>
                  <c:pt idx="21">
                    <c:v>0.28033162762171315</c:v>
                  </c:pt>
                  <c:pt idx="22">
                    <c:v>0.28033162762171315</c:v>
                  </c:pt>
                  <c:pt idx="23">
                    <c:v>5.2588028683930155</c:v>
                  </c:pt>
                  <c:pt idx="24">
                    <c:v>0.5388232557231607</c:v>
                  </c:pt>
                </c:numCache>
              </c:numRef>
            </c:plus>
            <c:minus>
              <c:numRef>
                <c:f>CSP!$AY$3:$AY$27</c:f>
                <c:numCache>
                  <c:formatCode>General</c:formatCode>
                  <c:ptCount val="25"/>
                  <c:pt idx="0">
                    <c:v>0.23313960129587041</c:v>
                  </c:pt>
                  <c:pt idx="1">
                    <c:v>0.22827260036222263</c:v>
                  </c:pt>
                  <c:pt idx="2">
                    <c:v>0.34334829161367919</c:v>
                  </c:pt>
                  <c:pt idx="3">
                    <c:v>0.20410443208621842</c:v>
                  </c:pt>
                  <c:pt idx="4">
                    <c:v>0.41674966549590131</c:v>
                  </c:pt>
                  <c:pt idx="5">
                    <c:v>0.90141173592583712</c:v>
                  </c:pt>
                  <c:pt idx="6">
                    <c:v>0.20617465594755435</c:v>
                  </c:pt>
                  <c:pt idx="8">
                    <c:v>0.21651576623000679</c:v>
                  </c:pt>
                  <c:pt idx="9">
                    <c:v>0.37516446258611236</c:v>
                  </c:pt>
                  <c:pt idx="11">
                    <c:v>0.88617461146516163</c:v>
                  </c:pt>
                  <c:pt idx="12">
                    <c:v>0.4524237126939723</c:v>
                  </c:pt>
                  <c:pt idx="13">
                    <c:v>0.45454457045330088</c:v>
                  </c:pt>
                  <c:pt idx="14">
                    <c:v>0.28767130543033037</c:v>
                  </c:pt>
                  <c:pt idx="15">
                    <c:v>-2.7112646612505009</c:v>
                  </c:pt>
                  <c:pt idx="16">
                    <c:v>0.25915995043979878</c:v>
                  </c:pt>
                  <c:pt idx="18">
                    <c:v>0.12905893986627426</c:v>
                  </c:pt>
                  <c:pt idx="19">
                    <c:v>0.12905893986627426</c:v>
                  </c:pt>
                  <c:pt idx="20">
                    <c:v>0.43661464477864964</c:v>
                  </c:pt>
                  <c:pt idx="21">
                    <c:v>0.43661464477864964</c:v>
                  </c:pt>
                  <c:pt idx="22">
                    <c:v>0.43661464477864964</c:v>
                  </c:pt>
                  <c:pt idx="23">
                    <c:v>1.6146745282532851</c:v>
                  </c:pt>
                  <c:pt idx="24">
                    <c:v>8.3810840255367669E-2</c:v>
                  </c:pt>
                </c:numCache>
              </c:numRef>
            </c:minus>
          </c:errBars>
          <c:xVal>
            <c:numRef>
              <c:f>CSP!$D$3:$D$27</c:f>
              <c:numCache>
                <c:formatCode>General</c:formatCode>
                <c:ptCount val="25"/>
                <c:pt idx="0">
                  <c:v>354000</c:v>
                </c:pt>
                <c:pt idx="1">
                  <c:v>50000</c:v>
                </c:pt>
                <c:pt idx="2">
                  <c:v>57000</c:v>
                </c:pt>
                <c:pt idx="3">
                  <c:v>250000</c:v>
                </c:pt>
                <c:pt idx="4">
                  <c:v>280000</c:v>
                </c:pt>
                <c:pt idx="5">
                  <c:v>75000</c:v>
                </c:pt>
                <c:pt idx="6">
                  <c:v>64000</c:v>
                </c:pt>
                <c:pt idx="8">
                  <c:v>250000</c:v>
                </c:pt>
                <c:pt idx="9">
                  <c:v>7500</c:v>
                </c:pt>
                <c:pt idx="10">
                  <c:v>1500</c:v>
                </c:pt>
                <c:pt idx="11">
                  <c:v>10000</c:v>
                </c:pt>
                <c:pt idx="12">
                  <c:v>150000</c:v>
                </c:pt>
                <c:pt idx="13">
                  <c:v>100000</c:v>
                </c:pt>
                <c:pt idx="14">
                  <c:v>150000</c:v>
                </c:pt>
                <c:pt idx="15">
                  <c:v>110000</c:v>
                </c:pt>
                <c:pt idx="16">
                  <c:v>200000</c:v>
                </c:pt>
                <c:pt idx="17">
                  <c:v>5000</c:v>
                </c:pt>
                <c:pt idx="18">
                  <c:v>250000</c:v>
                </c:pt>
                <c:pt idx="19">
                  <c:v>250000</c:v>
                </c:pt>
                <c:pt idx="20">
                  <c:v>250000</c:v>
                </c:pt>
                <c:pt idx="21">
                  <c:v>250000</c:v>
                </c:pt>
                <c:pt idx="22">
                  <c:v>250000</c:v>
                </c:pt>
                <c:pt idx="23">
                  <c:v>13000</c:v>
                </c:pt>
                <c:pt idx="24">
                  <c:v>377000</c:v>
                </c:pt>
              </c:numCache>
            </c:numRef>
          </c:xVal>
          <c:yVal>
            <c:numRef>
              <c:f>CSP!$AU$3:$AU$27</c:f>
              <c:numCache>
                <c:formatCode>General</c:formatCode>
                <c:ptCount val="25"/>
                <c:pt idx="3">
                  <c:v>2.9416666666666669</c:v>
                </c:pt>
                <c:pt idx="4">
                  <c:v>3.1070000000000002</c:v>
                </c:pt>
                <c:pt idx="6">
                  <c:v>2.9850746268656718</c:v>
                </c:pt>
                <c:pt idx="8">
                  <c:v>7.7333333333333334</c:v>
                </c:pt>
                <c:pt idx="10">
                  <c:v>5.3429839496762153</c:v>
                </c:pt>
                <c:pt idx="13">
                  <c:v>3.35</c:v>
                </c:pt>
                <c:pt idx="16">
                  <c:v>2.7272727272727271</c:v>
                </c:pt>
                <c:pt idx="17">
                  <c:v>10.124798263394602</c:v>
                </c:pt>
                <c:pt idx="18">
                  <c:v>2.6324237560192616</c:v>
                </c:pt>
                <c:pt idx="19">
                  <c:v>2.6324237560192616</c:v>
                </c:pt>
                <c:pt idx="20">
                  <c:v>3.3449680046538686</c:v>
                </c:pt>
                <c:pt idx="21">
                  <c:v>3.3449680046538686</c:v>
                </c:pt>
                <c:pt idx="22">
                  <c:v>3.3449680046538686</c:v>
                </c:pt>
                <c:pt idx="24">
                  <c:v>3.5819999999999999</c:v>
                </c:pt>
              </c:numCache>
            </c:numRef>
          </c:yVal>
          <c:smooth val="0"/>
        </c:ser>
        <c:ser>
          <c:idx val="1"/>
          <c:order val="1"/>
          <c:spPr>
            <a:ln w="28575">
              <a:noFill/>
            </a:ln>
          </c:spPr>
          <c:marker>
            <c:symbol val="diamond"/>
            <c:size val="3"/>
            <c:spPr>
              <a:solidFill>
                <a:schemeClr val="accent1"/>
              </a:solidFill>
              <a:ln>
                <a:solidFill>
                  <a:schemeClr val="accent1"/>
                </a:solidFill>
              </a:ln>
            </c:spPr>
          </c:marker>
          <c:errBars>
            <c:errDir val="y"/>
            <c:errBarType val="both"/>
            <c:errValType val="cust"/>
            <c:noEndCap val="0"/>
            <c:plus>
              <c:numRef>
                <c:f>CSP!$AX$3:$AX$27</c:f>
                <c:numCache>
                  <c:formatCode>General</c:formatCode>
                  <c:ptCount val="25"/>
                  <c:pt idx="0">
                    <c:v>0.28529254255008407</c:v>
                  </c:pt>
                  <c:pt idx="1">
                    <c:v>0.28360246001445688</c:v>
                  </c:pt>
                  <c:pt idx="2">
                    <c:v>0.44165396947975122</c:v>
                  </c:pt>
                  <c:pt idx="3">
                    <c:v>0.45184307310812377</c:v>
                  </c:pt>
                  <c:pt idx="4">
                    <c:v>2.5838729654767079E-2</c:v>
                  </c:pt>
                  <c:pt idx="5">
                    <c:v>1.3212381121491763</c:v>
                  </c:pt>
                  <c:pt idx="6">
                    <c:v>0.53046511786237449</c:v>
                  </c:pt>
                  <c:pt idx="8">
                    <c:v>1.9344426099168208</c:v>
                  </c:pt>
                  <c:pt idx="9">
                    <c:v>0.47627014376387233</c:v>
                  </c:pt>
                  <c:pt idx="11">
                    <c:v>1.3395016455521063</c:v>
                  </c:pt>
                  <c:pt idx="12">
                    <c:v>0.57849035093614543</c:v>
                  </c:pt>
                  <c:pt idx="13">
                    <c:v>7.3626708314101119E-2</c:v>
                  </c:pt>
                  <c:pt idx="14">
                    <c:v>0.34619846972413626</c:v>
                  </c:pt>
                  <c:pt idx="15">
                    <c:v>3.0476576803083097</c:v>
                  </c:pt>
                  <c:pt idx="16">
                    <c:v>6.9412590575332E-2</c:v>
                  </c:pt>
                  <c:pt idx="18">
                    <c:v>0.37906815587735387</c:v>
                  </c:pt>
                  <c:pt idx="19">
                    <c:v>0.37906815587735387</c:v>
                  </c:pt>
                  <c:pt idx="20">
                    <c:v>0.28033162762171315</c:v>
                  </c:pt>
                  <c:pt idx="21">
                    <c:v>0.28033162762171315</c:v>
                  </c:pt>
                  <c:pt idx="22">
                    <c:v>0.28033162762171315</c:v>
                  </c:pt>
                  <c:pt idx="23">
                    <c:v>5.2588028683930155</c:v>
                  </c:pt>
                  <c:pt idx="24">
                    <c:v>0.5388232557231607</c:v>
                  </c:pt>
                </c:numCache>
              </c:numRef>
            </c:plus>
            <c:minus>
              <c:numRef>
                <c:f>CSP!$AY$3:$AY$27</c:f>
                <c:numCache>
                  <c:formatCode>General</c:formatCode>
                  <c:ptCount val="25"/>
                  <c:pt idx="0">
                    <c:v>0.23313960129587041</c:v>
                  </c:pt>
                  <c:pt idx="1">
                    <c:v>0.22827260036222263</c:v>
                  </c:pt>
                  <c:pt idx="2">
                    <c:v>0.34334829161367919</c:v>
                  </c:pt>
                  <c:pt idx="3">
                    <c:v>0.20410443208621842</c:v>
                  </c:pt>
                  <c:pt idx="4">
                    <c:v>0.41674966549590131</c:v>
                  </c:pt>
                  <c:pt idx="5">
                    <c:v>0.90141173592583712</c:v>
                  </c:pt>
                  <c:pt idx="6">
                    <c:v>0.20617465594755435</c:v>
                  </c:pt>
                  <c:pt idx="8">
                    <c:v>0.21651576623000679</c:v>
                  </c:pt>
                  <c:pt idx="9">
                    <c:v>0.37516446258611236</c:v>
                  </c:pt>
                  <c:pt idx="11">
                    <c:v>0.88617461146516163</c:v>
                  </c:pt>
                  <c:pt idx="12">
                    <c:v>0.4524237126939723</c:v>
                  </c:pt>
                  <c:pt idx="13">
                    <c:v>0.45454457045330088</c:v>
                  </c:pt>
                  <c:pt idx="14">
                    <c:v>0.28767130543033037</c:v>
                  </c:pt>
                  <c:pt idx="15">
                    <c:v>-2.7112646612505009</c:v>
                  </c:pt>
                  <c:pt idx="16">
                    <c:v>0.25915995043979878</c:v>
                  </c:pt>
                  <c:pt idx="18">
                    <c:v>0.12905893986627426</c:v>
                  </c:pt>
                  <c:pt idx="19">
                    <c:v>0.12905893986627426</c:v>
                  </c:pt>
                  <c:pt idx="20">
                    <c:v>0.43661464477864964</c:v>
                  </c:pt>
                  <c:pt idx="21">
                    <c:v>0.43661464477864964</c:v>
                  </c:pt>
                  <c:pt idx="22">
                    <c:v>0.43661464477864964</c:v>
                  </c:pt>
                  <c:pt idx="23">
                    <c:v>1.6146745282532851</c:v>
                  </c:pt>
                  <c:pt idx="24">
                    <c:v>8.3810840255367669E-2</c:v>
                  </c:pt>
                </c:numCache>
              </c:numRef>
            </c:minus>
          </c:errBars>
          <c:xVal>
            <c:numRef>
              <c:f>CSP!$D$3:$D$27</c:f>
              <c:numCache>
                <c:formatCode>General</c:formatCode>
                <c:ptCount val="25"/>
                <c:pt idx="0">
                  <c:v>354000</c:v>
                </c:pt>
                <c:pt idx="1">
                  <c:v>50000</c:v>
                </c:pt>
                <c:pt idx="2">
                  <c:v>57000</c:v>
                </c:pt>
                <c:pt idx="3">
                  <c:v>250000</c:v>
                </c:pt>
                <c:pt idx="4">
                  <c:v>280000</c:v>
                </c:pt>
                <c:pt idx="5">
                  <c:v>75000</c:v>
                </c:pt>
                <c:pt idx="6">
                  <c:v>64000</c:v>
                </c:pt>
                <c:pt idx="8">
                  <c:v>250000</c:v>
                </c:pt>
                <c:pt idx="9">
                  <c:v>7500</c:v>
                </c:pt>
                <c:pt idx="10">
                  <c:v>1500</c:v>
                </c:pt>
                <c:pt idx="11">
                  <c:v>10000</c:v>
                </c:pt>
                <c:pt idx="12">
                  <c:v>150000</c:v>
                </c:pt>
                <c:pt idx="13">
                  <c:v>100000</c:v>
                </c:pt>
                <c:pt idx="14">
                  <c:v>150000</c:v>
                </c:pt>
                <c:pt idx="15">
                  <c:v>110000</c:v>
                </c:pt>
                <c:pt idx="16">
                  <c:v>200000</c:v>
                </c:pt>
                <c:pt idx="17">
                  <c:v>5000</c:v>
                </c:pt>
                <c:pt idx="18">
                  <c:v>250000</c:v>
                </c:pt>
                <c:pt idx="19">
                  <c:v>250000</c:v>
                </c:pt>
                <c:pt idx="20">
                  <c:v>250000</c:v>
                </c:pt>
                <c:pt idx="21">
                  <c:v>250000</c:v>
                </c:pt>
                <c:pt idx="22">
                  <c:v>250000</c:v>
                </c:pt>
                <c:pt idx="23">
                  <c:v>13000</c:v>
                </c:pt>
                <c:pt idx="24">
                  <c:v>377000</c:v>
                </c:pt>
              </c:numCache>
            </c:numRef>
          </c:xVal>
          <c:yVal>
            <c:numRef>
              <c:f>CSP!$AV$3:$AV$27</c:f>
              <c:numCache>
                <c:formatCode>General</c:formatCode>
                <c:ptCount val="25"/>
                <c:pt idx="0">
                  <c:v>2.5506898757100469</c:v>
                </c:pt>
                <c:pt idx="1">
                  <c:v>2.340098869707079</c:v>
                </c:pt>
                <c:pt idx="2">
                  <c:v>3.0850941511610785</c:v>
                </c:pt>
                <c:pt idx="5">
                  <c:v>5.6736765848660928</c:v>
                </c:pt>
                <c:pt idx="9">
                  <c:v>3.5345122143400918</c:v>
                </c:pt>
                <c:pt idx="11">
                  <c:v>5.2369801977281387</c:v>
                </c:pt>
                <c:pt idx="12">
                  <c:v>4.1521334427178287</c:v>
                </c:pt>
                <c:pt idx="14">
                  <c:v>3.4032527263264827</c:v>
                </c:pt>
                <c:pt idx="15">
                  <c:v>2.8696363931075295</c:v>
                </c:pt>
                <c:pt idx="23">
                  <c:v>4.6602392935337331</c:v>
                </c:pt>
              </c:numCache>
            </c:numRef>
          </c:yVal>
          <c:smooth val="0"/>
        </c:ser>
        <c:dLbls>
          <c:showLegendKey val="0"/>
          <c:showVal val="0"/>
          <c:showCatName val="0"/>
          <c:showSerName val="0"/>
          <c:showPercent val="0"/>
          <c:showBubbleSize val="0"/>
        </c:dLbls>
        <c:axId val="116043136"/>
        <c:axId val="116049792"/>
      </c:scatterChart>
      <c:valAx>
        <c:axId val="116043136"/>
        <c:scaling>
          <c:orientation val="minMax"/>
        </c:scaling>
        <c:delete val="0"/>
        <c:axPos val="b"/>
        <c:title>
          <c:tx>
            <c:rich>
              <a:bodyPr/>
              <a:lstStyle/>
              <a:p>
                <a:pPr>
                  <a:defRPr/>
                </a:pPr>
                <a:r>
                  <a:rPr lang="en-US"/>
                  <a:t>Capacity (MW-AC)</a:t>
                </a:r>
              </a:p>
            </c:rich>
          </c:tx>
          <c:overlay val="0"/>
        </c:title>
        <c:numFmt formatCode="General" sourceLinked="1"/>
        <c:majorTickMark val="out"/>
        <c:minorTickMark val="none"/>
        <c:tickLblPos val="nextTo"/>
        <c:crossAx val="116049792"/>
        <c:crosses val="autoZero"/>
        <c:crossBetween val="midCat"/>
        <c:dispUnits>
          <c:builtInUnit val="thousands"/>
        </c:dispUnits>
      </c:valAx>
      <c:valAx>
        <c:axId val="116049792"/>
        <c:scaling>
          <c:orientation val="minMax"/>
        </c:scaling>
        <c:delete val="0"/>
        <c:axPos val="l"/>
        <c:majorGridlines>
          <c:spPr>
            <a:ln>
              <a:noFill/>
            </a:ln>
          </c:spPr>
        </c:majorGridlines>
        <c:title>
          <c:tx>
            <c:rich>
              <a:bodyPr rot="-5400000" vert="horz"/>
              <a:lstStyle/>
              <a:p>
                <a:pPr>
                  <a:defRPr/>
                </a:pPr>
                <a:r>
                  <a:rPr lang="en-US"/>
                  <a:t>Total Land Use (Acres/GWh/yr)</a:t>
                </a:r>
              </a:p>
            </c:rich>
          </c:tx>
          <c:overlay val="0"/>
        </c:title>
        <c:numFmt formatCode="General" sourceLinked="1"/>
        <c:majorTickMark val="out"/>
        <c:minorTickMark val="none"/>
        <c:tickLblPos val="nextTo"/>
        <c:crossAx val="116043136"/>
        <c:crosses val="autoZero"/>
        <c:crossBetween val="midCat"/>
        <c:minorUnit val="1"/>
      </c:valAx>
    </c:plotArea>
    <c:legend>
      <c:legendPos val="r"/>
      <c:layout>
        <c:manualLayout>
          <c:xMode val="edge"/>
          <c:yMode val="edge"/>
          <c:x val="0.82863111159927261"/>
          <c:y val="0.30754415470901425"/>
          <c:w val="0.17136903560131905"/>
          <c:h val="0.14603663324135763"/>
        </c:manualLayout>
      </c:layout>
      <c:overlay val="1"/>
    </c:legend>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tx>
            <c:v>Specified Values</c:v>
          </c:tx>
          <c:spPr>
            <a:ln w="28575">
              <a:noFill/>
            </a:ln>
          </c:spPr>
          <c:marker>
            <c:symbol val="diamond"/>
            <c:size val="6"/>
          </c:marker>
          <c:errBars>
            <c:errDir val="y"/>
            <c:errBarType val="both"/>
            <c:errValType val="cust"/>
            <c:noEndCap val="0"/>
            <c:plus>
              <c:numRef>
                <c:f>CSP!$BD$3:$BD$27</c:f>
                <c:numCache>
                  <c:formatCode>General</c:formatCode>
                  <c:ptCount val="25"/>
                  <c:pt idx="0">
                    <c:v>0.28529254255008407</c:v>
                  </c:pt>
                  <c:pt idx="1">
                    <c:v>0.24614553133330253</c:v>
                  </c:pt>
                  <c:pt idx="2">
                    <c:v>0.29287398506614792</c:v>
                  </c:pt>
                  <c:pt idx="5">
                    <c:v>1.0569904897193414</c:v>
                  </c:pt>
                  <c:pt idx="6">
                    <c:v>0.38458721045022193</c:v>
                  </c:pt>
                  <c:pt idx="8">
                    <c:v>0.75043032281255995</c:v>
                  </c:pt>
                  <c:pt idx="9">
                    <c:v>0.202755004059477</c:v>
                  </c:pt>
                  <c:pt idx="11">
                    <c:v>1.1162513712934219</c:v>
                  </c:pt>
                  <c:pt idx="12">
                    <c:v>0.31862163860154924</c:v>
                  </c:pt>
                  <c:pt idx="15">
                    <c:v>0.16989906597224413</c:v>
                  </c:pt>
                  <c:pt idx="16">
                    <c:v>6.1754068081853575E-2</c:v>
                  </c:pt>
                  <c:pt idx="18">
                    <c:v>0.3604614567626423</c:v>
                  </c:pt>
                  <c:pt idx="19">
                    <c:v>0.3604614567626423</c:v>
                  </c:pt>
                  <c:pt idx="23">
                    <c:v>3.4854856220744406</c:v>
                  </c:pt>
                  <c:pt idx="24">
                    <c:v>0.49595205865976011</c:v>
                  </c:pt>
                </c:numCache>
              </c:numRef>
            </c:plus>
            <c:minus>
              <c:numRef>
                <c:f>CSP!$BE$3:$BE$27</c:f>
                <c:numCache>
                  <c:formatCode>General</c:formatCode>
                  <c:ptCount val="25"/>
                  <c:pt idx="0">
                    <c:v>0.23313960129587041</c:v>
                  </c:pt>
                  <c:pt idx="1">
                    <c:v>0.19812338899362691</c:v>
                  </c:pt>
                  <c:pt idx="2">
                    <c:v>0.22768454351039713</c:v>
                  </c:pt>
                  <c:pt idx="5">
                    <c:v>0.72112938874067023</c:v>
                  </c:pt>
                  <c:pt idx="6">
                    <c:v>0.14947662556197683</c:v>
                  </c:pt>
                  <c:pt idx="8">
                    <c:v>8.3993185175433638E-2</c:v>
                  </c:pt>
                  <c:pt idx="9">
                    <c:v>0.15971287121523048</c:v>
                  </c:pt>
                  <c:pt idx="11">
                    <c:v>0.7384788428876341</c:v>
                  </c:pt>
                  <c:pt idx="12">
                    <c:v>0.24918649800722692</c:v>
                  </c:pt>
                  <c:pt idx="15">
                    <c:v>0.15114602159105184</c:v>
                  </c:pt>
                  <c:pt idx="16">
                    <c:v>0.23056596924127426</c:v>
                  </c:pt>
                  <c:pt idx="18">
                    <c:v>0.12272403458625325</c:v>
                  </c:pt>
                  <c:pt idx="19">
                    <c:v>0.12272403458625325</c:v>
                  </c:pt>
                  <c:pt idx="23">
                    <c:v>1.0701912570981071</c:v>
                  </c:pt>
                  <c:pt idx="24">
                    <c:v>7.7142473568382997E-2</c:v>
                  </c:pt>
                </c:numCache>
              </c:numRef>
            </c:minus>
          </c:errBars>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CSP!$BA$3:$BA$27</c:f>
              <c:numCache>
                <c:formatCode>General</c:formatCode>
                <c:ptCount val="25"/>
                <c:pt idx="6">
                  <c:v>2.1641791044776117</c:v>
                </c:pt>
                <c:pt idx="8">
                  <c:v>3</c:v>
                </c:pt>
                <c:pt idx="10">
                  <c:v>1.5067214738086929</c:v>
                </c:pt>
                <c:pt idx="16">
                  <c:v>2.4263636363636363</c:v>
                </c:pt>
                <c:pt idx="17">
                  <c:v>4.406312204229331</c:v>
                </c:pt>
                <c:pt idx="18">
                  <c:v>2.5032102728731944</c:v>
                </c:pt>
                <c:pt idx="19">
                  <c:v>2.5032102728731944</c:v>
                </c:pt>
                <c:pt idx="24">
                  <c:v>3.2970000000000002</c:v>
                </c:pt>
              </c:numCache>
            </c:numRef>
          </c:yVal>
          <c:smooth val="0"/>
        </c:ser>
        <c:ser>
          <c:idx val="1"/>
          <c:order val="1"/>
          <c:tx>
            <c:v>Average Calculation</c:v>
          </c:tx>
          <c:spPr>
            <a:ln w="28575">
              <a:noFill/>
            </a:ln>
          </c:spPr>
          <c:marker>
            <c:symbol val="star"/>
            <c:size val="3"/>
            <c:spPr>
              <a:solidFill>
                <a:srgbClr val="00B050"/>
              </a:solidFill>
              <a:ln>
                <a:solidFill>
                  <a:srgbClr val="92D050"/>
                </a:solidFill>
              </a:ln>
            </c:spPr>
          </c:marker>
          <c:errBars>
            <c:errDir val="y"/>
            <c:errBarType val="both"/>
            <c:errValType val="cust"/>
            <c:noEndCap val="0"/>
            <c:plus>
              <c:numRef>
                <c:f>CSP!$BD$3:$BD$27</c:f>
                <c:numCache>
                  <c:formatCode>General</c:formatCode>
                  <c:ptCount val="25"/>
                  <c:pt idx="0">
                    <c:v>0.28529254255008407</c:v>
                  </c:pt>
                  <c:pt idx="1">
                    <c:v>0.24614553133330253</c:v>
                  </c:pt>
                  <c:pt idx="2">
                    <c:v>0.29287398506614792</c:v>
                  </c:pt>
                  <c:pt idx="5">
                    <c:v>1.0569904897193414</c:v>
                  </c:pt>
                  <c:pt idx="6">
                    <c:v>0.38458721045022193</c:v>
                  </c:pt>
                  <c:pt idx="8">
                    <c:v>0.75043032281255995</c:v>
                  </c:pt>
                  <c:pt idx="9">
                    <c:v>0.202755004059477</c:v>
                  </c:pt>
                  <c:pt idx="11">
                    <c:v>1.1162513712934219</c:v>
                  </c:pt>
                  <c:pt idx="12">
                    <c:v>0.31862163860154924</c:v>
                  </c:pt>
                  <c:pt idx="15">
                    <c:v>0.16989906597224413</c:v>
                  </c:pt>
                  <c:pt idx="16">
                    <c:v>6.1754068081853575E-2</c:v>
                  </c:pt>
                  <c:pt idx="18">
                    <c:v>0.3604614567626423</c:v>
                  </c:pt>
                  <c:pt idx="19">
                    <c:v>0.3604614567626423</c:v>
                  </c:pt>
                  <c:pt idx="23">
                    <c:v>3.4854856220744406</c:v>
                  </c:pt>
                  <c:pt idx="24">
                    <c:v>0.49595205865976011</c:v>
                  </c:pt>
                </c:numCache>
              </c:numRef>
            </c:plus>
            <c:minus>
              <c:numRef>
                <c:f>CSP!$BE$3:$BE$27</c:f>
                <c:numCache>
                  <c:formatCode>General</c:formatCode>
                  <c:ptCount val="25"/>
                  <c:pt idx="0">
                    <c:v>0.23313960129587041</c:v>
                  </c:pt>
                  <c:pt idx="1">
                    <c:v>0.19812338899362691</c:v>
                  </c:pt>
                  <c:pt idx="2">
                    <c:v>0.22768454351039713</c:v>
                  </c:pt>
                  <c:pt idx="5">
                    <c:v>0.72112938874067023</c:v>
                  </c:pt>
                  <c:pt idx="6">
                    <c:v>0.14947662556197683</c:v>
                  </c:pt>
                  <c:pt idx="8">
                    <c:v>8.3993185175433638E-2</c:v>
                  </c:pt>
                  <c:pt idx="9">
                    <c:v>0.15971287121523048</c:v>
                  </c:pt>
                  <c:pt idx="11">
                    <c:v>0.7384788428876341</c:v>
                  </c:pt>
                  <c:pt idx="12">
                    <c:v>0.24918649800722692</c:v>
                  </c:pt>
                  <c:pt idx="15">
                    <c:v>0.15114602159105184</c:v>
                  </c:pt>
                  <c:pt idx="16">
                    <c:v>0.23056596924127426</c:v>
                  </c:pt>
                  <c:pt idx="18">
                    <c:v>0.12272403458625325</c:v>
                  </c:pt>
                  <c:pt idx="19">
                    <c:v>0.12272403458625325</c:v>
                  </c:pt>
                  <c:pt idx="23">
                    <c:v>1.0701912570981071</c:v>
                  </c:pt>
                  <c:pt idx="24">
                    <c:v>7.7142473568382997E-2</c:v>
                  </c:pt>
                </c:numCache>
              </c:numRef>
            </c:minus>
          </c:errBars>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CSP!$BB$3:$BB$27</c:f>
              <c:numCache>
                <c:formatCode>General</c:formatCode>
                <c:ptCount val="25"/>
                <c:pt idx="0">
                  <c:v>2.5506898757100469</c:v>
                </c:pt>
                <c:pt idx="1">
                  <c:v>2.0310292076702949</c:v>
                </c:pt>
                <c:pt idx="2">
                  <c:v>2.0458184026267099</c:v>
                </c:pt>
                <c:pt idx="5">
                  <c:v>4.5389412678928744</c:v>
                </c:pt>
                <c:pt idx="9">
                  <c:v>1.5046923426762104</c:v>
                </c:pt>
                <c:pt idx="11">
                  <c:v>4.3641501647734486</c:v>
                </c:pt>
                <c:pt idx="12">
                  <c:v>2.2869172477469291</c:v>
                </c:pt>
                <c:pt idx="15">
                  <c:v>2.7387092326719986</c:v>
                </c:pt>
                <c:pt idx="23">
                  <c:v>3.0887632526909625</c:v>
                </c:pt>
              </c:numCache>
            </c:numRef>
          </c:yVal>
          <c:smooth val="0"/>
        </c:ser>
        <c:dLbls>
          <c:showLegendKey val="0"/>
          <c:showVal val="0"/>
          <c:showCatName val="0"/>
          <c:showSerName val="0"/>
          <c:showPercent val="0"/>
          <c:showBubbleSize val="0"/>
        </c:dLbls>
        <c:axId val="116084736"/>
        <c:axId val="116086656"/>
      </c:scatterChart>
      <c:valAx>
        <c:axId val="116084736"/>
        <c:scaling>
          <c:orientation val="minMax"/>
        </c:scaling>
        <c:delete val="0"/>
        <c:axPos val="b"/>
        <c:title>
          <c:tx>
            <c:rich>
              <a:bodyPr/>
              <a:lstStyle/>
              <a:p>
                <a:pPr>
                  <a:defRPr/>
                </a:pPr>
                <a:r>
                  <a:rPr lang="en-US"/>
                  <a:t>Storage (hours)</a:t>
                </a:r>
              </a:p>
            </c:rich>
          </c:tx>
          <c:overlay val="0"/>
        </c:title>
        <c:numFmt formatCode="General" sourceLinked="1"/>
        <c:majorTickMark val="out"/>
        <c:minorTickMark val="none"/>
        <c:tickLblPos val="nextTo"/>
        <c:crossAx val="116086656"/>
        <c:crosses val="autoZero"/>
        <c:crossBetween val="midCat"/>
      </c:valAx>
      <c:valAx>
        <c:axId val="116086656"/>
        <c:scaling>
          <c:orientation val="minMax"/>
        </c:scaling>
        <c:delete val="0"/>
        <c:axPos val="l"/>
        <c:majorGridlines>
          <c:spPr>
            <a:ln>
              <a:noFill/>
            </a:ln>
          </c:spPr>
        </c:majorGridlines>
        <c:title>
          <c:tx>
            <c:rich>
              <a:bodyPr rot="-5400000" vert="horz"/>
              <a:lstStyle/>
              <a:p>
                <a:pPr>
                  <a:defRPr/>
                </a:pPr>
                <a:r>
                  <a:rPr lang="en-US"/>
                  <a:t>Direct Area Requirements  (Acres/GWh/yr)</a:t>
                </a:r>
              </a:p>
            </c:rich>
          </c:tx>
          <c:overlay val="0"/>
        </c:title>
        <c:numFmt formatCode="General" sourceLinked="1"/>
        <c:majorTickMark val="out"/>
        <c:minorTickMark val="none"/>
        <c:tickLblPos val="nextTo"/>
        <c:crossAx val="116084736"/>
        <c:crosses val="autoZero"/>
        <c:crossBetween val="midCat"/>
        <c:minorUnit val="1"/>
      </c:valAx>
    </c:plotArea>
    <c:legend>
      <c:legendPos val="r"/>
      <c:layout>
        <c:manualLayout>
          <c:xMode val="edge"/>
          <c:yMode val="edge"/>
          <c:x val="0.70728548354532605"/>
          <c:y val="0.1492039056015434"/>
          <c:w val="0.24909233226853267"/>
          <c:h val="0.14598579021932487"/>
        </c:manualLayout>
      </c:layout>
      <c:overlay val="1"/>
    </c:legend>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0"/>
          <c:order val="0"/>
          <c:tx>
            <c:v>Capacity</c:v>
          </c:tx>
          <c:spPr>
            <a:ln w="28575">
              <a:noFill/>
            </a:ln>
          </c:spPr>
          <c:marker>
            <c:symbol val="diamond"/>
            <c:size val="6"/>
          </c:marker>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CSP!$L$3:$L$27</c:f>
              <c:numCache>
                <c:formatCode>0.00</c:formatCode>
                <c:ptCount val="25"/>
                <c:pt idx="0">
                  <c:v>5.8107344632768365</c:v>
                </c:pt>
                <c:pt idx="1">
                  <c:v>5.3</c:v>
                </c:pt>
                <c:pt idx="2">
                  <c:v>6.6140350877192979</c:v>
                </c:pt>
                <c:pt idx="3">
                  <c:v>7.06</c:v>
                </c:pt>
                <c:pt idx="4">
                  <c:v>11.096428571428572</c:v>
                </c:pt>
                <c:pt idx="5">
                  <c:v>6.666666666666667</c:v>
                </c:pt>
                <c:pt idx="6">
                  <c:v>6.25</c:v>
                </c:pt>
                <c:pt idx="8">
                  <c:v>18.559999999999999</c:v>
                </c:pt>
                <c:pt idx="9">
                  <c:v>4.666666666666667</c:v>
                </c:pt>
                <c:pt idx="10">
                  <c:v>10</c:v>
                </c:pt>
                <c:pt idx="11">
                  <c:v>13.2</c:v>
                </c:pt>
                <c:pt idx="12">
                  <c:v>17.066666666666666</c:v>
                </c:pt>
                <c:pt idx="13">
                  <c:v>16.75</c:v>
                </c:pt>
                <c:pt idx="14">
                  <c:v>17.066666666666666</c:v>
                </c:pt>
                <c:pt idx="15">
                  <c:v>14.545454545454545</c:v>
                </c:pt>
                <c:pt idx="16">
                  <c:v>15</c:v>
                </c:pt>
                <c:pt idx="17">
                  <c:v>10</c:v>
                </c:pt>
                <c:pt idx="18">
                  <c:v>6.56</c:v>
                </c:pt>
                <c:pt idx="19">
                  <c:v>6.56</c:v>
                </c:pt>
                <c:pt idx="20">
                  <c:v>7.666666666666667</c:v>
                </c:pt>
                <c:pt idx="21">
                  <c:v>7.666666666666667</c:v>
                </c:pt>
                <c:pt idx="22">
                  <c:v>7.666666666666667</c:v>
                </c:pt>
                <c:pt idx="23">
                  <c:v>6.615384615384615</c:v>
                </c:pt>
                <c:pt idx="24">
                  <c:v>9.5013262599469499</c:v>
                </c:pt>
              </c:numCache>
            </c:numRef>
          </c:yVal>
          <c:smooth val="0"/>
        </c:ser>
        <c:dLbls>
          <c:showLegendKey val="0"/>
          <c:showVal val="0"/>
          <c:showCatName val="0"/>
          <c:showSerName val="0"/>
          <c:showPercent val="0"/>
          <c:showBubbleSize val="0"/>
        </c:dLbls>
        <c:axId val="116201728"/>
        <c:axId val="116203904"/>
      </c:scatterChart>
      <c:valAx>
        <c:axId val="116201728"/>
        <c:scaling>
          <c:orientation val="minMax"/>
          <c:min val="1.0000000000000002E-2"/>
        </c:scaling>
        <c:delete val="0"/>
        <c:axPos val="b"/>
        <c:title>
          <c:tx>
            <c:rich>
              <a:bodyPr/>
              <a:lstStyle/>
              <a:p>
                <a:pPr>
                  <a:defRPr/>
                </a:pPr>
                <a:r>
                  <a:rPr lang="en-US"/>
                  <a:t>Storage (hours)</a:t>
                </a:r>
              </a:p>
            </c:rich>
          </c:tx>
          <c:overlay val="0"/>
        </c:title>
        <c:numFmt formatCode="#,##0" sourceLinked="0"/>
        <c:majorTickMark val="out"/>
        <c:minorTickMark val="none"/>
        <c:tickLblPos val="nextTo"/>
        <c:crossAx val="116203904"/>
        <c:crosses val="autoZero"/>
        <c:crossBetween val="midCat"/>
      </c:valAx>
      <c:valAx>
        <c:axId val="116203904"/>
        <c:scaling>
          <c:orientation val="minMax"/>
        </c:scaling>
        <c:delete val="0"/>
        <c:axPos val="l"/>
        <c:majorGridlines>
          <c:spPr>
            <a:ln>
              <a:noFill/>
            </a:ln>
          </c:spPr>
        </c:majorGridlines>
        <c:title>
          <c:tx>
            <c:rich>
              <a:bodyPr rot="-5400000" vert="horz"/>
              <a:lstStyle/>
              <a:p>
                <a:pPr>
                  <a:defRPr/>
                </a:pPr>
                <a:r>
                  <a:rPr lang="en-US"/>
                  <a:t>Total Area Requirements  (Acres/MW)</a:t>
                </a:r>
              </a:p>
            </c:rich>
          </c:tx>
          <c:overlay val="0"/>
        </c:title>
        <c:numFmt formatCode="0" sourceLinked="0"/>
        <c:majorTickMark val="out"/>
        <c:minorTickMark val="none"/>
        <c:tickLblPos val="nextTo"/>
        <c:crossAx val="116201728"/>
        <c:crosses val="autoZero"/>
        <c:crossBetween val="midCat"/>
        <c:minorUnit val="1"/>
      </c:valAx>
    </c:plotArea>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Storage</a:t>
            </a:r>
          </a:p>
        </c:rich>
      </c:tx>
      <c:overlay val="1"/>
    </c:title>
    <c:autoTitleDeleted val="0"/>
    <c:plotArea>
      <c:layout/>
      <c:scatterChart>
        <c:scatterStyle val="lineMarker"/>
        <c:varyColors val="0"/>
        <c:ser>
          <c:idx val="1"/>
          <c:order val="0"/>
          <c:spPr>
            <a:ln w="28575">
              <a:noFill/>
            </a:ln>
          </c:spPr>
          <c:marker>
            <c:symbol val="diamond"/>
            <c:size val="6"/>
            <c:spPr>
              <a:solidFill>
                <a:srgbClr val="0070C0"/>
              </a:solidFill>
              <a:ln>
                <a:solidFill>
                  <a:srgbClr val="0070C0"/>
                </a:solidFill>
              </a:ln>
            </c:spPr>
          </c:marker>
          <c:xVal>
            <c:numRef>
              <c:f>CSP!$Z$3:$Z$27</c:f>
              <c:numCache>
                <c:formatCode>General</c:formatCode>
                <c:ptCount val="25"/>
                <c:pt idx="0">
                  <c:v>0</c:v>
                </c:pt>
                <c:pt idx="1">
                  <c:v>0</c:v>
                </c:pt>
                <c:pt idx="2">
                  <c:v>0</c:v>
                </c:pt>
                <c:pt idx="3">
                  <c:v>0</c:v>
                </c:pt>
                <c:pt idx="4">
                  <c:v>6</c:v>
                </c:pt>
                <c:pt idx="5">
                  <c:v>0</c:v>
                </c:pt>
                <c:pt idx="6">
                  <c:v>0.5</c:v>
                </c:pt>
                <c:pt idx="8">
                  <c:v>0</c:v>
                </c:pt>
                <c:pt idx="9">
                  <c:v>0</c:v>
                </c:pt>
                <c:pt idx="10">
                  <c:v>0</c:v>
                </c:pt>
                <c:pt idx="11">
                  <c:v>3</c:v>
                </c:pt>
                <c:pt idx="12">
                  <c:v>7</c:v>
                </c:pt>
                <c:pt idx="13">
                  <c:v>10</c:v>
                </c:pt>
                <c:pt idx="14">
                  <c:v>10</c:v>
                </c:pt>
                <c:pt idx="15">
                  <c:v>10</c:v>
                </c:pt>
                <c:pt idx="16">
                  <c:v>15</c:v>
                </c:pt>
                <c:pt idx="17">
                  <c:v>0</c:v>
                </c:pt>
                <c:pt idx="18">
                  <c:v>0</c:v>
                </c:pt>
                <c:pt idx="19">
                  <c:v>0</c:v>
                </c:pt>
                <c:pt idx="20">
                  <c:v>0</c:v>
                </c:pt>
                <c:pt idx="21">
                  <c:v>0</c:v>
                </c:pt>
                <c:pt idx="22">
                  <c:v>0</c:v>
                </c:pt>
                <c:pt idx="23">
                  <c:v>0</c:v>
                </c:pt>
                <c:pt idx="24">
                  <c:v>0</c:v>
                </c:pt>
              </c:numCache>
            </c:numRef>
          </c:xVal>
          <c:yVal>
            <c:numRef>
              <c:f>CSP!$AL$3:$AL$27</c:f>
              <c:numCache>
                <c:formatCode>General</c:formatCode>
                <c:ptCount val="25"/>
                <c:pt idx="0">
                  <c:v>2.4352595541068882</c:v>
                </c:pt>
                <c:pt idx="1">
                  <c:v>1.9852662344304741</c:v>
                </c:pt>
                <c:pt idx="2">
                  <c:v>1.9914152161105301</c:v>
                </c:pt>
                <c:pt idx="4">
                  <c:v>1.8632485739368623</c:v>
                </c:pt>
                <c:pt idx="5">
                  <c:v>4.4976580863006808</c:v>
                </c:pt>
                <c:pt idx="6">
                  <c:v>2.1476084302873009</c:v>
                </c:pt>
                <c:pt idx="8">
                  <c:v>3.2168948055400226</c:v>
                </c:pt>
                <c:pt idx="9">
                  <c:v>1.7090127136782036</c:v>
                </c:pt>
                <c:pt idx="10">
                  <c:v>1.5067214738086929</c:v>
                </c:pt>
                <c:pt idx="11">
                  <c:v>3.3464653704873335</c:v>
                </c:pt>
                <c:pt idx="12">
                  <c:v>2.1069001477425622</c:v>
                </c:pt>
                <c:pt idx="15">
                  <c:v>2.7074367036271965</c:v>
                </c:pt>
                <c:pt idx="16">
                  <c:v>2.2610435310934207</c:v>
                </c:pt>
                <c:pt idx="17">
                  <c:v>4.406316665536063</c:v>
                </c:pt>
                <c:pt idx="18">
                  <c:v>2.5541836318357816</c:v>
                </c:pt>
                <c:pt idx="19">
                  <c:v>2.5541836318357816</c:v>
                </c:pt>
                <c:pt idx="23">
                  <c:v>5.2859984843094878</c:v>
                </c:pt>
                <c:pt idx="24">
                  <c:v>3.7123822181715482</c:v>
                </c:pt>
              </c:numCache>
            </c:numRef>
          </c:yVal>
          <c:smooth val="0"/>
        </c:ser>
        <c:dLbls>
          <c:showLegendKey val="0"/>
          <c:showVal val="0"/>
          <c:showCatName val="0"/>
          <c:showSerName val="0"/>
          <c:showPercent val="0"/>
          <c:showBubbleSize val="0"/>
        </c:dLbls>
        <c:axId val="116232192"/>
        <c:axId val="116234496"/>
      </c:scatterChart>
      <c:valAx>
        <c:axId val="116232192"/>
        <c:scaling>
          <c:orientation val="minMax"/>
        </c:scaling>
        <c:delete val="0"/>
        <c:axPos val="b"/>
        <c:title>
          <c:tx>
            <c:rich>
              <a:bodyPr/>
              <a:lstStyle/>
              <a:p>
                <a:pPr>
                  <a:defRPr/>
                </a:pPr>
                <a:r>
                  <a:rPr lang="en-US"/>
                  <a:t>Storage (hours)</a:t>
                </a:r>
              </a:p>
            </c:rich>
          </c:tx>
          <c:overlay val="0"/>
        </c:title>
        <c:numFmt formatCode="General" sourceLinked="1"/>
        <c:majorTickMark val="out"/>
        <c:minorTickMark val="none"/>
        <c:tickLblPos val="nextTo"/>
        <c:crossAx val="116234496"/>
        <c:crosses val="autoZero"/>
        <c:crossBetween val="midCat"/>
      </c:valAx>
      <c:valAx>
        <c:axId val="116234496"/>
        <c:scaling>
          <c:orientation val="minMax"/>
        </c:scaling>
        <c:delete val="0"/>
        <c:axPos val="l"/>
        <c:majorGridlines>
          <c:spPr>
            <a:ln>
              <a:noFill/>
            </a:ln>
          </c:spPr>
        </c:majorGridlines>
        <c:title>
          <c:tx>
            <c:rich>
              <a:bodyPr rot="-5400000" vert="horz"/>
              <a:lstStyle/>
              <a:p>
                <a:pPr>
                  <a:defRPr/>
                </a:pPr>
                <a:r>
                  <a:rPr lang="en-US"/>
                  <a:t>Direct Area Requirements  (Acres/GWh/yr)</a:t>
                </a:r>
              </a:p>
            </c:rich>
          </c:tx>
          <c:overlay val="0"/>
        </c:title>
        <c:numFmt formatCode="0" sourceLinked="0"/>
        <c:majorTickMark val="out"/>
        <c:minorTickMark val="none"/>
        <c:tickLblPos val="nextTo"/>
        <c:crossAx val="116232192"/>
        <c:crosses val="autoZero"/>
        <c:crossBetween val="midCat"/>
        <c:minorUnit val="1"/>
      </c:valAx>
    </c:plotArea>
    <c:legend>
      <c:legendPos val="r"/>
      <c:layout>
        <c:manualLayout>
          <c:xMode val="edge"/>
          <c:yMode val="edge"/>
          <c:x val="0.79673287836269513"/>
          <c:y val="0.23268474910622136"/>
          <c:w val="0.15857144224698971"/>
          <c:h val="0.14750524973560136"/>
        </c:manualLayout>
      </c:layout>
      <c:overlay val="1"/>
    </c:legend>
    <c:plotVisOnly val="1"/>
    <c:dispBlanksAs val="gap"/>
    <c:showDLblsOverMax val="0"/>
  </c:chart>
  <c:txPr>
    <a:bodyPr/>
    <a:lstStyle/>
    <a:p>
      <a:pPr>
        <a:defRPr sz="1200"/>
      </a:pPr>
      <a:endParaRPr lang="en-US"/>
    </a:p>
  </c:txPr>
  <c:printSettings>
    <c:headerFooter/>
    <c:pageMargins b="0.75000000000000056" l="0.70000000000000051" r="0.70000000000000051" t="0.75000000000000056" header="0.30000000000000027" footer="0.30000000000000027"/>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4723344379454"/>
          <c:y val="8.7291576195540108E-2"/>
          <c:w val="0.82021206588304985"/>
          <c:h val="0.75802642316769264"/>
        </c:manualLayout>
      </c:layout>
      <c:scatterChart>
        <c:scatterStyle val="lineMarker"/>
        <c:varyColors val="0"/>
        <c:ser>
          <c:idx val="0"/>
          <c:order val="0"/>
          <c:tx>
            <c:strRef>
              <c:f>CSP!$U$2</c:f>
              <c:strCache>
                <c:ptCount val="1"/>
                <c:pt idx="0">
                  <c:v>Type</c:v>
                </c:pt>
              </c:strCache>
            </c:strRef>
          </c:tx>
          <c:spPr>
            <a:ln w="28575">
              <a:noFill/>
            </a:ln>
          </c:spPr>
          <c:marker>
            <c:symbol val="diamond"/>
            <c:size val="5"/>
          </c:marker>
          <c:trendline>
            <c:trendlineType val="linear"/>
            <c:dispRSqr val="1"/>
            <c:dispEq val="0"/>
            <c:trendlineLbl>
              <c:numFmt formatCode="General" sourceLinked="0"/>
            </c:trendlineLbl>
          </c:trendline>
          <c:xVal>
            <c:numRef>
              <c:f>CSP!$D$3:$G$27</c:f>
              <c:numCache>
                <c:formatCode>General</c:formatCode>
                <c:ptCount val="25"/>
                <c:pt idx="0">
                  <c:v>354000</c:v>
                </c:pt>
                <c:pt idx="1">
                  <c:v>50000</c:v>
                </c:pt>
                <c:pt idx="2">
                  <c:v>57000</c:v>
                </c:pt>
                <c:pt idx="3">
                  <c:v>250000</c:v>
                </c:pt>
                <c:pt idx="4">
                  <c:v>280000</c:v>
                </c:pt>
                <c:pt idx="5">
                  <c:v>75000</c:v>
                </c:pt>
                <c:pt idx="6">
                  <c:v>64000</c:v>
                </c:pt>
                <c:pt idx="8">
                  <c:v>250000</c:v>
                </c:pt>
                <c:pt idx="9">
                  <c:v>7500</c:v>
                </c:pt>
                <c:pt idx="10">
                  <c:v>1500</c:v>
                </c:pt>
                <c:pt idx="11">
                  <c:v>10000</c:v>
                </c:pt>
                <c:pt idx="12">
                  <c:v>150000</c:v>
                </c:pt>
                <c:pt idx="13">
                  <c:v>100000</c:v>
                </c:pt>
                <c:pt idx="14">
                  <c:v>150000</c:v>
                </c:pt>
                <c:pt idx="15">
                  <c:v>110000</c:v>
                </c:pt>
                <c:pt idx="16">
                  <c:v>200000</c:v>
                </c:pt>
                <c:pt idx="17">
                  <c:v>5000</c:v>
                </c:pt>
                <c:pt idx="18">
                  <c:v>250000</c:v>
                </c:pt>
                <c:pt idx="19">
                  <c:v>250000</c:v>
                </c:pt>
                <c:pt idx="20">
                  <c:v>250000</c:v>
                </c:pt>
                <c:pt idx="21">
                  <c:v>250000</c:v>
                </c:pt>
                <c:pt idx="22">
                  <c:v>250000</c:v>
                </c:pt>
                <c:pt idx="23">
                  <c:v>13000</c:v>
                </c:pt>
                <c:pt idx="24">
                  <c:v>377000</c:v>
                </c:pt>
              </c:numCache>
            </c:numRef>
          </c:xVal>
          <c:yVal>
            <c:numRef>
              <c:f>CSP!$AK$3:$AK$27</c:f>
              <c:numCache>
                <c:formatCode>General</c:formatCode>
                <c:ptCount val="25"/>
                <c:pt idx="0">
                  <c:v>2.4352595541068882</c:v>
                </c:pt>
                <c:pt idx="1">
                  <c:v>2.2873719657568508</c:v>
                </c:pt>
                <c:pt idx="2">
                  <c:v>3.0030541458946796</c:v>
                </c:pt>
                <c:pt idx="3">
                  <c:v>2.9556925608835405</c:v>
                </c:pt>
                <c:pt idx="4">
                  <c:v>2.9953501936264453</c:v>
                </c:pt>
                <c:pt idx="5">
                  <c:v>5.6220726078758512</c:v>
                </c:pt>
                <c:pt idx="6">
                  <c:v>2.9622185245342081</c:v>
                </c:pt>
                <c:pt idx="8">
                  <c:v>8.2924399431698372</c:v>
                </c:pt>
                <c:pt idx="9">
                  <c:v>4.0144593945461162</c:v>
                </c:pt>
                <c:pt idx="10">
                  <c:v>5.3429839496762153</c:v>
                </c:pt>
                <c:pt idx="11">
                  <c:v>4.0157584445848</c:v>
                </c:pt>
                <c:pt idx="12">
                  <c:v>3.825293885263092</c:v>
                </c:pt>
                <c:pt idx="13">
                  <c:v>3.0602169373719041</c:v>
                </c:pt>
                <c:pt idx="14">
                  <c:v>3.3044156689732209</c:v>
                </c:pt>
                <c:pt idx="15">
                  <c:v>2.8368688446650387</c:v>
                </c:pt>
                <c:pt idx="16">
                  <c:v>2.5414502035519901</c:v>
                </c:pt>
                <c:pt idx="17">
                  <c:v>10.124808514558968</c:v>
                </c:pt>
                <c:pt idx="18">
                  <c:v>2.6860283143383663</c:v>
                </c:pt>
                <c:pt idx="19">
                  <c:v>2.6860283143383663</c:v>
                </c:pt>
                <c:pt idx="20">
                  <c:v>3.1656641151557046</c:v>
                </c:pt>
                <c:pt idx="21">
                  <c:v>3.1656641151557046</c:v>
                </c:pt>
                <c:pt idx="22">
                  <c:v>3.1656641151557046</c:v>
                </c:pt>
                <c:pt idx="23">
                  <c:v>7.975366134221332</c:v>
                </c:pt>
                <c:pt idx="24">
                  <c:v>4.0332887793419729</c:v>
                </c:pt>
              </c:numCache>
            </c:numRef>
          </c:yVal>
          <c:smooth val="0"/>
        </c:ser>
        <c:dLbls>
          <c:showLegendKey val="0"/>
          <c:showVal val="0"/>
          <c:showCatName val="0"/>
          <c:showSerName val="0"/>
          <c:showPercent val="0"/>
          <c:showBubbleSize val="0"/>
        </c:dLbls>
        <c:axId val="116264320"/>
        <c:axId val="116266880"/>
      </c:scatterChart>
      <c:valAx>
        <c:axId val="116264320"/>
        <c:scaling>
          <c:orientation val="minMax"/>
        </c:scaling>
        <c:delete val="0"/>
        <c:axPos val="b"/>
        <c:title>
          <c:tx>
            <c:rich>
              <a:bodyPr/>
              <a:lstStyle/>
              <a:p>
                <a:pPr>
                  <a:defRPr/>
                </a:pPr>
                <a:r>
                  <a:rPr lang="en-US"/>
                  <a:t>Capacity (MW-AC)</a:t>
                </a:r>
              </a:p>
            </c:rich>
          </c:tx>
          <c:overlay val="0"/>
        </c:title>
        <c:numFmt formatCode="General" sourceLinked="1"/>
        <c:majorTickMark val="out"/>
        <c:minorTickMark val="none"/>
        <c:tickLblPos val="nextTo"/>
        <c:crossAx val="116266880"/>
        <c:crosses val="autoZero"/>
        <c:crossBetween val="midCat"/>
        <c:dispUnits>
          <c:builtInUnit val="thousands"/>
        </c:dispUnits>
      </c:valAx>
      <c:valAx>
        <c:axId val="116266880"/>
        <c:scaling>
          <c:orientation val="minMax"/>
        </c:scaling>
        <c:delete val="0"/>
        <c:axPos val="l"/>
        <c:title>
          <c:tx>
            <c:rich>
              <a:bodyPr rot="-5400000" vert="horz"/>
              <a:lstStyle/>
              <a:p>
                <a:pPr>
                  <a:defRPr/>
                </a:pPr>
                <a:r>
                  <a:rPr lang="en-US"/>
                  <a:t>Total Land Use (Acres/GWh/yr)</a:t>
                </a:r>
              </a:p>
            </c:rich>
          </c:tx>
          <c:overlay val="0"/>
        </c:title>
        <c:numFmt formatCode="0" sourceLinked="0"/>
        <c:majorTickMark val="out"/>
        <c:minorTickMark val="none"/>
        <c:tickLblPos val="nextTo"/>
        <c:crossAx val="116264320"/>
        <c:crosses val="autoZero"/>
        <c:crossBetween val="midCat"/>
      </c:valAx>
    </c:plotArea>
    <c:legend>
      <c:legendPos val="r"/>
      <c:layout>
        <c:manualLayout>
          <c:xMode val="edge"/>
          <c:yMode val="edge"/>
          <c:x val="0.79772760192446057"/>
          <c:y val="7.1107019851031281E-2"/>
          <c:w val="0.17441664936765791"/>
          <c:h val="0.37265938712789104"/>
        </c:manualLayout>
      </c:layout>
      <c:overlay val="0"/>
    </c:legend>
    <c:plotVisOnly val="1"/>
    <c:dispBlanksAs val="gap"/>
    <c:showDLblsOverMax val="0"/>
  </c:chart>
  <c:txPr>
    <a:bodyPr/>
    <a:lstStyle/>
    <a:p>
      <a:pPr>
        <a:defRPr sz="1200"/>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Wholesale</a:t>
            </a:r>
            <a:r>
              <a:rPr lang="en-US" sz="2000" baseline="0"/>
              <a:t> Distributed PV</a:t>
            </a:r>
            <a:endParaRPr lang="en-US" sz="2000"/>
          </a:p>
        </c:rich>
      </c:tx>
      <c:overlay val="1"/>
    </c:title>
    <c:autoTitleDeleted val="0"/>
    <c:plotArea>
      <c:layout>
        <c:manualLayout>
          <c:layoutTarget val="inner"/>
          <c:xMode val="edge"/>
          <c:yMode val="edge"/>
          <c:x val="0.11616283254336293"/>
          <c:y val="9.9979948169826693E-2"/>
          <c:w val="0.85170687963772174"/>
          <c:h val="0.73566318548411502"/>
        </c:manualLayout>
      </c:layout>
      <c:barChart>
        <c:barDir val="col"/>
        <c:grouping val="clustered"/>
        <c:varyColors val="0"/>
        <c:ser>
          <c:idx val="0"/>
          <c:order val="0"/>
          <c:tx>
            <c:v>1 Axis</c:v>
          </c:tx>
          <c:spPr>
            <a:solidFill>
              <a:srgbClr val="87A9D3"/>
            </a:solidFill>
          </c:spPr>
          <c:invertIfNegative val="0"/>
          <c:cat>
            <c:strRef>
              <c:f>Statistics!$A$3:$A$11</c:f>
              <c:strCache>
                <c:ptCount val="9"/>
                <c:pt idx="0">
                  <c:v>&lt;1</c:v>
                </c:pt>
                <c:pt idx="1">
                  <c:v>1.5</c:v>
                </c:pt>
                <c:pt idx="2">
                  <c:v>2</c:v>
                </c:pt>
                <c:pt idx="3">
                  <c:v>2.5</c:v>
                </c:pt>
                <c:pt idx="4">
                  <c:v>3</c:v>
                </c:pt>
                <c:pt idx="5">
                  <c:v>3.5</c:v>
                </c:pt>
                <c:pt idx="6">
                  <c:v>4</c:v>
                </c:pt>
                <c:pt idx="7">
                  <c:v>4.5</c:v>
                </c:pt>
                <c:pt idx="8">
                  <c:v>&gt;4.5</c:v>
                </c:pt>
              </c:strCache>
            </c:strRef>
          </c:cat>
          <c:val>
            <c:numRef>
              <c:f>Statistics!$F$3:$F$11</c:f>
              <c:numCache>
                <c:formatCode>General</c:formatCode>
                <c:ptCount val="9"/>
                <c:pt idx="0">
                  <c:v>0</c:v>
                </c:pt>
                <c:pt idx="1">
                  <c:v>0</c:v>
                </c:pt>
                <c:pt idx="2">
                  <c:v>0</c:v>
                </c:pt>
                <c:pt idx="3">
                  <c:v>0</c:v>
                </c:pt>
                <c:pt idx="4">
                  <c:v>0</c:v>
                </c:pt>
                <c:pt idx="5">
                  <c:v>0</c:v>
                </c:pt>
                <c:pt idx="6">
                  <c:v>0</c:v>
                </c:pt>
                <c:pt idx="7">
                  <c:v>0</c:v>
                </c:pt>
                <c:pt idx="8">
                  <c:v>0</c:v>
                </c:pt>
              </c:numCache>
            </c:numRef>
          </c:val>
        </c:ser>
        <c:ser>
          <c:idx val="1"/>
          <c:order val="1"/>
          <c:tx>
            <c:v>Fixed</c:v>
          </c:tx>
          <c:spPr>
            <a:solidFill>
              <a:schemeClr val="tx2"/>
            </a:solidFill>
          </c:spPr>
          <c:invertIfNegative val="0"/>
          <c:val>
            <c:numRef>
              <c:f>Statistics!$C$3:$C$11</c:f>
              <c:numCache>
                <c:formatCode>General</c:formatCode>
                <c:ptCount val="9"/>
                <c:pt idx="0">
                  <c:v>0</c:v>
                </c:pt>
                <c:pt idx="1">
                  <c:v>0</c:v>
                </c:pt>
                <c:pt idx="2">
                  <c:v>0</c:v>
                </c:pt>
                <c:pt idx="3">
                  <c:v>0</c:v>
                </c:pt>
                <c:pt idx="4">
                  <c:v>0</c:v>
                </c:pt>
                <c:pt idx="5">
                  <c:v>4.257038546024364</c:v>
                </c:pt>
                <c:pt idx="6">
                  <c:v>1.9582377311712076</c:v>
                </c:pt>
                <c:pt idx="7">
                  <c:v>6.5558393608775205</c:v>
                </c:pt>
                <c:pt idx="8">
                  <c:v>211.61130310330873</c:v>
                </c:pt>
              </c:numCache>
            </c:numRef>
          </c:val>
        </c:ser>
        <c:dLbls>
          <c:showLegendKey val="0"/>
          <c:showVal val="0"/>
          <c:showCatName val="0"/>
          <c:showSerName val="0"/>
          <c:showPercent val="0"/>
          <c:showBubbleSize val="0"/>
        </c:dLbls>
        <c:gapWidth val="88"/>
        <c:overlap val="-6"/>
        <c:axId val="116867456"/>
        <c:axId val="116869376"/>
      </c:barChart>
      <c:catAx>
        <c:axId val="116867456"/>
        <c:scaling>
          <c:orientation val="minMax"/>
        </c:scaling>
        <c:delete val="0"/>
        <c:axPos val="b"/>
        <c:title>
          <c:tx>
            <c:rich>
              <a:bodyPr/>
              <a:lstStyle/>
              <a:p>
                <a:pPr>
                  <a:defRPr sz="1600"/>
                </a:pPr>
                <a:r>
                  <a:rPr lang="en-US" sz="1600"/>
                  <a:t>Total Area (Hectares/MW)</a:t>
                </a:r>
              </a:p>
            </c:rich>
          </c:tx>
          <c:overlay val="0"/>
        </c:title>
        <c:numFmt formatCode="General" sourceLinked="1"/>
        <c:majorTickMark val="out"/>
        <c:minorTickMark val="none"/>
        <c:tickLblPos val="nextTo"/>
        <c:txPr>
          <a:bodyPr/>
          <a:lstStyle/>
          <a:p>
            <a:pPr>
              <a:defRPr sz="1800"/>
            </a:pPr>
            <a:endParaRPr lang="en-US"/>
          </a:p>
        </c:txPr>
        <c:crossAx val="116869376"/>
        <c:crosses val="autoZero"/>
        <c:auto val="1"/>
        <c:lblAlgn val="ctr"/>
        <c:lblOffset val="100"/>
        <c:noMultiLvlLbl val="0"/>
      </c:catAx>
      <c:valAx>
        <c:axId val="116869376"/>
        <c:scaling>
          <c:orientation val="minMax"/>
        </c:scaling>
        <c:delete val="0"/>
        <c:axPos val="l"/>
        <c:majorGridlines>
          <c:spPr>
            <a:ln>
              <a:solidFill>
                <a:sysClr val="window" lastClr="FFFFFF">
                  <a:lumMod val="50000"/>
                  <a:alpha val="30000"/>
                </a:sysClr>
              </a:solidFill>
            </a:ln>
          </c:spPr>
        </c:majorGridlines>
        <c:title>
          <c:tx>
            <c:rich>
              <a:bodyPr rot="-5400000" vert="horz"/>
              <a:lstStyle/>
              <a:p>
                <a:pPr>
                  <a:defRPr sz="1600"/>
                </a:pPr>
                <a:r>
                  <a:rPr lang="en-US" sz="1600"/>
                  <a:t>Total Capacity (MW)</a:t>
                </a:r>
              </a:p>
            </c:rich>
          </c:tx>
          <c:overlay val="0"/>
        </c:title>
        <c:numFmt formatCode="General" sourceLinked="1"/>
        <c:majorTickMark val="out"/>
        <c:minorTickMark val="none"/>
        <c:tickLblPos val="nextTo"/>
        <c:txPr>
          <a:bodyPr/>
          <a:lstStyle/>
          <a:p>
            <a:pPr>
              <a:defRPr sz="1800"/>
            </a:pPr>
            <a:endParaRPr lang="en-US"/>
          </a:p>
        </c:txPr>
        <c:crossAx val="116867456"/>
        <c:crosses val="autoZero"/>
        <c:crossBetween val="between"/>
      </c:valAx>
    </c:plotArea>
    <c:legend>
      <c:legendPos val="t"/>
      <c:layout>
        <c:manualLayout>
          <c:xMode val="edge"/>
          <c:yMode val="edge"/>
          <c:x val="0.17302605473760993"/>
          <c:y val="0.15272192367925888"/>
          <c:w val="0.27261596051361681"/>
          <c:h val="0.10550121297929459"/>
        </c:manualLayout>
      </c:layout>
      <c:overlay val="0"/>
      <c:txPr>
        <a:bodyPr/>
        <a:lstStyle/>
        <a:p>
          <a:pPr>
            <a:defRPr sz="1800"/>
          </a:pPr>
          <a:endParaRPr lang="en-US"/>
        </a:p>
      </c:txPr>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Physicsal Area: 1 Axis Tracking</a:t>
            </a:r>
          </a:p>
        </c:rich>
      </c:tx>
      <c:layout>
        <c:manualLayout>
          <c:xMode val="edge"/>
          <c:yMode val="edge"/>
          <c:x val="0.25221410844515579"/>
          <c:y val="1.2618296529968416E-2"/>
        </c:manualLayout>
      </c:layout>
      <c:overlay val="1"/>
    </c:title>
    <c:autoTitleDeleted val="0"/>
    <c:plotArea>
      <c:layout/>
      <c:barChart>
        <c:barDir val="col"/>
        <c:grouping val="stacked"/>
        <c:varyColors val="0"/>
        <c:ser>
          <c:idx val="0"/>
          <c:order val="0"/>
          <c:invertIfNegative val="0"/>
          <c:cat>
            <c:strRef>
              <c:f>Statistics!$A$30:$A$39</c:f>
              <c:strCache>
                <c:ptCount val="10"/>
                <c:pt idx="0">
                  <c:v>&lt;20</c:v>
                </c:pt>
                <c:pt idx="1">
                  <c:v>25</c:v>
                </c:pt>
                <c:pt idx="2">
                  <c:v>30</c:v>
                </c:pt>
                <c:pt idx="3">
                  <c:v>35</c:v>
                </c:pt>
                <c:pt idx="4">
                  <c:v>40</c:v>
                </c:pt>
                <c:pt idx="5">
                  <c:v>45</c:v>
                </c:pt>
                <c:pt idx="6">
                  <c:v>50</c:v>
                </c:pt>
                <c:pt idx="7">
                  <c:v>55</c:v>
                </c:pt>
                <c:pt idx="8">
                  <c:v>60</c:v>
                </c:pt>
                <c:pt idx="9">
                  <c:v>&gt;60</c:v>
                </c:pt>
              </c:strCache>
            </c:strRef>
          </c:cat>
          <c:val>
            <c:numRef>
              <c:f>Statistics!$F$30:$F$39</c:f>
              <c:numCache>
                <c:formatCode>General</c:formatCode>
                <c:ptCount val="10"/>
                <c:pt idx="0">
                  <c:v>0</c:v>
                </c:pt>
                <c:pt idx="1">
                  <c:v>1</c:v>
                </c:pt>
                <c:pt idx="2">
                  <c:v>12.395999999999958</c:v>
                </c:pt>
                <c:pt idx="3">
                  <c:v>57.079800000000006</c:v>
                </c:pt>
                <c:pt idx="4">
                  <c:v>24.854439999999997</c:v>
                </c:pt>
                <c:pt idx="5">
                  <c:v>40.839800000000011</c:v>
                </c:pt>
                <c:pt idx="6">
                  <c:v>29.845254232357107</c:v>
                </c:pt>
                <c:pt idx="7">
                  <c:v>13.030719999999999</c:v>
                </c:pt>
                <c:pt idx="8">
                  <c:v>0</c:v>
                </c:pt>
                <c:pt idx="9">
                  <c:v>14.8</c:v>
                </c:pt>
              </c:numCache>
            </c:numRef>
          </c:val>
        </c:ser>
        <c:dLbls>
          <c:showLegendKey val="0"/>
          <c:showVal val="0"/>
          <c:showCatName val="0"/>
          <c:showSerName val="0"/>
          <c:showPercent val="0"/>
          <c:showBubbleSize val="0"/>
        </c:dLbls>
        <c:gapWidth val="150"/>
        <c:overlap val="100"/>
        <c:axId val="116886144"/>
        <c:axId val="116904704"/>
      </c:barChart>
      <c:catAx>
        <c:axId val="116886144"/>
        <c:scaling>
          <c:orientation val="minMax"/>
        </c:scaling>
        <c:delete val="0"/>
        <c:axPos val="b"/>
        <c:title>
          <c:tx>
            <c:rich>
              <a:bodyPr/>
              <a:lstStyle/>
              <a:p>
                <a:pPr>
                  <a:defRPr/>
                </a:pPr>
                <a:r>
                  <a:rPr lang="en-US"/>
                  <a:t>MW/km²</a:t>
                </a:r>
              </a:p>
            </c:rich>
          </c:tx>
          <c:overlay val="0"/>
        </c:title>
        <c:numFmt formatCode="General" sourceLinked="1"/>
        <c:majorTickMark val="out"/>
        <c:minorTickMark val="none"/>
        <c:tickLblPos val="nextTo"/>
        <c:crossAx val="116904704"/>
        <c:crosses val="autoZero"/>
        <c:auto val="1"/>
        <c:lblAlgn val="ctr"/>
        <c:lblOffset val="100"/>
        <c:noMultiLvlLbl val="0"/>
      </c:catAx>
      <c:valAx>
        <c:axId val="116904704"/>
        <c:scaling>
          <c:orientation val="minMax"/>
        </c:scaling>
        <c:delete val="0"/>
        <c:axPos val="l"/>
        <c:title>
          <c:tx>
            <c:rich>
              <a:bodyPr rot="-5400000" vert="horz"/>
              <a:lstStyle/>
              <a:p>
                <a:pPr>
                  <a:defRPr/>
                </a:pPr>
                <a:r>
                  <a:rPr lang="en-US"/>
                  <a:t>MW</a:t>
                </a:r>
              </a:p>
            </c:rich>
          </c:tx>
          <c:overlay val="0"/>
        </c:title>
        <c:numFmt formatCode="General" sourceLinked="1"/>
        <c:majorTickMark val="out"/>
        <c:minorTickMark val="none"/>
        <c:tickLblPos val="nextTo"/>
        <c:crossAx val="116886144"/>
        <c:crosses val="autoZero"/>
        <c:crossBetween val="between"/>
      </c:valAx>
    </c:plotArea>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a:t>
            </a:r>
            <a:r>
              <a:rPr lang="en-US" baseline="0"/>
              <a:t> Area: 1 Axis Tracking</a:t>
            </a:r>
            <a:endParaRPr lang="en-US"/>
          </a:p>
        </c:rich>
      </c:tx>
      <c:layout>
        <c:manualLayout>
          <c:xMode val="edge"/>
          <c:yMode val="edge"/>
          <c:x val="0.43435561545798607"/>
          <c:y val="4.6267087276550975E-2"/>
        </c:manualLayout>
      </c:layout>
      <c:overlay val="0"/>
    </c:title>
    <c:autoTitleDeleted val="0"/>
    <c:plotArea>
      <c:layout>
        <c:manualLayout>
          <c:layoutTarget val="inner"/>
          <c:xMode val="edge"/>
          <c:yMode val="edge"/>
          <c:x val="0.16121412384870501"/>
          <c:y val="7.5917856909518522E-2"/>
          <c:w val="0.80444739922021558"/>
          <c:h val="0.71498017006549264"/>
        </c:manualLayout>
      </c:layout>
      <c:barChart>
        <c:barDir val="col"/>
        <c:grouping val="stacked"/>
        <c:varyColors val="0"/>
        <c:ser>
          <c:idx val="0"/>
          <c:order val="0"/>
          <c:invertIfNegative val="0"/>
          <c:cat>
            <c:strRef>
              <c:f>Statistics!$A$3:$A$11</c:f>
              <c:strCache>
                <c:ptCount val="9"/>
                <c:pt idx="0">
                  <c:v>&lt;1</c:v>
                </c:pt>
                <c:pt idx="1">
                  <c:v>1.5</c:v>
                </c:pt>
                <c:pt idx="2">
                  <c:v>2</c:v>
                </c:pt>
                <c:pt idx="3">
                  <c:v>2.5</c:v>
                </c:pt>
                <c:pt idx="4">
                  <c:v>3</c:v>
                </c:pt>
                <c:pt idx="5">
                  <c:v>3.5</c:v>
                </c:pt>
                <c:pt idx="6">
                  <c:v>4</c:v>
                </c:pt>
                <c:pt idx="7">
                  <c:v>4.5</c:v>
                </c:pt>
                <c:pt idx="8">
                  <c:v>&gt;4.5</c:v>
                </c:pt>
              </c:strCache>
            </c:strRef>
          </c:cat>
          <c:val>
            <c:numRef>
              <c:f>Statistics!$G$3:$G$11</c:f>
              <c:numCache>
                <c:formatCode>General</c:formatCode>
                <c:ptCount val="9"/>
                <c:pt idx="0">
                  <c:v>0</c:v>
                </c:pt>
                <c:pt idx="1">
                  <c:v>0</c:v>
                </c:pt>
                <c:pt idx="2">
                  <c:v>0</c:v>
                </c:pt>
                <c:pt idx="3">
                  <c:v>0</c:v>
                </c:pt>
                <c:pt idx="4">
                  <c:v>0</c:v>
                </c:pt>
                <c:pt idx="5">
                  <c:v>0</c:v>
                </c:pt>
                <c:pt idx="6">
                  <c:v>0</c:v>
                </c:pt>
                <c:pt idx="7">
                  <c:v>0</c:v>
                </c:pt>
                <c:pt idx="8">
                  <c:v>54</c:v>
                </c:pt>
              </c:numCache>
            </c:numRef>
          </c:val>
        </c:ser>
        <c:dLbls>
          <c:showLegendKey val="0"/>
          <c:showVal val="0"/>
          <c:showCatName val="0"/>
          <c:showSerName val="0"/>
          <c:showPercent val="0"/>
          <c:showBubbleSize val="0"/>
        </c:dLbls>
        <c:gapWidth val="150"/>
        <c:overlap val="100"/>
        <c:axId val="116790016"/>
        <c:axId val="116791936"/>
      </c:barChart>
      <c:catAx>
        <c:axId val="116790016"/>
        <c:scaling>
          <c:orientation val="minMax"/>
        </c:scaling>
        <c:delete val="0"/>
        <c:axPos val="b"/>
        <c:title>
          <c:tx>
            <c:rich>
              <a:bodyPr/>
              <a:lstStyle/>
              <a:p>
                <a:pPr>
                  <a:defRPr/>
                </a:pPr>
                <a:r>
                  <a:rPr lang="en-US"/>
                  <a:t>MW/km²</a:t>
                </a:r>
              </a:p>
            </c:rich>
          </c:tx>
          <c:overlay val="0"/>
        </c:title>
        <c:numFmt formatCode="General" sourceLinked="1"/>
        <c:majorTickMark val="out"/>
        <c:minorTickMark val="none"/>
        <c:tickLblPos val="nextTo"/>
        <c:crossAx val="116791936"/>
        <c:crosses val="autoZero"/>
        <c:auto val="1"/>
        <c:lblAlgn val="ctr"/>
        <c:lblOffset val="100"/>
        <c:noMultiLvlLbl val="0"/>
      </c:catAx>
      <c:valAx>
        <c:axId val="116791936"/>
        <c:scaling>
          <c:orientation val="minMax"/>
        </c:scaling>
        <c:delete val="0"/>
        <c:axPos val="l"/>
        <c:title>
          <c:tx>
            <c:rich>
              <a:bodyPr rot="-5400000" vert="horz"/>
              <a:lstStyle/>
              <a:p>
                <a:pPr>
                  <a:defRPr/>
                </a:pPr>
                <a:r>
                  <a:rPr lang="en-US"/>
                  <a:t>Number of Installations</a:t>
                </a:r>
              </a:p>
            </c:rich>
          </c:tx>
          <c:overlay val="0"/>
        </c:title>
        <c:numFmt formatCode="General" sourceLinked="1"/>
        <c:majorTickMark val="out"/>
        <c:minorTickMark val="none"/>
        <c:tickLblPos val="nextTo"/>
        <c:crossAx val="116790016"/>
        <c:crosses val="autoZero"/>
        <c:crossBetween val="between"/>
        <c:majorUnit val="1"/>
      </c:valAx>
    </c:plotArea>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Area</a:t>
            </a:r>
          </a:p>
        </c:rich>
      </c:tx>
      <c:layout>
        <c:manualLayout>
          <c:xMode val="edge"/>
          <c:yMode val="edge"/>
          <c:x val="0.39036840503633663"/>
          <c:y val="3.1974420463629256E-2"/>
        </c:manualLayout>
      </c:layout>
      <c:overlay val="1"/>
    </c:title>
    <c:autoTitleDeleted val="0"/>
    <c:plotArea>
      <c:layout>
        <c:manualLayout>
          <c:layoutTarget val="inner"/>
          <c:xMode val="edge"/>
          <c:yMode val="edge"/>
          <c:x val="0.10954714899768195"/>
          <c:y val="7.66379022766039E-2"/>
          <c:w val="0.8202120658830494"/>
          <c:h val="0.75802642316769264"/>
        </c:manualLayout>
      </c:layout>
      <c:scatterChart>
        <c:scatterStyle val="lineMarker"/>
        <c:varyColors val="0"/>
        <c:ser>
          <c:idx val="0"/>
          <c:order val="0"/>
          <c:tx>
            <c:v>1 Axis</c:v>
          </c:tx>
          <c:spPr>
            <a:ln w="28575">
              <a:noFill/>
            </a:ln>
          </c:spPr>
          <c:xVal>
            <c:numRef>
              <c:f>Data!$AB$3:$AB$57</c:f>
              <c:numCache>
                <c:formatCode>0.0%</c:formatCode>
                <c:ptCount val="55"/>
                <c:pt idx="0">
                  <c:v>0.161</c:v>
                </c:pt>
                <c:pt idx="1">
                  <c:v>0.16400000000000001</c:v>
                </c:pt>
                <c:pt idx="2">
                  <c:v>0.13320000000000001</c:v>
                </c:pt>
                <c:pt idx="3">
                  <c:v>0.161</c:v>
                </c:pt>
                <c:pt idx="4">
                  <c:v>0.13769999999999999</c:v>
                </c:pt>
                <c:pt idx="6">
                  <c:v>0.19600000000000001</c:v>
                </c:pt>
                <c:pt idx="7">
                  <c:v>0.19600000000000001</c:v>
                </c:pt>
                <c:pt idx="8">
                  <c:v>0.14799999999999999</c:v>
                </c:pt>
                <c:pt idx="10">
                  <c:v>0.14799999999999999</c:v>
                </c:pt>
                <c:pt idx="11">
                  <c:v>0.19</c:v>
                </c:pt>
                <c:pt idx="12">
                  <c:v>0.19</c:v>
                </c:pt>
                <c:pt idx="13">
                  <c:v>0.12720000000000001</c:v>
                </c:pt>
                <c:pt idx="14">
                  <c:v>0.1305</c:v>
                </c:pt>
                <c:pt idx="15">
                  <c:v>0.13900000000000001</c:v>
                </c:pt>
                <c:pt idx="16">
                  <c:v>0.13600000000000001</c:v>
                </c:pt>
                <c:pt idx="17">
                  <c:v>0.13800000000000001</c:v>
                </c:pt>
                <c:pt idx="18">
                  <c:v>0.13919999999999999</c:v>
                </c:pt>
                <c:pt idx="22">
                  <c:v>0.1547</c:v>
                </c:pt>
                <c:pt idx="26">
                  <c:v>0.14399999999999999</c:v>
                </c:pt>
                <c:pt idx="28">
                  <c:v>0.19</c:v>
                </c:pt>
                <c:pt idx="29">
                  <c:v>0.19</c:v>
                </c:pt>
                <c:pt idx="31">
                  <c:v>0.19</c:v>
                </c:pt>
                <c:pt idx="34">
                  <c:v>0.14610000000000001</c:v>
                </c:pt>
                <c:pt idx="35">
                  <c:v>0.13919999999999999</c:v>
                </c:pt>
                <c:pt idx="36">
                  <c:v>0.14400000000000002</c:v>
                </c:pt>
                <c:pt idx="37">
                  <c:v>0.185</c:v>
                </c:pt>
                <c:pt idx="39">
                  <c:v>0.14299999999999999</c:v>
                </c:pt>
                <c:pt idx="42">
                  <c:v>0.14699999999999999</c:v>
                </c:pt>
                <c:pt idx="44">
                  <c:v>0.20100000000000001</c:v>
                </c:pt>
                <c:pt idx="45">
                  <c:v>0.20100000000000001</c:v>
                </c:pt>
                <c:pt idx="48">
                  <c:v>0.185</c:v>
                </c:pt>
                <c:pt idx="49">
                  <c:v>0.14000000000000001</c:v>
                </c:pt>
                <c:pt idx="50">
                  <c:v>0.14699999999999999</c:v>
                </c:pt>
                <c:pt idx="51">
                  <c:v>0.14699999999999999</c:v>
                </c:pt>
              </c:numCache>
            </c:numRef>
          </c:xVal>
          <c:yVal>
            <c:numRef>
              <c:f>Data!$N$3:$N$57</c:f>
              <c:numCache>
                <c:formatCode>0.00</c:formatCode>
                <c:ptCount val="55"/>
                <c:pt idx="0">
                  <c:v>22.489314706979144</c:v>
                </c:pt>
                <c:pt idx="1">
                  <c:v>21.942013028234864</c:v>
                </c:pt>
                <c:pt idx="2">
                  <c:v>28.128763052235783</c:v>
                </c:pt>
                <c:pt idx="3">
                  <c:v>30.215139398315145</c:v>
                </c:pt>
                <c:pt idx="4">
                  <c:v>31.290034403451749</c:v>
                </c:pt>
                <c:pt idx="5">
                  <c:v>42.075992547806905</c:v>
                </c:pt>
                <c:pt idx="6">
                  <c:v>22.145259235687849</c:v>
                </c:pt>
                <c:pt idx="7">
                  <c:v>19.635355995622859</c:v>
                </c:pt>
                <c:pt idx="8">
                  <c:v>28.529961630091702</c:v>
                </c:pt>
                <c:pt idx="9">
                  <c:v>25.713106556993111</c:v>
                </c:pt>
                <c:pt idx="10">
                  <c:v>25.372264777750321</c:v>
                </c:pt>
                <c:pt idx="11">
                  <c:v>20.418159295296249</c:v>
                </c:pt>
                <c:pt idx="12">
                  <c:v>23.227081788979486</c:v>
                </c:pt>
                <c:pt idx="13">
                  <c:v>20.279318991136908</c:v>
                </c:pt>
                <c:pt idx="14">
                  <c:v>23.179795007164874</c:v>
                </c:pt>
                <c:pt idx="15">
                  <c:v>26.993294163904036</c:v>
                </c:pt>
                <c:pt idx="16">
                  <c:v>21.675141647050662</c:v>
                </c:pt>
                <c:pt idx="17">
                  <c:v>26.010169976460794</c:v>
                </c:pt>
                <c:pt idx="18">
                  <c:v>30.481132408486005</c:v>
                </c:pt>
                <c:pt idx="19">
                  <c:v>28.05066169853794</c:v>
                </c:pt>
                <c:pt idx="20">
                  <c:v>42.244972437557138</c:v>
                </c:pt>
                <c:pt idx="21">
                  <c:v>32.366148113697619</c:v>
                </c:pt>
                <c:pt idx="22">
                  <c:v>27.225642236816238</c:v>
                </c:pt>
                <c:pt idx="23">
                  <c:v>31.009129924555616</c:v>
                </c:pt>
                <c:pt idx="24">
                  <c:v>28.688176737141074</c:v>
                </c:pt>
                <c:pt idx="25">
                  <c:v>34.502313889201666</c:v>
                </c:pt>
                <c:pt idx="26">
                  <c:v>58.959989557436444</c:v>
                </c:pt>
                <c:pt idx="27">
                  <c:v>29.700700621981351</c:v>
                </c:pt>
                <c:pt idx="28">
                  <c:v>26.297495342379314</c:v>
                </c:pt>
                <c:pt idx="29">
                  <c:v>41.296807500625299</c:v>
                </c:pt>
                <c:pt idx="30">
                  <c:v>35.524159422505541</c:v>
                </c:pt>
                <c:pt idx="31">
                  <c:v>43.048190727591908</c:v>
                </c:pt>
                <c:pt idx="32">
                  <c:v>31.556994410855175</c:v>
                </c:pt>
                <c:pt idx="33">
                  <c:v>29.355343638004818</c:v>
                </c:pt>
                <c:pt idx="34">
                  <c:v>42.777259090270363</c:v>
                </c:pt>
                <c:pt idx="35">
                  <c:v>22.02154760525076</c:v>
                </c:pt>
                <c:pt idx="36">
                  <c:v>46.110676764719905</c:v>
                </c:pt>
                <c:pt idx="37">
                  <c:v>34.362060580708977</c:v>
                </c:pt>
                <c:pt idx="38">
                  <c:v>51.312186033910862</c:v>
                </c:pt>
                <c:pt idx="39">
                  <c:v>35.063327123172421</c:v>
                </c:pt>
                <c:pt idx="40">
                  <c:v>22.510656013076698</c:v>
                </c:pt>
                <c:pt idx="41">
                  <c:v>26.50920076515661</c:v>
                </c:pt>
                <c:pt idx="42">
                  <c:v>31.451701813106965</c:v>
                </c:pt>
                <c:pt idx="43">
                  <c:v>30.88707684704719</c:v>
                </c:pt>
                <c:pt idx="44">
                  <c:v>23.989962599648305</c:v>
                </c:pt>
                <c:pt idx="45">
                  <c:v>24.568100733422849</c:v>
                </c:pt>
                <c:pt idx="46">
                  <c:v>33.660794038245527</c:v>
                </c:pt>
                <c:pt idx="47">
                  <c:v>23.82717356772212</c:v>
                </c:pt>
                <c:pt idx="48">
                  <c:v>34.59352606869286</c:v>
                </c:pt>
                <c:pt idx="49">
                  <c:v>27.51122589664298</c:v>
                </c:pt>
                <c:pt idx="50" formatCode="General">
                  <c:v>30.972250536021253</c:v>
                </c:pt>
                <c:pt idx="51">
                  <c:v>31.785003187082268</c:v>
                </c:pt>
                <c:pt idx="52">
                  <c:v>19.149987645169261</c:v>
                </c:pt>
                <c:pt idx="53">
                  <c:v>20.397126219748145</c:v>
                </c:pt>
                <c:pt idx="54">
                  <c:v>30.674062523964107</c:v>
                </c:pt>
              </c:numCache>
            </c:numRef>
          </c:yVal>
          <c:smooth val="0"/>
        </c:ser>
        <c:ser>
          <c:idx val="1"/>
          <c:order val="1"/>
          <c:tx>
            <c:v>2 Axis (CPV)</c:v>
          </c:tx>
          <c:spPr>
            <a:ln w="28575">
              <a:noFill/>
            </a:ln>
          </c:spPr>
          <c:xVal>
            <c:numRef>
              <c:f>Data!$AB$58:$AB$65</c:f>
              <c:numCache>
                <c:formatCode>0.0%</c:formatCode>
                <c:ptCount val="8"/>
                <c:pt idx="0">
                  <c:v>0.14399999999999999</c:v>
                </c:pt>
                <c:pt idx="1">
                  <c:v>0.14280000000000001</c:v>
                </c:pt>
                <c:pt idx="2">
                  <c:v>0.14000000000000001</c:v>
                </c:pt>
                <c:pt idx="4">
                  <c:v>0.28999999999999998</c:v>
                </c:pt>
                <c:pt idx="5">
                  <c:v>0.25</c:v>
                </c:pt>
                <c:pt idx="6">
                  <c:v>0.25</c:v>
                </c:pt>
                <c:pt idx="7">
                  <c:v>0.28999999999999998</c:v>
                </c:pt>
              </c:numCache>
            </c:numRef>
          </c:xVal>
          <c:yVal>
            <c:numRef>
              <c:f>Data!$N$58:$N$65</c:f>
              <c:numCache>
                <c:formatCode>0.00</c:formatCode>
                <c:ptCount val="8"/>
                <c:pt idx="0">
                  <c:v>21.332528221738102</c:v>
                </c:pt>
                <c:pt idx="1">
                  <c:v>18.302329289242348</c:v>
                </c:pt>
                <c:pt idx="2">
                  <c:v>25.666355454162215</c:v>
                </c:pt>
                <c:pt idx="3">
                  <c:v>17.142071037995407</c:v>
                </c:pt>
                <c:pt idx="4">
                  <c:v>22.517733014881372</c:v>
                </c:pt>
                <c:pt idx="5">
                  <c:v>32.392326615848411</c:v>
                </c:pt>
                <c:pt idx="6">
                  <c:v>14.535094986845738</c:v>
                </c:pt>
                <c:pt idx="7">
                  <c:v>31.932485601870333</c:v>
                </c:pt>
              </c:numCache>
            </c:numRef>
          </c:yVal>
          <c:smooth val="0"/>
        </c:ser>
        <c:ser>
          <c:idx val="2"/>
          <c:order val="2"/>
          <c:tx>
            <c:v>Fixed</c:v>
          </c:tx>
          <c:spPr>
            <a:ln w="28575">
              <a:noFill/>
            </a:ln>
          </c:spPr>
          <c:xVal>
            <c:numRef>
              <c:f>Data!$AB$66:$AB$116</c:f>
              <c:numCache>
                <c:formatCode>0.0%</c:formatCode>
                <c:ptCount val="51"/>
                <c:pt idx="0">
                  <c:v>0.13919999999999999</c:v>
                </c:pt>
                <c:pt idx="2">
                  <c:v>0.12720000000000001</c:v>
                </c:pt>
                <c:pt idx="4">
                  <c:v>8.5000000000000006E-2</c:v>
                </c:pt>
                <c:pt idx="5">
                  <c:v>0.1419</c:v>
                </c:pt>
                <c:pt idx="6">
                  <c:v>0.14430000000000001</c:v>
                </c:pt>
                <c:pt idx="7">
                  <c:v>9.9900000000000003E-2</c:v>
                </c:pt>
                <c:pt idx="8">
                  <c:v>0.14180000000000001</c:v>
                </c:pt>
                <c:pt idx="11">
                  <c:v>0.14000000000000001</c:v>
                </c:pt>
                <c:pt idx="12">
                  <c:v>0.107</c:v>
                </c:pt>
                <c:pt idx="16">
                  <c:v>0.14399999999999999</c:v>
                </c:pt>
                <c:pt idx="17">
                  <c:v>0.14199999999999999</c:v>
                </c:pt>
                <c:pt idx="19">
                  <c:v>9.9900000000000003E-2</c:v>
                </c:pt>
                <c:pt idx="20">
                  <c:v>0.14399999999999999</c:v>
                </c:pt>
                <c:pt idx="21">
                  <c:v>0.1069</c:v>
                </c:pt>
                <c:pt idx="22">
                  <c:v>0.14499999999999999</c:v>
                </c:pt>
                <c:pt idx="23">
                  <c:v>0.107</c:v>
                </c:pt>
                <c:pt idx="24">
                  <c:v>0.14069999999999999</c:v>
                </c:pt>
                <c:pt idx="25">
                  <c:v>0.13769999999999999</c:v>
                </c:pt>
                <c:pt idx="26">
                  <c:v>0.1</c:v>
                </c:pt>
                <c:pt idx="32">
                  <c:v>0.14499999999999999</c:v>
                </c:pt>
                <c:pt idx="35">
                  <c:v>0.107</c:v>
                </c:pt>
                <c:pt idx="36" formatCode="General">
                  <c:v>0.09</c:v>
                </c:pt>
                <c:pt idx="37">
                  <c:v>0.14899999999999999</c:v>
                </c:pt>
                <c:pt idx="38">
                  <c:v>0.10970000000000001</c:v>
                </c:pt>
                <c:pt idx="39">
                  <c:v>0.14099999999999999</c:v>
                </c:pt>
                <c:pt idx="42">
                  <c:v>0.107</c:v>
                </c:pt>
                <c:pt idx="43">
                  <c:v>0.107</c:v>
                </c:pt>
                <c:pt idx="44">
                  <c:v>0.14399999999999999</c:v>
                </c:pt>
                <c:pt idx="45">
                  <c:v>0.11</c:v>
                </c:pt>
                <c:pt idx="47">
                  <c:v>0.107</c:v>
                </c:pt>
                <c:pt idx="49">
                  <c:v>0.106</c:v>
                </c:pt>
                <c:pt idx="50">
                  <c:v>0.107</c:v>
                </c:pt>
              </c:numCache>
            </c:numRef>
          </c:xVal>
          <c:yVal>
            <c:numRef>
              <c:f>Data!$N$66:$N$116</c:f>
              <c:numCache>
                <c:formatCode>0.00</c:formatCode>
                <c:ptCount val="51"/>
                <c:pt idx="0">
                  <c:v>21.216875753380204</c:v>
                </c:pt>
                <c:pt idx="1">
                  <c:v>43.377311904955583</c:v>
                </c:pt>
                <c:pt idx="2">
                  <c:v>38.645910551025452</c:v>
                </c:pt>
                <c:pt idx="3">
                  <c:v>40.43399150886178</c:v>
                </c:pt>
                <c:pt idx="4">
                  <c:v>23.735175283378258</c:v>
                </c:pt>
                <c:pt idx="5">
                  <c:v>62.006725859925972</c:v>
                </c:pt>
                <c:pt idx="6">
                  <c:v>62.062089008015192</c:v>
                </c:pt>
                <c:pt idx="7">
                  <c:v>26.633208048877776</c:v>
                </c:pt>
                <c:pt idx="8">
                  <c:v>34.032487418834208</c:v>
                </c:pt>
                <c:pt idx="9">
                  <c:v>58.710687276009651</c:v>
                </c:pt>
                <c:pt idx="10">
                  <c:v>42.075992547806912</c:v>
                </c:pt>
                <c:pt idx="11">
                  <c:v>42.075992547806912</c:v>
                </c:pt>
                <c:pt idx="12">
                  <c:v>30.938229814563904</c:v>
                </c:pt>
                <c:pt idx="13">
                  <c:v>30.177836877343733</c:v>
                </c:pt>
                <c:pt idx="14">
                  <c:v>52.875390482773334</c:v>
                </c:pt>
                <c:pt idx="15">
                  <c:v>49.72617301104453</c:v>
                </c:pt>
                <c:pt idx="16">
                  <c:v>27.454585137444006</c:v>
                </c:pt>
                <c:pt idx="17">
                  <c:v>36.204632201667039</c:v>
                </c:pt>
                <c:pt idx="18">
                  <c:v>37.400882264717254</c:v>
                </c:pt>
                <c:pt idx="19">
                  <c:v>29.347120852672042</c:v>
                </c:pt>
                <c:pt idx="20">
                  <c:v>42.075992547806905</c:v>
                </c:pt>
                <c:pt idx="21">
                  <c:v>33.660794038245527</c:v>
                </c:pt>
                <c:pt idx="22">
                  <c:v>45.884397543955188</c:v>
                </c:pt>
                <c:pt idx="23">
                  <c:v>22.743779755571303</c:v>
                </c:pt>
                <c:pt idx="24">
                  <c:v>55.224740218996565</c:v>
                </c:pt>
                <c:pt idx="25">
                  <c:v>36.072498507500377</c:v>
                </c:pt>
                <c:pt idx="26">
                  <c:v>36.825690988033458</c:v>
                </c:pt>
                <c:pt idx="27">
                  <c:v>27.204305526599295</c:v>
                </c:pt>
                <c:pt idx="28">
                  <c:v>38.250902316188096</c:v>
                </c:pt>
                <c:pt idx="29">
                  <c:v>48.549222170546429</c:v>
                </c:pt>
                <c:pt idx="30">
                  <c:v>30.805637401072918</c:v>
                </c:pt>
                <c:pt idx="31">
                  <c:v>30.855727868391735</c:v>
                </c:pt>
                <c:pt idx="32">
                  <c:v>49.826833280297656</c:v>
                </c:pt>
                <c:pt idx="33">
                  <c:v>42.075992547806912</c:v>
                </c:pt>
                <c:pt idx="34">
                  <c:v>80.915370284244048</c:v>
                </c:pt>
                <c:pt idx="35">
                  <c:v>21.037996273903456</c:v>
                </c:pt>
                <c:pt idx="36" formatCode="General">
                  <c:v>25.369262297369357</c:v>
                </c:pt>
                <c:pt idx="37">
                  <c:v>82.365538258792512</c:v>
                </c:pt>
                <c:pt idx="38">
                  <c:v>18.793462529563342</c:v>
                </c:pt>
                <c:pt idx="39">
                  <c:v>44.49536211930581</c:v>
                </c:pt>
                <c:pt idx="40">
                  <c:v>35.063327123172421</c:v>
                </c:pt>
                <c:pt idx="41">
                  <c:v>54.910358839195013</c:v>
                </c:pt>
                <c:pt idx="42">
                  <c:v>30.88707684704719</c:v>
                </c:pt>
                <c:pt idx="43">
                  <c:v>32.090469451477603</c:v>
                </c:pt>
                <c:pt idx="44">
                  <c:v>25.213940283303831</c:v>
                </c:pt>
                <c:pt idx="45">
                  <c:v>32.431430689399555</c:v>
                </c:pt>
                <c:pt idx="46">
                  <c:v>32.031042656197087</c:v>
                </c:pt>
                <c:pt idx="47">
                  <c:v>27.115639641920005</c:v>
                </c:pt>
                <c:pt idx="48">
                  <c:v>42.075992547806912</c:v>
                </c:pt>
                <c:pt idx="49" formatCode="General">
                  <c:v>21.349147516679022</c:v>
                </c:pt>
                <c:pt idx="50">
                  <c:v>31.952148462462613</c:v>
                </c:pt>
              </c:numCache>
            </c:numRef>
          </c:yVal>
          <c:smooth val="0"/>
        </c:ser>
        <c:dLbls>
          <c:showLegendKey val="0"/>
          <c:showVal val="0"/>
          <c:showCatName val="0"/>
          <c:showSerName val="0"/>
          <c:showPercent val="0"/>
          <c:showBubbleSize val="0"/>
        </c:dLbls>
        <c:axId val="93547520"/>
        <c:axId val="93566080"/>
      </c:scatterChart>
      <c:valAx>
        <c:axId val="93547520"/>
        <c:scaling>
          <c:orientation val="minMax"/>
          <c:min val="0.1"/>
        </c:scaling>
        <c:delete val="0"/>
        <c:axPos val="b"/>
        <c:title>
          <c:tx>
            <c:rich>
              <a:bodyPr/>
              <a:lstStyle/>
              <a:p>
                <a:pPr>
                  <a:defRPr/>
                </a:pPr>
                <a:r>
                  <a:rPr lang="en-US"/>
                  <a:t>Efficiency</a:t>
                </a:r>
              </a:p>
            </c:rich>
          </c:tx>
          <c:overlay val="0"/>
        </c:title>
        <c:numFmt formatCode="0%" sourceLinked="0"/>
        <c:majorTickMark val="out"/>
        <c:minorTickMark val="none"/>
        <c:tickLblPos val="nextTo"/>
        <c:crossAx val="93566080"/>
        <c:crosses val="autoZero"/>
        <c:crossBetween val="midCat"/>
      </c:valAx>
      <c:valAx>
        <c:axId val="93566080"/>
        <c:scaling>
          <c:orientation val="minMax"/>
        </c:scaling>
        <c:delete val="0"/>
        <c:axPos val="l"/>
        <c:title>
          <c:tx>
            <c:rich>
              <a:bodyPr rot="-5400000" vert="horz"/>
              <a:lstStyle/>
              <a:p>
                <a:pPr>
                  <a:defRPr/>
                </a:pPr>
                <a:r>
                  <a:rPr lang="en-US"/>
                  <a:t>MW / km2</a:t>
                </a:r>
              </a:p>
            </c:rich>
          </c:tx>
          <c:overlay val="0"/>
        </c:title>
        <c:numFmt formatCode="0" sourceLinked="0"/>
        <c:majorTickMark val="out"/>
        <c:minorTickMark val="none"/>
        <c:tickLblPos val="nextTo"/>
        <c:crossAx val="93547520"/>
        <c:crosses val="autoZero"/>
        <c:crossBetween val="midCat"/>
      </c:valAx>
    </c:plotArea>
    <c:legend>
      <c:legendPos val="r"/>
      <c:layout>
        <c:manualLayout>
          <c:xMode val="edge"/>
          <c:yMode val="edge"/>
          <c:x val="0.78987563174321562"/>
          <c:y val="3.4354696760827738E-2"/>
          <c:w val="0.17515043013989842"/>
          <c:h val="0.31111516323617538"/>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Physical</a:t>
            </a:r>
            <a:r>
              <a:rPr lang="en-US" baseline="0"/>
              <a:t> Area: 1 Axis Tracking</a:t>
            </a:r>
            <a:endParaRPr lang="en-US"/>
          </a:p>
        </c:rich>
      </c:tx>
      <c:layout>
        <c:manualLayout>
          <c:xMode val="edge"/>
          <c:yMode val="edge"/>
          <c:x val="0.19257695690413368"/>
          <c:y val="3.3568803899512563E-2"/>
        </c:manualLayout>
      </c:layout>
      <c:overlay val="0"/>
    </c:title>
    <c:autoTitleDeleted val="0"/>
    <c:plotArea>
      <c:layout>
        <c:manualLayout>
          <c:layoutTarget val="inner"/>
          <c:xMode val="edge"/>
          <c:yMode val="edge"/>
          <c:x val="0.16893413389290354"/>
          <c:y val="5.9211604858544424E-2"/>
          <c:w val="0.80444739922021558"/>
          <c:h val="0.71498017006549264"/>
        </c:manualLayout>
      </c:layout>
      <c:barChart>
        <c:barDir val="col"/>
        <c:grouping val="stacked"/>
        <c:varyColors val="0"/>
        <c:ser>
          <c:idx val="0"/>
          <c:order val="0"/>
          <c:invertIfNegative val="0"/>
          <c:cat>
            <c:strRef>
              <c:f>Statistics!$A$30:$A$39</c:f>
              <c:strCache>
                <c:ptCount val="10"/>
                <c:pt idx="0">
                  <c:v>&lt;20</c:v>
                </c:pt>
                <c:pt idx="1">
                  <c:v>25</c:v>
                </c:pt>
                <c:pt idx="2">
                  <c:v>30</c:v>
                </c:pt>
                <c:pt idx="3">
                  <c:v>35</c:v>
                </c:pt>
                <c:pt idx="4">
                  <c:v>40</c:v>
                </c:pt>
                <c:pt idx="5">
                  <c:v>45</c:v>
                </c:pt>
                <c:pt idx="6">
                  <c:v>50</c:v>
                </c:pt>
                <c:pt idx="7">
                  <c:v>55</c:v>
                </c:pt>
                <c:pt idx="8">
                  <c:v>60</c:v>
                </c:pt>
                <c:pt idx="9">
                  <c:v>&gt;60</c:v>
                </c:pt>
              </c:strCache>
            </c:strRef>
          </c:cat>
          <c:val>
            <c:numRef>
              <c:f>Statistics!$G$30:$G$39</c:f>
              <c:numCache>
                <c:formatCode>General</c:formatCode>
                <c:ptCount val="10"/>
                <c:pt idx="0">
                  <c:v>0</c:v>
                </c:pt>
                <c:pt idx="1">
                  <c:v>1</c:v>
                </c:pt>
                <c:pt idx="2">
                  <c:v>3</c:v>
                </c:pt>
                <c:pt idx="3">
                  <c:v>11</c:v>
                </c:pt>
                <c:pt idx="4">
                  <c:v>8</c:v>
                </c:pt>
                <c:pt idx="5">
                  <c:v>7</c:v>
                </c:pt>
                <c:pt idx="6">
                  <c:v>5</c:v>
                </c:pt>
                <c:pt idx="7">
                  <c:v>3</c:v>
                </c:pt>
                <c:pt idx="8">
                  <c:v>0</c:v>
                </c:pt>
                <c:pt idx="9">
                  <c:v>2</c:v>
                </c:pt>
              </c:numCache>
            </c:numRef>
          </c:val>
        </c:ser>
        <c:dLbls>
          <c:showLegendKey val="0"/>
          <c:showVal val="0"/>
          <c:showCatName val="0"/>
          <c:showSerName val="0"/>
          <c:showPercent val="0"/>
          <c:showBubbleSize val="0"/>
        </c:dLbls>
        <c:gapWidth val="150"/>
        <c:overlap val="100"/>
        <c:axId val="116624000"/>
        <c:axId val="116638464"/>
      </c:barChart>
      <c:catAx>
        <c:axId val="116624000"/>
        <c:scaling>
          <c:orientation val="minMax"/>
        </c:scaling>
        <c:delete val="0"/>
        <c:axPos val="b"/>
        <c:title>
          <c:tx>
            <c:rich>
              <a:bodyPr/>
              <a:lstStyle/>
              <a:p>
                <a:pPr>
                  <a:defRPr/>
                </a:pPr>
                <a:r>
                  <a:rPr lang="en-US"/>
                  <a:t>MW/km²</a:t>
                </a:r>
              </a:p>
            </c:rich>
          </c:tx>
          <c:overlay val="0"/>
        </c:title>
        <c:numFmt formatCode="General" sourceLinked="1"/>
        <c:majorTickMark val="out"/>
        <c:minorTickMark val="none"/>
        <c:tickLblPos val="nextTo"/>
        <c:crossAx val="116638464"/>
        <c:crosses val="autoZero"/>
        <c:auto val="1"/>
        <c:lblAlgn val="ctr"/>
        <c:lblOffset val="100"/>
        <c:noMultiLvlLbl val="0"/>
      </c:catAx>
      <c:valAx>
        <c:axId val="116638464"/>
        <c:scaling>
          <c:orientation val="minMax"/>
          <c:max val="6"/>
        </c:scaling>
        <c:delete val="0"/>
        <c:axPos val="l"/>
        <c:title>
          <c:tx>
            <c:rich>
              <a:bodyPr rot="-5400000" vert="horz"/>
              <a:lstStyle/>
              <a:p>
                <a:pPr>
                  <a:defRPr/>
                </a:pPr>
                <a:r>
                  <a:rPr lang="en-US"/>
                  <a:t>Number of Installations</a:t>
                </a:r>
              </a:p>
            </c:rich>
          </c:tx>
          <c:overlay val="0"/>
        </c:title>
        <c:numFmt formatCode="General" sourceLinked="1"/>
        <c:majorTickMark val="out"/>
        <c:minorTickMark val="none"/>
        <c:tickLblPos val="nextTo"/>
        <c:crossAx val="116624000"/>
        <c:crosses val="autoZero"/>
        <c:crossBetween val="between"/>
        <c:majorUnit val="1"/>
      </c:valAx>
    </c:plotArea>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58982900830264E-2"/>
          <c:y val="0.10547869213509195"/>
          <c:w val="0.78896220341200896"/>
          <c:h val="0.6687130827889417"/>
        </c:manualLayout>
      </c:layout>
      <c:barChart>
        <c:barDir val="col"/>
        <c:grouping val="clustered"/>
        <c:varyColors val="0"/>
        <c:ser>
          <c:idx val="0"/>
          <c:order val="0"/>
          <c:tx>
            <c:strRef>
              <c:f>Statistics!$F$29</c:f>
              <c:strCache>
                <c:ptCount val="1"/>
                <c:pt idx="0">
                  <c:v>MW</c:v>
                </c:pt>
              </c:strCache>
            </c:strRef>
          </c:tx>
          <c:invertIfNegative val="0"/>
          <c:cat>
            <c:strRef>
              <c:f>Statistics!$A$30:$A$39</c:f>
              <c:strCache>
                <c:ptCount val="10"/>
                <c:pt idx="0">
                  <c:v>&lt;20</c:v>
                </c:pt>
                <c:pt idx="1">
                  <c:v>25</c:v>
                </c:pt>
                <c:pt idx="2">
                  <c:v>30</c:v>
                </c:pt>
                <c:pt idx="3">
                  <c:v>35</c:v>
                </c:pt>
                <c:pt idx="4">
                  <c:v>40</c:v>
                </c:pt>
                <c:pt idx="5">
                  <c:v>45</c:v>
                </c:pt>
                <c:pt idx="6">
                  <c:v>50</c:v>
                </c:pt>
                <c:pt idx="7">
                  <c:v>55</c:v>
                </c:pt>
                <c:pt idx="8">
                  <c:v>60</c:v>
                </c:pt>
                <c:pt idx="9">
                  <c:v>&gt;60</c:v>
                </c:pt>
              </c:strCache>
            </c:strRef>
          </c:cat>
          <c:val>
            <c:numRef>
              <c:f>Statistics!$F$30:$F$39</c:f>
              <c:numCache>
                <c:formatCode>General</c:formatCode>
                <c:ptCount val="10"/>
                <c:pt idx="0">
                  <c:v>0</c:v>
                </c:pt>
                <c:pt idx="1">
                  <c:v>1</c:v>
                </c:pt>
                <c:pt idx="2">
                  <c:v>12.395999999999958</c:v>
                </c:pt>
                <c:pt idx="3">
                  <c:v>57.079800000000006</c:v>
                </c:pt>
                <c:pt idx="4">
                  <c:v>24.854439999999997</c:v>
                </c:pt>
                <c:pt idx="5">
                  <c:v>40.839800000000011</c:v>
                </c:pt>
                <c:pt idx="6">
                  <c:v>29.845254232357107</c:v>
                </c:pt>
                <c:pt idx="7">
                  <c:v>13.030719999999999</c:v>
                </c:pt>
                <c:pt idx="8">
                  <c:v>0</c:v>
                </c:pt>
                <c:pt idx="9">
                  <c:v>14.8</c:v>
                </c:pt>
              </c:numCache>
            </c:numRef>
          </c:val>
        </c:ser>
        <c:dLbls>
          <c:showLegendKey val="0"/>
          <c:showVal val="0"/>
          <c:showCatName val="0"/>
          <c:showSerName val="0"/>
          <c:showPercent val="0"/>
          <c:showBubbleSize val="0"/>
        </c:dLbls>
        <c:gapWidth val="227"/>
        <c:axId val="116845952"/>
        <c:axId val="117179904"/>
      </c:barChart>
      <c:barChart>
        <c:barDir val="col"/>
        <c:grouping val="clustered"/>
        <c:varyColors val="0"/>
        <c:ser>
          <c:idx val="1"/>
          <c:order val="1"/>
          <c:tx>
            <c:strRef>
              <c:f>Statistics!$G$29</c:f>
              <c:strCache>
                <c:ptCount val="1"/>
                <c:pt idx="0">
                  <c:v>Number of Installations</c:v>
                </c:pt>
              </c:strCache>
            </c:strRef>
          </c:tx>
          <c:invertIfNegative val="0"/>
          <c:val>
            <c:numRef>
              <c:f>Statistics!$G$30:$G$39</c:f>
              <c:numCache>
                <c:formatCode>General</c:formatCode>
                <c:ptCount val="10"/>
                <c:pt idx="0">
                  <c:v>0</c:v>
                </c:pt>
                <c:pt idx="1">
                  <c:v>1</c:v>
                </c:pt>
                <c:pt idx="2">
                  <c:v>3</c:v>
                </c:pt>
                <c:pt idx="3">
                  <c:v>11</c:v>
                </c:pt>
                <c:pt idx="4">
                  <c:v>8</c:v>
                </c:pt>
                <c:pt idx="5">
                  <c:v>7</c:v>
                </c:pt>
                <c:pt idx="6">
                  <c:v>5</c:v>
                </c:pt>
                <c:pt idx="7">
                  <c:v>3</c:v>
                </c:pt>
                <c:pt idx="8">
                  <c:v>0</c:v>
                </c:pt>
                <c:pt idx="9">
                  <c:v>2</c:v>
                </c:pt>
              </c:numCache>
            </c:numRef>
          </c:val>
        </c:ser>
        <c:ser>
          <c:idx val="2"/>
          <c:order val="2"/>
          <c:spPr>
            <a:noFill/>
            <a:ln>
              <a:noFill/>
            </a:ln>
          </c:spPr>
          <c:invertIfNegative val="0"/>
          <c:val>
            <c:numRef>
              <c:f>Statistics!$H$30:$H$39</c:f>
              <c:numCache>
                <c:formatCode>0%</c:formatCode>
                <c:ptCount val="10"/>
                <c:pt idx="0">
                  <c:v>0</c:v>
                </c:pt>
                <c:pt idx="1">
                  <c:v>5.1587338742045616E-3</c:v>
                </c:pt>
                <c:pt idx="2">
                  <c:v>6.3947665104639534E-2</c:v>
                </c:pt>
                <c:pt idx="3">
                  <c:v>0.29445949779282155</c:v>
                </c:pt>
                <c:pt idx="4">
                  <c:v>0.12821744155238479</c:v>
                </c:pt>
                <c:pt idx="5">
                  <c:v>0.21068165967573951</c:v>
                </c:pt>
                <c:pt idx="6">
                  <c:v>0.15396372399270766</c:v>
                </c:pt>
                <c:pt idx="7">
                  <c:v>6.7222016669274853E-2</c:v>
                </c:pt>
                <c:pt idx="8">
                  <c:v>0</c:v>
                </c:pt>
                <c:pt idx="9">
                  <c:v>7.6349261338227517E-2</c:v>
                </c:pt>
              </c:numCache>
            </c:numRef>
          </c:val>
        </c:ser>
        <c:dLbls>
          <c:showLegendKey val="0"/>
          <c:showVal val="0"/>
          <c:showCatName val="0"/>
          <c:showSerName val="0"/>
          <c:showPercent val="0"/>
          <c:showBubbleSize val="0"/>
        </c:dLbls>
        <c:gapWidth val="0"/>
        <c:overlap val="-100"/>
        <c:axId val="117184000"/>
        <c:axId val="117181824"/>
      </c:barChart>
      <c:catAx>
        <c:axId val="116845952"/>
        <c:scaling>
          <c:orientation val="minMax"/>
        </c:scaling>
        <c:delete val="0"/>
        <c:axPos val="b"/>
        <c:title>
          <c:tx>
            <c:rich>
              <a:bodyPr/>
              <a:lstStyle/>
              <a:p>
                <a:pPr>
                  <a:defRPr/>
                </a:pPr>
                <a:r>
                  <a:rPr lang="en-US"/>
                  <a:t>Physical Area for 1 Axis Tracking (MW/km²)</a:t>
                </a:r>
              </a:p>
            </c:rich>
          </c:tx>
          <c:overlay val="0"/>
        </c:title>
        <c:numFmt formatCode="General" sourceLinked="1"/>
        <c:majorTickMark val="out"/>
        <c:minorTickMark val="none"/>
        <c:tickLblPos val="nextTo"/>
        <c:crossAx val="117179904"/>
        <c:crosses val="autoZero"/>
        <c:auto val="1"/>
        <c:lblAlgn val="ctr"/>
        <c:lblOffset val="100"/>
        <c:noMultiLvlLbl val="0"/>
      </c:catAx>
      <c:valAx>
        <c:axId val="117179904"/>
        <c:scaling>
          <c:orientation val="minMax"/>
        </c:scaling>
        <c:delete val="0"/>
        <c:axPos val="l"/>
        <c:title>
          <c:tx>
            <c:rich>
              <a:bodyPr rot="-5400000" vert="horz"/>
              <a:lstStyle/>
              <a:p>
                <a:pPr>
                  <a:defRPr/>
                </a:pPr>
                <a:r>
                  <a:rPr lang="en-US"/>
                  <a:t>MW</a:t>
                </a:r>
              </a:p>
            </c:rich>
          </c:tx>
          <c:overlay val="0"/>
        </c:title>
        <c:numFmt formatCode="General" sourceLinked="1"/>
        <c:majorTickMark val="out"/>
        <c:minorTickMark val="none"/>
        <c:tickLblPos val="nextTo"/>
        <c:crossAx val="116845952"/>
        <c:crosses val="autoZero"/>
        <c:crossBetween val="between"/>
      </c:valAx>
      <c:valAx>
        <c:axId val="117181824"/>
        <c:scaling>
          <c:orientation val="minMax"/>
        </c:scaling>
        <c:delete val="0"/>
        <c:axPos val="r"/>
        <c:title>
          <c:tx>
            <c:rich>
              <a:bodyPr rot="-5400000" vert="horz"/>
              <a:lstStyle/>
              <a:p>
                <a:pPr>
                  <a:defRPr/>
                </a:pPr>
                <a:r>
                  <a:rPr lang="en-US"/>
                  <a:t>Number of Projects</a:t>
                </a:r>
              </a:p>
            </c:rich>
          </c:tx>
          <c:overlay val="0"/>
        </c:title>
        <c:numFmt formatCode="General" sourceLinked="1"/>
        <c:majorTickMark val="out"/>
        <c:minorTickMark val="none"/>
        <c:tickLblPos val="nextTo"/>
        <c:crossAx val="117184000"/>
        <c:crosses val="max"/>
        <c:crossBetween val="between"/>
        <c:majorUnit val="1"/>
      </c:valAx>
      <c:catAx>
        <c:axId val="117184000"/>
        <c:scaling>
          <c:orientation val="minMax"/>
        </c:scaling>
        <c:delete val="1"/>
        <c:axPos val="b"/>
        <c:majorTickMark val="out"/>
        <c:minorTickMark val="none"/>
        <c:tickLblPos val="none"/>
        <c:crossAx val="117181824"/>
        <c:crosses val="autoZero"/>
        <c:auto val="1"/>
        <c:lblAlgn val="ctr"/>
        <c:lblOffset val="100"/>
        <c:noMultiLvlLbl val="0"/>
      </c:catAx>
    </c:plotArea>
    <c:legend>
      <c:legendPos val="t"/>
      <c:legendEntry>
        <c:idx val="2"/>
        <c:delete val="1"/>
      </c:legendEntry>
      <c:layout>
        <c:manualLayout>
          <c:xMode val="edge"/>
          <c:yMode val="edge"/>
          <c:x val="0.22373925514511891"/>
          <c:y val="4.6162100399910568E-2"/>
          <c:w val="0.56080306500884469"/>
          <c:h val="0.10550121297929461"/>
        </c:manualLayout>
      </c:layout>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1600153015189"/>
          <c:y val="3.7083450190914601E-2"/>
          <c:w val="0.86349638110374916"/>
          <c:h val="0.6687130827889417"/>
        </c:manualLayout>
      </c:layout>
      <c:barChart>
        <c:barDir val="col"/>
        <c:grouping val="clustered"/>
        <c:varyColors val="0"/>
        <c:ser>
          <c:idx val="0"/>
          <c:order val="0"/>
          <c:tx>
            <c:v>1 Axis</c:v>
          </c:tx>
          <c:invertIfNegative val="0"/>
          <c:cat>
            <c:strRef>
              <c:f>Statistics!$A$15:$A$25</c:f>
              <c:strCache>
                <c:ptCount val="11"/>
                <c:pt idx="0">
                  <c:v>&lt;1</c:v>
                </c:pt>
                <c:pt idx="1">
                  <c:v>1.5</c:v>
                </c:pt>
                <c:pt idx="2">
                  <c:v>&lt; 2</c:v>
                </c:pt>
                <c:pt idx="3">
                  <c:v>2.5</c:v>
                </c:pt>
                <c:pt idx="4">
                  <c:v>3</c:v>
                </c:pt>
                <c:pt idx="5">
                  <c:v>3.5</c:v>
                </c:pt>
                <c:pt idx="6">
                  <c:v>4</c:v>
                </c:pt>
                <c:pt idx="7">
                  <c:v>4.5</c:v>
                </c:pt>
                <c:pt idx="8">
                  <c:v>5</c:v>
                </c:pt>
                <c:pt idx="9">
                  <c:v>&gt;5</c:v>
                </c:pt>
                <c:pt idx="10">
                  <c:v>&gt;5.5</c:v>
                </c:pt>
              </c:strCache>
            </c:strRef>
          </c:cat>
          <c:val>
            <c:numRef>
              <c:f>Statistics!$F$15:$F$25</c:f>
              <c:numCache>
                <c:formatCode>General</c:formatCode>
                <c:ptCount val="11"/>
                <c:pt idx="0">
                  <c:v>0</c:v>
                </c:pt>
                <c:pt idx="1">
                  <c:v>0</c:v>
                </c:pt>
                <c:pt idx="2">
                  <c:v>0</c:v>
                </c:pt>
                <c:pt idx="3">
                  <c:v>0</c:v>
                </c:pt>
                <c:pt idx="4">
                  <c:v>0</c:v>
                </c:pt>
                <c:pt idx="5">
                  <c:v>0</c:v>
                </c:pt>
                <c:pt idx="6">
                  <c:v>0</c:v>
                </c:pt>
                <c:pt idx="7">
                  <c:v>0</c:v>
                </c:pt>
                <c:pt idx="8">
                  <c:v>0</c:v>
                </c:pt>
                <c:pt idx="9">
                  <c:v>0</c:v>
                </c:pt>
                <c:pt idx="10">
                  <c:v>1636.6157411609968</c:v>
                </c:pt>
              </c:numCache>
            </c:numRef>
          </c:val>
        </c:ser>
        <c:ser>
          <c:idx val="1"/>
          <c:order val="1"/>
          <c:tx>
            <c:v>Fixed</c:v>
          </c:tx>
          <c:invertIfNegative val="0"/>
          <c:val>
            <c:numRef>
              <c:f>Statistics!$C$15:$C$25</c:f>
              <c:numCache>
                <c:formatCode>General</c:formatCode>
                <c:ptCount val="11"/>
                <c:pt idx="0">
                  <c:v>0</c:v>
                </c:pt>
                <c:pt idx="1">
                  <c:v>0</c:v>
                </c:pt>
                <c:pt idx="2">
                  <c:v>0</c:v>
                </c:pt>
                <c:pt idx="3">
                  <c:v>0</c:v>
                </c:pt>
                <c:pt idx="4">
                  <c:v>0</c:v>
                </c:pt>
                <c:pt idx="5">
                  <c:v>0</c:v>
                </c:pt>
                <c:pt idx="6">
                  <c:v>0</c:v>
                </c:pt>
                <c:pt idx="7">
                  <c:v>34.056308368194912</c:v>
                </c:pt>
                <c:pt idx="8">
                  <c:v>0</c:v>
                </c:pt>
                <c:pt idx="9">
                  <c:v>0</c:v>
                </c:pt>
                <c:pt idx="10">
                  <c:v>1721.7476197027463</c:v>
                </c:pt>
              </c:numCache>
            </c:numRef>
          </c:val>
        </c:ser>
        <c:dLbls>
          <c:showLegendKey val="0"/>
          <c:showVal val="0"/>
          <c:showCatName val="0"/>
          <c:showSerName val="0"/>
          <c:showPercent val="0"/>
          <c:showBubbleSize val="0"/>
        </c:dLbls>
        <c:gapWidth val="88"/>
        <c:overlap val="-6"/>
        <c:axId val="117197056"/>
        <c:axId val="117215616"/>
      </c:barChart>
      <c:catAx>
        <c:axId val="117197056"/>
        <c:scaling>
          <c:orientation val="minMax"/>
        </c:scaling>
        <c:delete val="0"/>
        <c:axPos val="b"/>
        <c:title>
          <c:tx>
            <c:rich>
              <a:bodyPr/>
              <a:lstStyle/>
              <a:p>
                <a:pPr>
                  <a:defRPr/>
                </a:pPr>
                <a:r>
                  <a:rPr lang="en-US"/>
                  <a:t>Total Area ( Hectares/MW )</a:t>
                </a:r>
              </a:p>
            </c:rich>
          </c:tx>
          <c:overlay val="0"/>
        </c:title>
        <c:numFmt formatCode="General" sourceLinked="1"/>
        <c:majorTickMark val="out"/>
        <c:minorTickMark val="none"/>
        <c:tickLblPos val="nextTo"/>
        <c:crossAx val="117215616"/>
        <c:crosses val="autoZero"/>
        <c:auto val="1"/>
        <c:lblAlgn val="ctr"/>
        <c:lblOffset val="100"/>
        <c:noMultiLvlLbl val="0"/>
      </c:catAx>
      <c:valAx>
        <c:axId val="117215616"/>
        <c:scaling>
          <c:orientation val="minMax"/>
        </c:scaling>
        <c:delete val="0"/>
        <c:axPos val="l"/>
        <c:title>
          <c:tx>
            <c:rich>
              <a:bodyPr rot="-5400000" vert="horz"/>
              <a:lstStyle/>
              <a:p>
                <a:pPr>
                  <a:defRPr/>
                </a:pPr>
                <a:r>
                  <a:rPr lang="en-US"/>
                  <a:t>MW</a:t>
                </a:r>
              </a:p>
            </c:rich>
          </c:tx>
          <c:overlay val="0"/>
        </c:title>
        <c:numFmt formatCode="General" sourceLinked="1"/>
        <c:majorTickMark val="out"/>
        <c:minorTickMark val="none"/>
        <c:tickLblPos val="nextTo"/>
        <c:crossAx val="117197056"/>
        <c:crosses val="autoZero"/>
        <c:crossBetween val="between"/>
      </c:valAx>
    </c:plotArea>
    <c:legend>
      <c:legendPos val="t"/>
      <c:layout>
        <c:manualLayout>
          <c:xMode val="edge"/>
          <c:yMode val="edge"/>
          <c:x val="0.22373925514511891"/>
          <c:y val="4.6162100399910568E-2"/>
          <c:w val="0.56080306500884469"/>
          <c:h val="0.10550121297929461"/>
        </c:manualLayout>
      </c:layout>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a:t>
            </a:r>
            <a:r>
              <a:rPr lang="en-US" baseline="0"/>
              <a:t> Area: 1 Axis Tracking</a:t>
            </a:r>
            <a:endParaRPr lang="en-US"/>
          </a:p>
        </c:rich>
      </c:tx>
      <c:layout>
        <c:manualLayout>
          <c:xMode val="edge"/>
          <c:yMode val="edge"/>
          <c:x val="0.43435561545798618"/>
          <c:y val="4.6267087276550975E-2"/>
        </c:manualLayout>
      </c:layout>
      <c:overlay val="0"/>
    </c:title>
    <c:autoTitleDeleted val="0"/>
    <c:plotArea>
      <c:layout>
        <c:manualLayout>
          <c:layoutTarget val="inner"/>
          <c:xMode val="edge"/>
          <c:yMode val="edge"/>
          <c:x val="0.16121412384870501"/>
          <c:y val="7.5917856909518522E-2"/>
          <c:w val="0.80444739922021558"/>
          <c:h val="0.71498017006549264"/>
        </c:manualLayout>
      </c:layout>
      <c:barChart>
        <c:barDir val="col"/>
        <c:grouping val="stacked"/>
        <c:varyColors val="0"/>
        <c:ser>
          <c:idx val="0"/>
          <c:order val="0"/>
          <c:invertIfNegative val="0"/>
          <c:cat>
            <c:strRef>
              <c:f>Statistics!$A$15:$A$25</c:f>
              <c:strCache>
                <c:ptCount val="11"/>
                <c:pt idx="0">
                  <c:v>&lt;1</c:v>
                </c:pt>
                <c:pt idx="1">
                  <c:v>1.5</c:v>
                </c:pt>
                <c:pt idx="2">
                  <c:v>&lt; 2</c:v>
                </c:pt>
                <c:pt idx="3">
                  <c:v>2.5</c:v>
                </c:pt>
                <c:pt idx="4">
                  <c:v>3</c:v>
                </c:pt>
                <c:pt idx="5">
                  <c:v>3.5</c:v>
                </c:pt>
                <c:pt idx="6">
                  <c:v>4</c:v>
                </c:pt>
                <c:pt idx="7">
                  <c:v>4.5</c:v>
                </c:pt>
                <c:pt idx="8">
                  <c:v>5</c:v>
                </c:pt>
                <c:pt idx="9">
                  <c:v>&gt;5</c:v>
                </c:pt>
                <c:pt idx="10">
                  <c:v>&gt;5.5</c:v>
                </c:pt>
              </c:strCache>
            </c:strRef>
          </c:cat>
          <c:val>
            <c:numRef>
              <c:f>Statistics!$G$15:$G$25</c:f>
              <c:numCache>
                <c:formatCode>General</c:formatCode>
                <c:ptCount val="11"/>
                <c:pt idx="0">
                  <c:v>0</c:v>
                </c:pt>
                <c:pt idx="1">
                  <c:v>0</c:v>
                </c:pt>
                <c:pt idx="2">
                  <c:v>0</c:v>
                </c:pt>
                <c:pt idx="3">
                  <c:v>0</c:v>
                </c:pt>
                <c:pt idx="4">
                  <c:v>0</c:v>
                </c:pt>
                <c:pt idx="5">
                  <c:v>0</c:v>
                </c:pt>
                <c:pt idx="6">
                  <c:v>0</c:v>
                </c:pt>
                <c:pt idx="7">
                  <c:v>0</c:v>
                </c:pt>
                <c:pt idx="8">
                  <c:v>0</c:v>
                </c:pt>
                <c:pt idx="9">
                  <c:v>0</c:v>
                </c:pt>
                <c:pt idx="10">
                  <c:v>16</c:v>
                </c:pt>
              </c:numCache>
            </c:numRef>
          </c:val>
        </c:ser>
        <c:dLbls>
          <c:showLegendKey val="0"/>
          <c:showVal val="0"/>
          <c:showCatName val="0"/>
          <c:showSerName val="0"/>
          <c:showPercent val="0"/>
          <c:showBubbleSize val="0"/>
        </c:dLbls>
        <c:gapWidth val="150"/>
        <c:overlap val="100"/>
        <c:axId val="118628736"/>
        <c:axId val="118630656"/>
      </c:barChart>
      <c:catAx>
        <c:axId val="118628736"/>
        <c:scaling>
          <c:orientation val="minMax"/>
        </c:scaling>
        <c:delete val="0"/>
        <c:axPos val="b"/>
        <c:title>
          <c:tx>
            <c:rich>
              <a:bodyPr/>
              <a:lstStyle/>
              <a:p>
                <a:pPr>
                  <a:defRPr/>
                </a:pPr>
                <a:r>
                  <a:rPr lang="en-US"/>
                  <a:t>MW/km²</a:t>
                </a:r>
              </a:p>
            </c:rich>
          </c:tx>
          <c:overlay val="0"/>
        </c:title>
        <c:numFmt formatCode="General" sourceLinked="1"/>
        <c:majorTickMark val="out"/>
        <c:minorTickMark val="none"/>
        <c:tickLblPos val="nextTo"/>
        <c:crossAx val="118630656"/>
        <c:crosses val="autoZero"/>
        <c:auto val="1"/>
        <c:lblAlgn val="ctr"/>
        <c:lblOffset val="100"/>
        <c:noMultiLvlLbl val="0"/>
      </c:catAx>
      <c:valAx>
        <c:axId val="118630656"/>
        <c:scaling>
          <c:orientation val="minMax"/>
        </c:scaling>
        <c:delete val="0"/>
        <c:axPos val="l"/>
        <c:title>
          <c:tx>
            <c:rich>
              <a:bodyPr rot="-5400000" vert="horz"/>
              <a:lstStyle/>
              <a:p>
                <a:pPr>
                  <a:defRPr/>
                </a:pPr>
                <a:r>
                  <a:rPr lang="en-US"/>
                  <a:t>Number of Installations</a:t>
                </a:r>
              </a:p>
            </c:rich>
          </c:tx>
          <c:overlay val="0"/>
        </c:title>
        <c:numFmt formatCode="General" sourceLinked="1"/>
        <c:majorTickMark val="out"/>
        <c:minorTickMark val="none"/>
        <c:tickLblPos val="nextTo"/>
        <c:crossAx val="118628736"/>
        <c:crosses val="autoZero"/>
        <c:crossBetween val="between"/>
        <c:majorUnit val="1"/>
      </c:valAx>
    </c:plotArea>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920589883393"/>
          <c:y val="5.2866991147547712E-2"/>
          <c:w val="0.86349638110374916"/>
          <c:h val="0.6687130827889417"/>
        </c:manualLayout>
      </c:layout>
      <c:barChart>
        <c:barDir val="col"/>
        <c:grouping val="clustered"/>
        <c:varyColors val="0"/>
        <c:ser>
          <c:idx val="0"/>
          <c:order val="0"/>
          <c:tx>
            <c:v>1 Axis</c:v>
          </c:tx>
          <c:invertIfNegative val="0"/>
          <c:cat>
            <c:strRef>
              <c:f>Statistics!$A$3:$A$11</c:f>
              <c:strCache>
                <c:ptCount val="9"/>
                <c:pt idx="0">
                  <c:v>&lt;1</c:v>
                </c:pt>
                <c:pt idx="1">
                  <c:v>1.5</c:v>
                </c:pt>
                <c:pt idx="2">
                  <c:v>2</c:v>
                </c:pt>
                <c:pt idx="3">
                  <c:v>2.5</c:v>
                </c:pt>
                <c:pt idx="4">
                  <c:v>3</c:v>
                </c:pt>
                <c:pt idx="5">
                  <c:v>3.5</c:v>
                </c:pt>
                <c:pt idx="6">
                  <c:v>4</c:v>
                </c:pt>
                <c:pt idx="7">
                  <c:v>4.5</c:v>
                </c:pt>
                <c:pt idx="8">
                  <c:v>&gt;4.5</c:v>
                </c:pt>
              </c:strCache>
            </c:strRef>
          </c:cat>
          <c:val>
            <c:numRef>
              <c:f>Statistics!$S$3:$S$11</c:f>
              <c:numCache>
                <c:formatCode>General</c:formatCode>
                <c:ptCount val="9"/>
                <c:pt idx="0">
                  <c:v>0</c:v>
                </c:pt>
                <c:pt idx="1">
                  <c:v>0</c:v>
                </c:pt>
                <c:pt idx="2">
                  <c:v>0</c:v>
                </c:pt>
                <c:pt idx="3">
                  <c:v>0</c:v>
                </c:pt>
                <c:pt idx="4">
                  <c:v>0</c:v>
                </c:pt>
                <c:pt idx="5">
                  <c:v>0</c:v>
                </c:pt>
                <c:pt idx="6">
                  <c:v>12.600834096232118</c:v>
                </c:pt>
                <c:pt idx="7">
                  <c:v>0</c:v>
                </c:pt>
                <c:pt idx="8">
                  <c:v>151.95543591217651</c:v>
                </c:pt>
              </c:numCache>
            </c:numRef>
          </c:val>
        </c:ser>
        <c:ser>
          <c:idx val="1"/>
          <c:order val="1"/>
          <c:tx>
            <c:v>Fixed</c:v>
          </c:tx>
          <c:invertIfNegative val="0"/>
          <c:val>
            <c:numRef>
              <c:f>Statistics!$P$3:$P$11</c:f>
              <c:numCache>
                <c:formatCode>General</c:formatCode>
                <c:ptCount val="9"/>
                <c:pt idx="0">
                  <c:v>0</c:v>
                </c:pt>
                <c:pt idx="1">
                  <c:v>0</c:v>
                </c:pt>
                <c:pt idx="2">
                  <c:v>0</c:v>
                </c:pt>
                <c:pt idx="3">
                  <c:v>5</c:v>
                </c:pt>
                <c:pt idx="4">
                  <c:v>1.9046610968617501</c:v>
                </c:pt>
                <c:pt idx="5">
                  <c:v>8.0202606207099016</c:v>
                </c:pt>
                <c:pt idx="6">
                  <c:v>6.5212981825304555</c:v>
                </c:pt>
                <c:pt idx="7">
                  <c:v>12.961386197697014</c:v>
                </c:pt>
                <c:pt idx="8">
                  <c:v>153.12744319447609</c:v>
                </c:pt>
              </c:numCache>
            </c:numRef>
          </c:val>
        </c:ser>
        <c:dLbls>
          <c:showLegendKey val="0"/>
          <c:showVal val="0"/>
          <c:showCatName val="0"/>
          <c:showSerName val="0"/>
          <c:showPercent val="0"/>
          <c:showBubbleSize val="0"/>
        </c:dLbls>
        <c:gapWidth val="88"/>
        <c:overlap val="-6"/>
        <c:axId val="118660096"/>
        <c:axId val="118670464"/>
      </c:barChart>
      <c:catAx>
        <c:axId val="118660096"/>
        <c:scaling>
          <c:orientation val="minMax"/>
        </c:scaling>
        <c:delete val="0"/>
        <c:axPos val="b"/>
        <c:title>
          <c:tx>
            <c:rich>
              <a:bodyPr/>
              <a:lstStyle/>
              <a:p>
                <a:pPr>
                  <a:defRPr/>
                </a:pPr>
                <a:r>
                  <a:rPr lang="en-US"/>
                  <a:t>Total Area ( Hectares/MW )</a:t>
                </a:r>
              </a:p>
            </c:rich>
          </c:tx>
          <c:overlay val="0"/>
        </c:title>
        <c:numFmt formatCode="General" sourceLinked="1"/>
        <c:majorTickMark val="out"/>
        <c:minorTickMark val="none"/>
        <c:tickLblPos val="nextTo"/>
        <c:crossAx val="118670464"/>
        <c:crosses val="autoZero"/>
        <c:auto val="1"/>
        <c:lblAlgn val="ctr"/>
        <c:lblOffset val="100"/>
        <c:noMultiLvlLbl val="0"/>
      </c:catAx>
      <c:valAx>
        <c:axId val="118670464"/>
        <c:scaling>
          <c:orientation val="minMax"/>
        </c:scaling>
        <c:delete val="0"/>
        <c:axPos val="l"/>
        <c:title>
          <c:tx>
            <c:rich>
              <a:bodyPr rot="-5400000" vert="horz"/>
              <a:lstStyle/>
              <a:p>
                <a:pPr>
                  <a:defRPr/>
                </a:pPr>
                <a:r>
                  <a:rPr lang="en-US"/>
                  <a:t>MW</a:t>
                </a:r>
              </a:p>
            </c:rich>
          </c:tx>
          <c:overlay val="0"/>
        </c:title>
        <c:numFmt formatCode="General" sourceLinked="1"/>
        <c:majorTickMark val="out"/>
        <c:minorTickMark val="none"/>
        <c:tickLblPos val="nextTo"/>
        <c:crossAx val="118660096"/>
        <c:crosses val="autoZero"/>
        <c:crossBetween val="between"/>
      </c:valAx>
    </c:plotArea>
    <c:legend>
      <c:legendPos val="t"/>
      <c:layout>
        <c:manualLayout>
          <c:xMode val="edge"/>
          <c:yMode val="edge"/>
          <c:x val="0.19267515498670268"/>
          <c:y val="8.8251535788248334E-2"/>
          <c:w val="0.56080306500884469"/>
          <c:h val="0.10550121297929461"/>
        </c:manualLayout>
      </c:layout>
      <c:overlay val="0"/>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1600153015195"/>
          <c:y val="3.7083450190914601E-2"/>
          <c:w val="0.86349638110374916"/>
          <c:h val="0.6687130827889417"/>
        </c:manualLayout>
      </c:layout>
      <c:barChart>
        <c:barDir val="col"/>
        <c:grouping val="clustered"/>
        <c:varyColors val="0"/>
        <c:ser>
          <c:idx val="0"/>
          <c:order val="0"/>
          <c:tx>
            <c:v>1 axis</c:v>
          </c:tx>
          <c:invertIfNegative val="0"/>
          <c:cat>
            <c:strRef>
              <c:f>Statistics!$A$15:$A$25</c:f>
              <c:strCache>
                <c:ptCount val="11"/>
                <c:pt idx="0">
                  <c:v>&lt;1</c:v>
                </c:pt>
                <c:pt idx="1">
                  <c:v>1.5</c:v>
                </c:pt>
                <c:pt idx="2">
                  <c:v>&lt; 2</c:v>
                </c:pt>
                <c:pt idx="3">
                  <c:v>2.5</c:v>
                </c:pt>
                <c:pt idx="4">
                  <c:v>3</c:v>
                </c:pt>
                <c:pt idx="5">
                  <c:v>3.5</c:v>
                </c:pt>
                <c:pt idx="6">
                  <c:v>4</c:v>
                </c:pt>
                <c:pt idx="7">
                  <c:v>4.5</c:v>
                </c:pt>
                <c:pt idx="8">
                  <c:v>5</c:v>
                </c:pt>
                <c:pt idx="9">
                  <c:v>&gt;5</c:v>
                </c:pt>
                <c:pt idx="10">
                  <c:v>&gt;5.5</c:v>
                </c:pt>
              </c:strCache>
            </c:strRef>
          </c:cat>
          <c:val>
            <c:numRef>
              <c:f>Statistics!$S$15:$S$25</c:f>
              <c:numCache>
                <c:formatCode>General</c:formatCode>
                <c:ptCount val="11"/>
                <c:pt idx="0">
                  <c:v>0</c:v>
                </c:pt>
                <c:pt idx="1">
                  <c:v>0</c:v>
                </c:pt>
                <c:pt idx="2">
                  <c:v>0</c:v>
                </c:pt>
                <c:pt idx="3">
                  <c:v>0</c:v>
                </c:pt>
                <c:pt idx="4">
                  <c:v>0</c:v>
                </c:pt>
                <c:pt idx="5">
                  <c:v>0</c:v>
                </c:pt>
                <c:pt idx="6">
                  <c:v>0</c:v>
                </c:pt>
                <c:pt idx="7">
                  <c:v>0</c:v>
                </c:pt>
                <c:pt idx="8">
                  <c:v>0</c:v>
                </c:pt>
                <c:pt idx="9">
                  <c:v>0</c:v>
                </c:pt>
                <c:pt idx="10">
                  <c:v>629.9926982217055</c:v>
                </c:pt>
              </c:numCache>
            </c:numRef>
          </c:val>
        </c:ser>
        <c:ser>
          <c:idx val="1"/>
          <c:order val="1"/>
          <c:tx>
            <c:v>Fixed</c:v>
          </c:tx>
          <c:invertIfNegative val="0"/>
          <c:val>
            <c:numRef>
              <c:f>Statistics!$P$15:$P$25</c:f>
              <c:numCache>
                <c:formatCode>General</c:formatCode>
                <c:ptCount val="11"/>
                <c:pt idx="0">
                  <c:v>0</c:v>
                </c:pt>
                <c:pt idx="1">
                  <c:v>0</c:v>
                </c:pt>
                <c:pt idx="2">
                  <c:v>0</c:v>
                </c:pt>
                <c:pt idx="3">
                  <c:v>0</c:v>
                </c:pt>
                <c:pt idx="4">
                  <c:v>0</c:v>
                </c:pt>
                <c:pt idx="5">
                  <c:v>0</c:v>
                </c:pt>
                <c:pt idx="6">
                  <c:v>0</c:v>
                </c:pt>
                <c:pt idx="7">
                  <c:v>18</c:v>
                </c:pt>
                <c:pt idx="8">
                  <c:v>0</c:v>
                </c:pt>
                <c:pt idx="9">
                  <c:v>550</c:v>
                </c:pt>
                <c:pt idx="10">
                  <c:v>176</c:v>
                </c:pt>
              </c:numCache>
            </c:numRef>
          </c:val>
        </c:ser>
        <c:dLbls>
          <c:showLegendKey val="0"/>
          <c:showVal val="0"/>
          <c:showCatName val="0"/>
          <c:showSerName val="0"/>
          <c:showPercent val="0"/>
          <c:showBubbleSize val="0"/>
        </c:dLbls>
        <c:gapWidth val="88"/>
        <c:overlap val="-6"/>
        <c:axId val="118376320"/>
        <c:axId val="118382592"/>
      </c:barChart>
      <c:catAx>
        <c:axId val="118376320"/>
        <c:scaling>
          <c:orientation val="minMax"/>
        </c:scaling>
        <c:delete val="0"/>
        <c:axPos val="b"/>
        <c:title>
          <c:tx>
            <c:rich>
              <a:bodyPr/>
              <a:lstStyle/>
              <a:p>
                <a:pPr>
                  <a:defRPr/>
                </a:pPr>
                <a:r>
                  <a:rPr lang="en-US"/>
                  <a:t>Total Area ( Hectares/MW )</a:t>
                </a:r>
              </a:p>
            </c:rich>
          </c:tx>
          <c:overlay val="0"/>
        </c:title>
        <c:numFmt formatCode="General" sourceLinked="1"/>
        <c:majorTickMark val="out"/>
        <c:minorTickMark val="none"/>
        <c:tickLblPos val="nextTo"/>
        <c:crossAx val="118382592"/>
        <c:crosses val="autoZero"/>
        <c:auto val="1"/>
        <c:lblAlgn val="ctr"/>
        <c:lblOffset val="100"/>
        <c:noMultiLvlLbl val="0"/>
      </c:catAx>
      <c:valAx>
        <c:axId val="118382592"/>
        <c:scaling>
          <c:orientation val="minMax"/>
        </c:scaling>
        <c:delete val="0"/>
        <c:axPos val="l"/>
        <c:title>
          <c:tx>
            <c:rich>
              <a:bodyPr rot="-5400000" vert="horz"/>
              <a:lstStyle/>
              <a:p>
                <a:pPr>
                  <a:defRPr/>
                </a:pPr>
                <a:r>
                  <a:rPr lang="en-US"/>
                  <a:t>MW</a:t>
                </a:r>
              </a:p>
            </c:rich>
          </c:tx>
          <c:overlay val="0"/>
        </c:title>
        <c:numFmt formatCode="General" sourceLinked="1"/>
        <c:majorTickMark val="out"/>
        <c:minorTickMark val="none"/>
        <c:tickLblPos val="nextTo"/>
        <c:crossAx val="118376320"/>
        <c:crosses val="autoZero"/>
        <c:crossBetween val="between"/>
      </c:valAx>
    </c:plotArea>
    <c:legend>
      <c:legendPos val="t"/>
      <c:layout>
        <c:manualLayout>
          <c:xMode val="edge"/>
          <c:yMode val="edge"/>
          <c:x val="0.22373925514511891"/>
          <c:y val="4.6162100399910568E-2"/>
          <c:w val="0.56080306500884469"/>
          <c:h val="0.10550121297929464"/>
        </c:manualLayout>
      </c:layout>
      <c:overlay val="0"/>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aseline="0"/>
              <a:t>Utility-Scale PV</a:t>
            </a:r>
            <a:endParaRPr lang="en-US" sz="2000"/>
          </a:p>
        </c:rich>
      </c:tx>
      <c:overlay val="1"/>
    </c:title>
    <c:autoTitleDeleted val="0"/>
    <c:plotArea>
      <c:layout>
        <c:manualLayout>
          <c:layoutTarget val="inner"/>
          <c:xMode val="edge"/>
          <c:yMode val="edge"/>
          <c:x val="0.11616283254336293"/>
          <c:y val="9.9979948169826763E-2"/>
          <c:w val="0.85170687963772174"/>
          <c:h val="0.73566318548411502"/>
        </c:manualLayout>
      </c:layout>
      <c:barChart>
        <c:barDir val="col"/>
        <c:grouping val="clustered"/>
        <c:varyColors val="0"/>
        <c:ser>
          <c:idx val="0"/>
          <c:order val="0"/>
          <c:tx>
            <c:strRef>
              <c:f>Statistics!$G$13</c:f>
              <c:strCache>
                <c:ptCount val="1"/>
                <c:pt idx="0">
                  <c:v>1-Axis</c:v>
                </c:pt>
              </c:strCache>
            </c:strRef>
          </c:tx>
          <c:spPr>
            <a:solidFill>
              <a:srgbClr val="87A9D3"/>
            </a:solidFill>
          </c:spPr>
          <c:invertIfNegative val="0"/>
          <c:cat>
            <c:strRef>
              <c:f>Statistics!$A$17:$A$24</c:f>
              <c:strCache>
                <c:ptCount val="8"/>
                <c:pt idx="0">
                  <c:v>&lt; 2</c:v>
                </c:pt>
                <c:pt idx="1">
                  <c:v>2.5</c:v>
                </c:pt>
                <c:pt idx="2">
                  <c:v>3</c:v>
                </c:pt>
                <c:pt idx="3">
                  <c:v>3.5</c:v>
                </c:pt>
                <c:pt idx="4">
                  <c:v>4</c:v>
                </c:pt>
                <c:pt idx="5">
                  <c:v>4.5</c:v>
                </c:pt>
                <c:pt idx="6">
                  <c:v>5</c:v>
                </c:pt>
                <c:pt idx="7">
                  <c:v>&gt;5</c:v>
                </c:pt>
              </c:strCache>
            </c:strRef>
          </c:cat>
          <c:val>
            <c:numRef>
              <c:f>Statistics!$F$17:$F$24</c:f>
              <c:numCache>
                <c:formatCode>General</c:formatCode>
                <c:ptCount val="8"/>
                <c:pt idx="0">
                  <c:v>0</c:v>
                </c:pt>
                <c:pt idx="1">
                  <c:v>0</c:v>
                </c:pt>
                <c:pt idx="2">
                  <c:v>0</c:v>
                </c:pt>
                <c:pt idx="3">
                  <c:v>0</c:v>
                </c:pt>
                <c:pt idx="4">
                  <c:v>0</c:v>
                </c:pt>
                <c:pt idx="5">
                  <c:v>0</c:v>
                </c:pt>
                <c:pt idx="6">
                  <c:v>0</c:v>
                </c:pt>
                <c:pt idx="7">
                  <c:v>0</c:v>
                </c:pt>
              </c:numCache>
            </c:numRef>
          </c:val>
        </c:ser>
        <c:ser>
          <c:idx val="1"/>
          <c:order val="1"/>
          <c:tx>
            <c:strRef>
              <c:f>Statistics!$D$13</c:f>
              <c:strCache>
                <c:ptCount val="1"/>
                <c:pt idx="0">
                  <c:v>Fixed</c:v>
                </c:pt>
              </c:strCache>
            </c:strRef>
          </c:tx>
          <c:spPr>
            <a:solidFill>
              <a:schemeClr val="tx2"/>
            </a:solidFill>
          </c:spPr>
          <c:invertIfNegative val="0"/>
          <c:val>
            <c:numRef>
              <c:f>Statistics!$C$17:$C$24</c:f>
              <c:numCache>
                <c:formatCode>General</c:formatCode>
                <c:ptCount val="8"/>
                <c:pt idx="0">
                  <c:v>0</c:v>
                </c:pt>
                <c:pt idx="1">
                  <c:v>0</c:v>
                </c:pt>
                <c:pt idx="2">
                  <c:v>0</c:v>
                </c:pt>
                <c:pt idx="3">
                  <c:v>0</c:v>
                </c:pt>
                <c:pt idx="4">
                  <c:v>0</c:v>
                </c:pt>
                <c:pt idx="5">
                  <c:v>34.056308368194912</c:v>
                </c:pt>
                <c:pt idx="6">
                  <c:v>0</c:v>
                </c:pt>
                <c:pt idx="7">
                  <c:v>0</c:v>
                </c:pt>
              </c:numCache>
            </c:numRef>
          </c:val>
        </c:ser>
        <c:dLbls>
          <c:showLegendKey val="0"/>
          <c:showVal val="0"/>
          <c:showCatName val="0"/>
          <c:showSerName val="0"/>
          <c:showPercent val="0"/>
          <c:showBubbleSize val="0"/>
        </c:dLbls>
        <c:gapWidth val="88"/>
        <c:overlap val="-6"/>
        <c:axId val="118407936"/>
        <c:axId val="118409856"/>
      </c:barChart>
      <c:catAx>
        <c:axId val="118407936"/>
        <c:scaling>
          <c:orientation val="minMax"/>
        </c:scaling>
        <c:delete val="0"/>
        <c:axPos val="b"/>
        <c:title>
          <c:tx>
            <c:rich>
              <a:bodyPr/>
              <a:lstStyle/>
              <a:p>
                <a:pPr>
                  <a:defRPr sz="1600"/>
                </a:pPr>
                <a:r>
                  <a:rPr lang="en-US" sz="1600"/>
                  <a:t>Total Area (Hectares/MW)</a:t>
                </a:r>
              </a:p>
            </c:rich>
          </c:tx>
          <c:overlay val="0"/>
        </c:title>
        <c:numFmt formatCode="General" sourceLinked="1"/>
        <c:majorTickMark val="out"/>
        <c:minorTickMark val="none"/>
        <c:tickLblPos val="nextTo"/>
        <c:txPr>
          <a:bodyPr/>
          <a:lstStyle/>
          <a:p>
            <a:pPr>
              <a:defRPr sz="1800"/>
            </a:pPr>
            <a:endParaRPr lang="en-US"/>
          </a:p>
        </c:txPr>
        <c:crossAx val="118409856"/>
        <c:crosses val="autoZero"/>
        <c:auto val="1"/>
        <c:lblAlgn val="ctr"/>
        <c:lblOffset val="100"/>
        <c:noMultiLvlLbl val="0"/>
      </c:catAx>
      <c:valAx>
        <c:axId val="118409856"/>
        <c:scaling>
          <c:orientation val="minMax"/>
        </c:scaling>
        <c:delete val="0"/>
        <c:axPos val="l"/>
        <c:majorGridlines>
          <c:spPr>
            <a:ln>
              <a:solidFill>
                <a:sysClr val="window" lastClr="FFFFFF">
                  <a:lumMod val="50000"/>
                  <a:alpha val="30000"/>
                </a:sysClr>
              </a:solidFill>
            </a:ln>
          </c:spPr>
        </c:majorGridlines>
        <c:title>
          <c:tx>
            <c:rich>
              <a:bodyPr rot="-5400000" vert="horz"/>
              <a:lstStyle/>
              <a:p>
                <a:pPr>
                  <a:defRPr sz="1600"/>
                </a:pPr>
                <a:r>
                  <a:rPr lang="en-US" sz="1600"/>
                  <a:t>Total Capacity (MW)</a:t>
                </a:r>
              </a:p>
            </c:rich>
          </c:tx>
          <c:overlay val="0"/>
        </c:title>
        <c:numFmt formatCode="General" sourceLinked="1"/>
        <c:majorTickMark val="out"/>
        <c:minorTickMark val="none"/>
        <c:tickLblPos val="nextTo"/>
        <c:txPr>
          <a:bodyPr/>
          <a:lstStyle/>
          <a:p>
            <a:pPr>
              <a:defRPr sz="1800"/>
            </a:pPr>
            <a:endParaRPr lang="en-US"/>
          </a:p>
        </c:txPr>
        <c:crossAx val="118407936"/>
        <c:crosses val="autoZero"/>
        <c:crossBetween val="between"/>
      </c:valAx>
    </c:plotArea>
    <c:legend>
      <c:legendPos val="t"/>
      <c:layout>
        <c:manualLayout>
          <c:xMode val="edge"/>
          <c:yMode val="edge"/>
          <c:x val="0.16385646382410723"/>
          <c:y val="0.11056817358676092"/>
          <c:w val="0.27261596051361681"/>
          <c:h val="0.10550121297929461"/>
        </c:manualLayout>
      </c:layout>
      <c:overlay val="0"/>
      <c:txPr>
        <a:bodyPr/>
        <a:lstStyle/>
        <a:p>
          <a:pPr>
            <a:defRPr sz="1800"/>
          </a:pPr>
          <a:endParaRPr lang="en-US"/>
        </a:p>
      </c:txPr>
    </c:legend>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Wholesale</a:t>
            </a:r>
            <a:r>
              <a:rPr lang="en-US" sz="2000" baseline="0"/>
              <a:t> Distributed PV</a:t>
            </a:r>
            <a:endParaRPr lang="en-US" sz="2000"/>
          </a:p>
        </c:rich>
      </c:tx>
      <c:overlay val="1"/>
    </c:title>
    <c:autoTitleDeleted val="0"/>
    <c:plotArea>
      <c:layout>
        <c:manualLayout>
          <c:layoutTarget val="inner"/>
          <c:xMode val="edge"/>
          <c:yMode val="edge"/>
          <c:x val="0.11616283254336293"/>
          <c:y val="9.9979948169826763E-2"/>
          <c:w val="0.85170687963772174"/>
          <c:h val="0.73566318548411502"/>
        </c:manualLayout>
      </c:layout>
      <c:barChart>
        <c:barDir val="col"/>
        <c:grouping val="clustered"/>
        <c:varyColors val="0"/>
        <c:ser>
          <c:idx val="0"/>
          <c:order val="0"/>
          <c:tx>
            <c:strRef>
              <c:f>Statistics!$G$13</c:f>
              <c:strCache>
                <c:ptCount val="1"/>
                <c:pt idx="0">
                  <c:v>1-Axis</c:v>
                </c:pt>
              </c:strCache>
            </c:strRef>
          </c:tx>
          <c:spPr>
            <a:solidFill>
              <a:srgbClr val="87A9D3"/>
            </a:solidFill>
          </c:spPr>
          <c:invertIfNegative val="0"/>
          <c:cat>
            <c:strRef>
              <c:f>Statistics!$A$3:$A$11</c:f>
              <c:strCache>
                <c:ptCount val="9"/>
                <c:pt idx="0">
                  <c:v>&lt;1</c:v>
                </c:pt>
                <c:pt idx="1">
                  <c:v>1.5</c:v>
                </c:pt>
                <c:pt idx="2">
                  <c:v>2</c:v>
                </c:pt>
                <c:pt idx="3">
                  <c:v>2.5</c:v>
                </c:pt>
                <c:pt idx="4">
                  <c:v>3</c:v>
                </c:pt>
                <c:pt idx="5">
                  <c:v>3.5</c:v>
                </c:pt>
                <c:pt idx="6">
                  <c:v>4</c:v>
                </c:pt>
                <c:pt idx="7">
                  <c:v>4.5</c:v>
                </c:pt>
                <c:pt idx="8">
                  <c:v>&gt;4.5</c:v>
                </c:pt>
              </c:strCache>
            </c:strRef>
          </c:cat>
          <c:val>
            <c:numRef>
              <c:f>Statistics!$S$3:$S$11</c:f>
              <c:numCache>
                <c:formatCode>General</c:formatCode>
                <c:ptCount val="9"/>
                <c:pt idx="0">
                  <c:v>0</c:v>
                </c:pt>
                <c:pt idx="1">
                  <c:v>0</c:v>
                </c:pt>
                <c:pt idx="2">
                  <c:v>0</c:v>
                </c:pt>
                <c:pt idx="3">
                  <c:v>0</c:v>
                </c:pt>
                <c:pt idx="4">
                  <c:v>0</c:v>
                </c:pt>
                <c:pt idx="5">
                  <c:v>0</c:v>
                </c:pt>
                <c:pt idx="6">
                  <c:v>12.600834096232118</c:v>
                </c:pt>
                <c:pt idx="7">
                  <c:v>0</c:v>
                </c:pt>
                <c:pt idx="8">
                  <c:v>151.95543591217651</c:v>
                </c:pt>
              </c:numCache>
            </c:numRef>
          </c:val>
        </c:ser>
        <c:ser>
          <c:idx val="1"/>
          <c:order val="1"/>
          <c:tx>
            <c:strRef>
              <c:f>Statistics!$D$13</c:f>
              <c:strCache>
                <c:ptCount val="1"/>
                <c:pt idx="0">
                  <c:v>Fixed</c:v>
                </c:pt>
              </c:strCache>
            </c:strRef>
          </c:tx>
          <c:spPr>
            <a:solidFill>
              <a:schemeClr val="tx2"/>
            </a:solidFill>
          </c:spPr>
          <c:invertIfNegative val="0"/>
          <c:val>
            <c:numRef>
              <c:f>Statistics!$P$3:$P$11</c:f>
              <c:numCache>
                <c:formatCode>General</c:formatCode>
                <c:ptCount val="9"/>
                <c:pt idx="0">
                  <c:v>0</c:v>
                </c:pt>
                <c:pt idx="1">
                  <c:v>0</c:v>
                </c:pt>
                <c:pt idx="2">
                  <c:v>0</c:v>
                </c:pt>
                <c:pt idx="3">
                  <c:v>5</c:v>
                </c:pt>
                <c:pt idx="4">
                  <c:v>1.9046610968617501</c:v>
                </c:pt>
                <c:pt idx="5">
                  <c:v>8.0202606207099016</c:v>
                </c:pt>
                <c:pt idx="6">
                  <c:v>6.5212981825304555</c:v>
                </c:pt>
                <c:pt idx="7">
                  <c:v>12.961386197697014</c:v>
                </c:pt>
                <c:pt idx="8">
                  <c:v>153.12744319447609</c:v>
                </c:pt>
              </c:numCache>
            </c:numRef>
          </c:val>
        </c:ser>
        <c:dLbls>
          <c:showLegendKey val="0"/>
          <c:showVal val="0"/>
          <c:showCatName val="0"/>
          <c:showSerName val="0"/>
          <c:showPercent val="0"/>
          <c:showBubbleSize val="0"/>
        </c:dLbls>
        <c:gapWidth val="88"/>
        <c:overlap val="-6"/>
        <c:axId val="118435840"/>
        <c:axId val="118437760"/>
      </c:barChart>
      <c:catAx>
        <c:axId val="118435840"/>
        <c:scaling>
          <c:orientation val="minMax"/>
        </c:scaling>
        <c:delete val="0"/>
        <c:axPos val="b"/>
        <c:title>
          <c:tx>
            <c:rich>
              <a:bodyPr/>
              <a:lstStyle/>
              <a:p>
                <a:pPr>
                  <a:defRPr sz="1600"/>
                </a:pPr>
                <a:r>
                  <a:rPr lang="en-US" sz="1600"/>
                  <a:t>Direct Area (Hectares/MW)</a:t>
                </a:r>
              </a:p>
            </c:rich>
          </c:tx>
          <c:overlay val="0"/>
        </c:title>
        <c:numFmt formatCode="General" sourceLinked="1"/>
        <c:majorTickMark val="out"/>
        <c:minorTickMark val="none"/>
        <c:tickLblPos val="nextTo"/>
        <c:txPr>
          <a:bodyPr/>
          <a:lstStyle/>
          <a:p>
            <a:pPr>
              <a:defRPr sz="1800"/>
            </a:pPr>
            <a:endParaRPr lang="en-US"/>
          </a:p>
        </c:txPr>
        <c:crossAx val="118437760"/>
        <c:crosses val="autoZero"/>
        <c:auto val="1"/>
        <c:lblAlgn val="ctr"/>
        <c:lblOffset val="100"/>
        <c:noMultiLvlLbl val="0"/>
      </c:catAx>
      <c:valAx>
        <c:axId val="118437760"/>
        <c:scaling>
          <c:orientation val="minMax"/>
        </c:scaling>
        <c:delete val="0"/>
        <c:axPos val="l"/>
        <c:majorGridlines>
          <c:spPr>
            <a:ln>
              <a:solidFill>
                <a:sysClr val="window" lastClr="FFFFFF">
                  <a:lumMod val="50000"/>
                  <a:alpha val="30000"/>
                </a:sysClr>
              </a:solidFill>
            </a:ln>
          </c:spPr>
        </c:majorGridlines>
        <c:title>
          <c:tx>
            <c:rich>
              <a:bodyPr rot="-5400000" vert="horz"/>
              <a:lstStyle/>
              <a:p>
                <a:pPr>
                  <a:defRPr sz="1600"/>
                </a:pPr>
                <a:r>
                  <a:rPr lang="en-US" sz="1600"/>
                  <a:t>Total Capacity (MW)</a:t>
                </a:r>
              </a:p>
            </c:rich>
          </c:tx>
          <c:overlay val="0"/>
        </c:title>
        <c:numFmt formatCode="General" sourceLinked="1"/>
        <c:majorTickMark val="out"/>
        <c:minorTickMark val="none"/>
        <c:tickLblPos val="nextTo"/>
        <c:txPr>
          <a:bodyPr/>
          <a:lstStyle/>
          <a:p>
            <a:pPr>
              <a:defRPr sz="1800"/>
            </a:pPr>
            <a:endParaRPr lang="en-US"/>
          </a:p>
        </c:txPr>
        <c:crossAx val="118435840"/>
        <c:crosses val="autoZero"/>
        <c:crossBetween val="between"/>
      </c:valAx>
    </c:plotArea>
    <c:legend>
      <c:legendPos val="t"/>
      <c:layout>
        <c:manualLayout>
          <c:xMode val="edge"/>
          <c:yMode val="edge"/>
          <c:x val="0.17302605473760993"/>
          <c:y val="0.15272192367925888"/>
          <c:w val="0.27261596051361681"/>
          <c:h val="0.10550121297929461"/>
        </c:manualLayout>
      </c:layout>
      <c:overlay val="0"/>
      <c:txPr>
        <a:bodyPr/>
        <a:lstStyle/>
        <a:p>
          <a:pPr>
            <a:defRPr sz="1800"/>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aseline="0"/>
              <a:t>Utility-Scale PV</a:t>
            </a:r>
            <a:endParaRPr lang="en-US" sz="2000"/>
          </a:p>
        </c:rich>
      </c:tx>
      <c:overlay val="1"/>
    </c:title>
    <c:autoTitleDeleted val="0"/>
    <c:plotArea>
      <c:layout>
        <c:manualLayout>
          <c:layoutTarget val="inner"/>
          <c:xMode val="edge"/>
          <c:yMode val="edge"/>
          <c:x val="0.11616283254336293"/>
          <c:y val="9.9979948169826818E-2"/>
          <c:w val="0.85170687963772174"/>
          <c:h val="0.73566318548411502"/>
        </c:manualLayout>
      </c:layout>
      <c:barChart>
        <c:barDir val="col"/>
        <c:grouping val="clustered"/>
        <c:varyColors val="0"/>
        <c:ser>
          <c:idx val="0"/>
          <c:order val="0"/>
          <c:tx>
            <c:strRef>
              <c:f>Statistics!$G$13</c:f>
              <c:strCache>
                <c:ptCount val="1"/>
                <c:pt idx="0">
                  <c:v>1-Axis</c:v>
                </c:pt>
              </c:strCache>
            </c:strRef>
          </c:tx>
          <c:spPr>
            <a:solidFill>
              <a:srgbClr val="87A9D3"/>
            </a:solidFill>
          </c:spPr>
          <c:invertIfNegative val="0"/>
          <c:cat>
            <c:strRef>
              <c:f>Statistics!$A$17:$A$24</c:f>
              <c:strCache>
                <c:ptCount val="8"/>
                <c:pt idx="0">
                  <c:v>&lt; 2</c:v>
                </c:pt>
                <c:pt idx="1">
                  <c:v>2.5</c:v>
                </c:pt>
                <c:pt idx="2">
                  <c:v>3</c:v>
                </c:pt>
                <c:pt idx="3">
                  <c:v>3.5</c:v>
                </c:pt>
                <c:pt idx="4">
                  <c:v>4</c:v>
                </c:pt>
                <c:pt idx="5">
                  <c:v>4.5</c:v>
                </c:pt>
                <c:pt idx="6">
                  <c:v>5</c:v>
                </c:pt>
                <c:pt idx="7">
                  <c:v>&gt;5</c:v>
                </c:pt>
              </c:strCache>
            </c:strRef>
          </c:cat>
          <c:val>
            <c:numRef>
              <c:f>Statistics!$S$17:$S$24</c:f>
              <c:numCache>
                <c:formatCode>General</c:formatCode>
                <c:ptCount val="8"/>
                <c:pt idx="0">
                  <c:v>0</c:v>
                </c:pt>
                <c:pt idx="1">
                  <c:v>0</c:v>
                </c:pt>
                <c:pt idx="2">
                  <c:v>0</c:v>
                </c:pt>
                <c:pt idx="3">
                  <c:v>0</c:v>
                </c:pt>
                <c:pt idx="4">
                  <c:v>0</c:v>
                </c:pt>
                <c:pt idx="5">
                  <c:v>0</c:v>
                </c:pt>
                <c:pt idx="6">
                  <c:v>0</c:v>
                </c:pt>
                <c:pt idx="7">
                  <c:v>0</c:v>
                </c:pt>
              </c:numCache>
            </c:numRef>
          </c:val>
        </c:ser>
        <c:ser>
          <c:idx val="1"/>
          <c:order val="1"/>
          <c:tx>
            <c:strRef>
              <c:f>Statistics!$D$13</c:f>
              <c:strCache>
                <c:ptCount val="1"/>
                <c:pt idx="0">
                  <c:v>Fixed</c:v>
                </c:pt>
              </c:strCache>
            </c:strRef>
          </c:tx>
          <c:spPr>
            <a:solidFill>
              <a:schemeClr val="tx2"/>
            </a:solidFill>
          </c:spPr>
          <c:invertIfNegative val="0"/>
          <c:val>
            <c:numRef>
              <c:f>Statistics!$P$17:$P$24</c:f>
              <c:numCache>
                <c:formatCode>General</c:formatCode>
                <c:ptCount val="8"/>
                <c:pt idx="0">
                  <c:v>0</c:v>
                </c:pt>
                <c:pt idx="1">
                  <c:v>0</c:v>
                </c:pt>
                <c:pt idx="2">
                  <c:v>0</c:v>
                </c:pt>
                <c:pt idx="3">
                  <c:v>0</c:v>
                </c:pt>
                <c:pt idx="4">
                  <c:v>0</c:v>
                </c:pt>
                <c:pt idx="5">
                  <c:v>18</c:v>
                </c:pt>
                <c:pt idx="6">
                  <c:v>0</c:v>
                </c:pt>
                <c:pt idx="7">
                  <c:v>550</c:v>
                </c:pt>
              </c:numCache>
            </c:numRef>
          </c:val>
        </c:ser>
        <c:dLbls>
          <c:showLegendKey val="0"/>
          <c:showVal val="0"/>
          <c:showCatName val="0"/>
          <c:showSerName val="0"/>
          <c:showPercent val="0"/>
          <c:showBubbleSize val="0"/>
        </c:dLbls>
        <c:gapWidth val="88"/>
        <c:overlap val="-6"/>
        <c:axId val="118463488"/>
        <c:axId val="118555776"/>
      </c:barChart>
      <c:catAx>
        <c:axId val="118463488"/>
        <c:scaling>
          <c:orientation val="minMax"/>
        </c:scaling>
        <c:delete val="0"/>
        <c:axPos val="b"/>
        <c:title>
          <c:tx>
            <c:rich>
              <a:bodyPr/>
              <a:lstStyle/>
              <a:p>
                <a:pPr>
                  <a:defRPr sz="1600"/>
                </a:pPr>
                <a:r>
                  <a:rPr lang="en-US" sz="1600"/>
                  <a:t>Direct Area (Hectares/MW)</a:t>
                </a:r>
              </a:p>
            </c:rich>
          </c:tx>
          <c:overlay val="0"/>
        </c:title>
        <c:numFmt formatCode="General" sourceLinked="1"/>
        <c:majorTickMark val="out"/>
        <c:minorTickMark val="none"/>
        <c:tickLblPos val="nextTo"/>
        <c:txPr>
          <a:bodyPr/>
          <a:lstStyle/>
          <a:p>
            <a:pPr>
              <a:defRPr sz="1800"/>
            </a:pPr>
            <a:endParaRPr lang="en-US"/>
          </a:p>
        </c:txPr>
        <c:crossAx val="118555776"/>
        <c:crosses val="autoZero"/>
        <c:auto val="1"/>
        <c:lblAlgn val="ctr"/>
        <c:lblOffset val="100"/>
        <c:noMultiLvlLbl val="0"/>
      </c:catAx>
      <c:valAx>
        <c:axId val="118555776"/>
        <c:scaling>
          <c:orientation val="minMax"/>
        </c:scaling>
        <c:delete val="0"/>
        <c:axPos val="l"/>
        <c:majorGridlines>
          <c:spPr>
            <a:ln>
              <a:solidFill>
                <a:sysClr val="window" lastClr="FFFFFF">
                  <a:lumMod val="50000"/>
                  <a:alpha val="30000"/>
                </a:sysClr>
              </a:solidFill>
            </a:ln>
          </c:spPr>
        </c:majorGridlines>
        <c:title>
          <c:tx>
            <c:rich>
              <a:bodyPr rot="-5400000" vert="horz"/>
              <a:lstStyle/>
              <a:p>
                <a:pPr>
                  <a:defRPr sz="1600"/>
                </a:pPr>
                <a:r>
                  <a:rPr lang="en-US" sz="1600"/>
                  <a:t>Total Capacity (MW)</a:t>
                </a:r>
              </a:p>
            </c:rich>
          </c:tx>
          <c:layout>
            <c:manualLayout>
              <c:xMode val="edge"/>
              <c:yMode val="edge"/>
              <c:x val="1.9088530285797326E-2"/>
              <c:y val="0.29343754557788831"/>
            </c:manualLayout>
          </c:layout>
          <c:overlay val="0"/>
        </c:title>
        <c:numFmt formatCode="General" sourceLinked="1"/>
        <c:majorTickMark val="out"/>
        <c:minorTickMark val="none"/>
        <c:tickLblPos val="nextTo"/>
        <c:txPr>
          <a:bodyPr/>
          <a:lstStyle/>
          <a:p>
            <a:pPr>
              <a:defRPr sz="1800"/>
            </a:pPr>
            <a:endParaRPr lang="en-US"/>
          </a:p>
        </c:txPr>
        <c:crossAx val="118463488"/>
        <c:crosses val="autoZero"/>
        <c:crossBetween val="between"/>
      </c:valAx>
    </c:plotArea>
    <c:legend>
      <c:legendPos val="t"/>
      <c:layout>
        <c:manualLayout>
          <c:xMode val="edge"/>
          <c:yMode val="edge"/>
          <c:x val="0.16385646382410723"/>
          <c:y val="0.11056817358676092"/>
          <c:w val="0.27261596051361681"/>
          <c:h val="0.10550121297929464"/>
        </c:manualLayout>
      </c:layout>
      <c:overlay val="0"/>
      <c:txPr>
        <a:bodyPr/>
        <a:lstStyle/>
        <a:p>
          <a:pPr>
            <a:defRPr sz="1800"/>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Small PV (&lt;20 MW)</a:t>
            </a:r>
          </a:p>
        </c:rich>
      </c:tx>
      <c:overlay val="1"/>
    </c:title>
    <c:autoTitleDeleted val="0"/>
    <c:plotArea>
      <c:layout>
        <c:manualLayout>
          <c:layoutTarget val="inner"/>
          <c:xMode val="edge"/>
          <c:yMode val="edge"/>
          <c:x val="8.1475719790345319E-2"/>
          <c:y val="8.4985835694051048E-2"/>
          <c:w val="0.8287882631692316"/>
          <c:h val="0.79603399433427768"/>
        </c:manualLayout>
      </c:layout>
      <c:barChart>
        <c:barDir val="col"/>
        <c:grouping val="stacked"/>
        <c:varyColors val="0"/>
        <c:ser>
          <c:idx val="4"/>
          <c:order val="6"/>
          <c:tx>
            <c:strRef>
              <c:f>'Stacked Bar Chart smallPV'!$B$50</c:f>
              <c:strCache>
                <c:ptCount val="1"/>
                <c:pt idx="0">
                  <c:v>Imports Crystalline Si</c:v>
                </c:pt>
              </c:strCache>
            </c:strRef>
          </c:tx>
          <c:spPr>
            <a:noFill/>
            <a:ln w="25400">
              <a:noFill/>
            </a:ln>
          </c:spPr>
          <c:invertIfNegative val="0"/>
          <c:cat>
            <c:strRef>
              <c:f>'Stacked Bar Chart smallPV'!$C$48:$I$48</c:f>
              <c:strCache>
                <c:ptCount val="7"/>
                <c:pt idx="0">
                  <c:v>&lt;1</c:v>
                </c:pt>
                <c:pt idx="1">
                  <c:v>2 - 2.5</c:v>
                </c:pt>
                <c:pt idx="2">
                  <c:v>2.5 - 3</c:v>
                </c:pt>
                <c:pt idx="3">
                  <c:v>3 - 3.5</c:v>
                </c:pt>
                <c:pt idx="4">
                  <c:v>3.5 - 4</c:v>
                </c:pt>
                <c:pt idx="5">
                  <c:v>4 - 4.5</c:v>
                </c:pt>
                <c:pt idx="6">
                  <c:v>&gt;4.5</c:v>
                </c:pt>
              </c:strCache>
            </c:strRef>
          </c:cat>
          <c:val>
            <c:numRef>
              <c:f>'Stacked Bar Chart smallPV'!$C$50:$I$50</c:f>
              <c:numCache>
                <c:formatCode>General</c:formatCode>
                <c:ptCount val="7"/>
                <c:pt idx="0">
                  <c:v>10</c:v>
                </c:pt>
                <c:pt idx="1">
                  <c:v>10</c:v>
                </c:pt>
                <c:pt idx="2">
                  <c:v>10</c:v>
                </c:pt>
                <c:pt idx="3">
                  <c:v>10</c:v>
                </c:pt>
                <c:pt idx="4">
                  <c:v>10</c:v>
                </c:pt>
                <c:pt idx="5">
                  <c:v>10</c:v>
                </c:pt>
                <c:pt idx="6">
                  <c:v>10</c:v>
                </c:pt>
              </c:numCache>
            </c:numRef>
          </c:val>
        </c:ser>
        <c:dLbls>
          <c:showLegendKey val="0"/>
          <c:showVal val="0"/>
          <c:showCatName val="0"/>
          <c:showSerName val="0"/>
          <c:showPercent val="0"/>
          <c:showBubbleSize val="0"/>
        </c:dLbls>
        <c:gapWidth val="20"/>
        <c:overlap val="100"/>
        <c:axId val="119032448"/>
        <c:axId val="119042816"/>
      </c:barChart>
      <c:barChart>
        <c:barDir val="col"/>
        <c:grouping val="stacked"/>
        <c:varyColors val="0"/>
        <c:ser>
          <c:idx val="0"/>
          <c:order val="0"/>
          <c:tx>
            <c:strRef>
              <c:f>'Stacked Bar Chart smallPV'!$A$3</c:f>
              <c:strCache>
                <c:ptCount val="1"/>
                <c:pt idx="0">
                  <c:v>Fixed (MW)</c:v>
                </c:pt>
              </c:strCache>
            </c:strRef>
          </c:tx>
          <c:spPr>
            <a:solidFill>
              <a:schemeClr val="accent2">
                <a:lumMod val="75000"/>
              </a:schemeClr>
            </a:solidFill>
            <a:ln w="12700">
              <a:solidFill>
                <a:schemeClr val="tx1"/>
              </a:solidFill>
            </a:ln>
          </c:spPr>
          <c:invertIfNegative val="0"/>
          <c:cat>
            <c:numRef>
              <c:f>'Stacked Bar Chart smallPV'!$B$2:$T$2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smallPV'!$B$3:$W$3</c:f>
              <c:numCache>
                <c:formatCode>General</c:formatCode>
                <c:ptCount val="22"/>
                <c:pt idx="1">
                  <c:v>0</c:v>
                </c:pt>
                <c:pt idx="2">
                  <c:v>0</c:v>
                </c:pt>
                <c:pt idx="3">
                  <c:v>0</c:v>
                </c:pt>
                <c:pt idx="4">
                  <c:v>0</c:v>
                </c:pt>
                <c:pt idx="5">
                  <c:v>0</c:v>
                </c:pt>
                <c:pt idx="6">
                  <c:v>0</c:v>
                </c:pt>
                <c:pt idx="7">
                  <c:v>0</c:v>
                </c:pt>
                <c:pt idx="8">
                  <c:v>0</c:v>
                </c:pt>
                <c:pt idx="9">
                  <c:v>0</c:v>
                </c:pt>
                <c:pt idx="10">
                  <c:v>1.064259636506091</c:v>
                </c:pt>
                <c:pt idx="11">
                  <c:v>0</c:v>
                </c:pt>
                <c:pt idx="12">
                  <c:v>0</c:v>
                </c:pt>
                <c:pt idx="13">
                  <c:v>0.4895594327928019</c:v>
                </c:pt>
                <c:pt idx="14">
                  <c:v>0</c:v>
                </c:pt>
                <c:pt idx="15">
                  <c:v>0</c:v>
                </c:pt>
                <c:pt idx="16">
                  <c:v>1.6389598402193801</c:v>
                </c:pt>
                <c:pt idx="17">
                  <c:v>0</c:v>
                </c:pt>
                <c:pt idx="18">
                  <c:v>0</c:v>
                </c:pt>
                <c:pt idx="19">
                  <c:v>52.902825775827182</c:v>
                </c:pt>
                <c:pt idx="20">
                  <c:v>0</c:v>
                </c:pt>
                <c:pt idx="21">
                  <c:v>0</c:v>
                </c:pt>
              </c:numCache>
            </c:numRef>
          </c:val>
        </c:ser>
        <c:ser>
          <c:idx val="1"/>
          <c:order val="1"/>
          <c:tx>
            <c:strRef>
              <c:f>'Stacked Bar Chart smallPV'!$A$4</c:f>
              <c:strCache>
                <c:ptCount val="1"/>
                <c:pt idx="0">
                  <c:v>1 Axis (MW)</c:v>
                </c:pt>
              </c:strCache>
            </c:strRef>
          </c:tx>
          <c:spPr>
            <a:solidFill>
              <a:schemeClr val="accent2">
                <a:lumMod val="60000"/>
                <a:lumOff val="40000"/>
              </a:schemeClr>
            </a:solidFill>
            <a:ln w="12700">
              <a:solidFill>
                <a:schemeClr val="tx1"/>
              </a:solidFill>
            </a:ln>
          </c:spPr>
          <c:invertIfNegative val="0"/>
          <c:cat>
            <c:numRef>
              <c:f>'Stacked Bar Chart smallPV'!$B$2:$T$2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smallPV'!$B$4:$W$4</c:f>
              <c:numCache>
                <c:formatCode>General</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er>
        <c:ser>
          <c:idx val="5"/>
          <c:order val="2"/>
          <c:tx>
            <c:strRef>
              <c:f>'Stacked Bar Chart smallPV'!$A$5</c:f>
              <c:strCache>
                <c:ptCount val="1"/>
                <c:pt idx="0">
                  <c:v>2 Axis (MW)</c:v>
                </c:pt>
              </c:strCache>
            </c:strRef>
          </c:tx>
          <c:spPr>
            <a:solidFill>
              <a:schemeClr val="accent2">
                <a:lumMod val="20000"/>
                <a:lumOff val="80000"/>
              </a:schemeClr>
            </a:solidFill>
            <a:ln>
              <a:solidFill>
                <a:srgbClr val="000000"/>
              </a:solidFill>
            </a:ln>
          </c:spPr>
          <c:invertIfNegative val="0"/>
          <c:cat>
            <c:numRef>
              <c:f>'Stacked Bar Chart smallPV'!$B$2:$T$2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smallPV'!$B$5:$W$5</c:f>
              <c:numCache>
                <c:formatCode>General</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1.919214877832651</c:v>
                </c:pt>
                <c:pt idx="20">
                  <c:v>0</c:v>
                </c:pt>
                <c:pt idx="21">
                  <c:v>0</c:v>
                </c:pt>
              </c:numCache>
            </c:numRef>
          </c:val>
        </c:ser>
        <c:ser>
          <c:idx val="2"/>
          <c:order val="3"/>
          <c:tx>
            <c:strRef>
              <c:f>'Stacked Bar Chart smallPV'!$A$6</c:f>
              <c:strCache>
                <c:ptCount val="1"/>
                <c:pt idx="0">
                  <c:v>Fixed (Projects)</c:v>
                </c:pt>
              </c:strCache>
            </c:strRef>
          </c:tx>
          <c:spPr>
            <a:solidFill>
              <a:schemeClr val="accent1"/>
            </a:solidFill>
            <a:ln w="12700">
              <a:solidFill>
                <a:schemeClr val="tx1"/>
              </a:solidFill>
            </a:ln>
          </c:spPr>
          <c:invertIfNegative val="0"/>
          <c:cat>
            <c:numRef>
              <c:f>'Stacked Bar Chart smallPV'!$B$2:$T$2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smallPV'!$B$6:$W$6</c:f>
              <c:numCache>
                <c:formatCode>General</c:formatCode>
                <c:ptCount val="22"/>
                <c:pt idx="1">
                  <c:v>0</c:v>
                </c:pt>
                <c:pt idx="2">
                  <c:v>0</c:v>
                </c:pt>
                <c:pt idx="3">
                  <c:v>0</c:v>
                </c:pt>
                <c:pt idx="4">
                  <c:v>0</c:v>
                </c:pt>
                <c:pt idx="5">
                  <c:v>0</c:v>
                </c:pt>
                <c:pt idx="6">
                  <c:v>0</c:v>
                </c:pt>
                <c:pt idx="7">
                  <c:v>0</c:v>
                </c:pt>
                <c:pt idx="8">
                  <c:v>0</c:v>
                </c:pt>
                <c:pt idx="9">
                  <c:v>0</c:v>
                </c:pt>
                <c:pt idx="10">
                  <c:v>0</c:v>
                </c:pt>
                <c:pt idx="11">
                  <c:v>1</c:v>
                </c:pt>
                <c:pt idx="12">
                  <c:v>0</c:v>
                </c:pt>
                <c:pt idx="13">
                  <c:v>0</c:v>
                </c:pt>
                <c:pt idx="14">
                  <c:v>2</c:v>
                </c:pt>
                <c:pt idx="15">
                  <c:v>0</c:v>
                </c:pt>
                <c:pt idx="16">
                  <c:v>0</c:v>
                </c:pt>
                <c:pt idx="17">
                  <c:v>4</c:v>
                </c:pt>
                <c:pt idx="18">
                  <c:v>0</c:v>
                </c:pt>
                <c:pt idx="19">
                  <c:v>0</c:v>
                </c:pt>
                <c:pt idx="20">
                  <c:v>47</c:v>
                </c:pt>
                <c:pt idx="21">
                  <c:v>0</c:v>
                </c:pt>
              </c:numCache>
            </c:numRef>
          </c:val>
        </c:ser>
        <c:ser>
          <c:idx val="3"/>
          <c:order val="4"/>
          <c:tx>
            <c:strRef>
              <c:f>'Stacked Bar Chart smallPV'!$A$7</c:f>
              <c:strCache>
                <c:ptCount val="1"/>
                <c:pt idx="0">
                  <c:v>1 Axis (Projects)</c:v>
                </c:pt>
              </c:strCache>
            </c:strRef>
          </c:tx>
          <c:spPr>
            <a:solidFill>
              <a:schemeClr val="accent1">
                <a:lumMod val="60000"/>
                <a:lumOff val="40000"/>
              </a:schemeClr>
            </a:solidFill>
            <a:ln w="12700">
              <a:solidFill>
                <a:schemeClr val="tx1"/>
              </a:solidFill>
            </a:ln>
          </c:spPr>
          <c:invertIfNegative val="0"/>
          <c:cat>
            <c:numRef>
              <c:f>'Stacked Bar Chart smallPV'!$B$2:$T$2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smallPV'!$B$7:$W$7</c:f>
              <c:numCache>
                <c:formatCode>General</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54</c:v>
                </c:pt>
                <c:pt idx="21">
                  <c:v>0</c:v>
                </c:pt>
              </c:numCache>
            </c:numRef>
          </c:val>
        </c:ser>
        <c:ser>
          <c:idx val="6"/>
          <c:order val="5"/>
          <c:tx>
            <c:strRef>
              <c:f>'Stacked Bar Chart smallPV'!$A$8</c:f>
              <c:strCache>
                <c:ptCount val="1"/>
                <c:pt idx="0">
                  <c:v>2 Axis (Projects)</c:v>
                </c:pt>
              </c:strCache>
            </c:strRef>
          </c:tx>
          <c:spPr>
            <a:solidFill>
              <a:schemeClr val="accent1">
                <a:lumMod val="20000"/>
                <a:lumOff val="80000"/>
              </a:schemeClr>
            </a:solidFill>
            <a:ln>
              <a:solidFill>
                <a:srgbClr val="000000"/>
              </a:solidFill>
            </a:ln>
          </c:spPr>
          <c:invertIfNegative val="0"/>
          <c:cat>
            <c:numRef>
              <c:f>'Stacked Bar Chart smallPV'!$B$2:$T$2</c:f>
              <c:numCache>
                <c:formatCode>General</c:formatCode>
                <c:ptCount val="19"/>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'Stacked Bar Chart smallPV'!$B$8:$W$8</c:f>
              <c:numCache>
                <c:formatCode>General</c:formatCode>
                <c:ptCount val="22"/>
                <c:pt idx="1">
                  <c:v>0</c:v>
                </c:pt>
                <c:pt idx="2">
                  <c:v>0</c:v>
                </c:pt>
                <c:pt idx="3">
                  <c:v>0</c:v>
                </c:pt>
                <c:pt idx="4">
                  <c:v>0</c:v>
                </c:pt>
                <c:pt idx="5">
                  <c:v>0</c:v>
                </c:pt>
                <c:pt idx="6">
                  <c:v>0</c:v>
                </c:pt>
                <c:pt idx="7">
                  <c:v>0</c:v>
                </c:pt>
                <c:pt idx="8">
                  <c:v>0</c:v>
                </c:pt>
                <c:pt idx="9">
                  <c:v>0</c:v>
                </c:pt>
                <c:pt idx="10">
                  <c:v>0</c:v>
                </c:pt>
                <c:pt idx="11">
                  <c:v>0</c:v>
                </c:pt>
                <c:pt idx="12">
                  <c:v>0</c:v>
                </c:pt>
                <c:pt idx="13">
                  <c:v>0</c:v>
                </c:pt>
                <c:pt idx="14">
                  <c:v>9.5357663430945756</c:v>
                </c:pt>
                <c:pt idx="15">
                  <c:v>0</c:v>
                </c:pt>
                <c:pt idx="16">
                  <c:v>0</c:v>
                </c:pt>
                <c:pt idx="17">
                  <c:v>0</c:v>
                </c:pt>
                <c:pt idx="18">
                  <c:v>0</c:v>
                </c:pt>
                <c:pt idx="19">
                  <c:v>0</c:v>
                </c:pt>
                <c:pt idx="20">
                  <c:v>84.61289814078026</c:v>
                </c:pt>
                <c:pt idx="21">
                  <c:v>0</c:v>
                </c:pt>
              </c:numCache>
            </c:numRef>
          </c:val>
        </c:ser>
        <c:dLbls>
          <c:showLegendKey val="0"/>
          <c:showVal val="0"/>
          <c:showCatName val="0"/>
          <c:showSerName val="0"/>
          <c:showPercent val="0"/>
          <c:showBubbleSize val="0"/>
        </c:dLbls>
        <c:gapWidth val="20"/>
        <c:overlap val="100"/>
        <c:axId val="119044736"/>
        <c:axId val="119058816"/>
      </c:barChart>
      <c:catAx>
        <c:axId val="119032448"/>
        <c:scaling>
          <c:orientation val="minMax"/>
        </c:scaling>
        <c:delete val="0"/>
        <c:axPos val="b"/>
        <c:title>
          <c:tx>
            <c:rich>
              <a:bodyPr/>
              <a:lstStyle/>
              <a:p>
                <a:pPr>
                  <a:defRPr/>
                </a:pPr>
                <a:r>
                  <a:rPr lang="en-US"/>
                  <a:t>Hectares / MW</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pitchFamily="34" charset="0"/>
                <a:ea typeface="Arial"/>
                <a:cs typeface="Arial" pitchFamily="34" charset="0"/>
              </a:defRPr>
            </a:pPr>
            <a:endParaRPr lang="en-US"/>
          </a:p>
        </c:txPr>
        <c:crossAx val="119042816"/>
        <c:crosses val="autoZero"/>
        <c:auto val="1"/>
        <c:lblAlgn val="ctr"/>
        <c:lblOffset val="100"/>
        <c:tickLblSkip val="1"/>
        <c:tickMarkSkip val="1"/>
        <c:noMultiLvlLbl val="0"/>
      </c:catAx>
      <c:valAx>
        <c:axId val="119042816"/>
        <c:scaling>
          <c:orientation val="minMax"/>
          <c:max val="100"/>
        </c:scaling>
        <c:delete val="0"/>
        <c:axPos val="l"/>
        <c:majorGridlines>
          <c:spPr>
            <a:ln w="3175">
              <a:solidFill>
                <a:schemeClr val="bg1">
                  <a:lumMod val="50000"/>
                </a:schemeClr>
              </a:solidFill>
              <a:prstDash val="solid"/>
            </a:ln>
          </c:spPr>
        </c:majorGridlines>
        <c:title>
          <c:tx>
            <c:rich>
              <a:bodyPr rot="-5400000" vert="horz"/>
              <a:lstStyle/>
              <a:p>
                <a:pPr>
                  <a:defRPr/>
                </a:pPr>
                <a:r>
                  <a:rPr lang="en-US"/>
                  <a:t>MW</a:t>
                </a:r>
              </a:p>
            </c:rich>
          </c:tx>
          <c:layout>
            <c:manualLayout>
              <c:xMode val="edge"/>
              <c:yMode val="edge"/>
              <c:x val="4.0526849037487338E-3"/>
              <c:y val="0.44531507885838595"/>
            </c:manualLayout>
          </c:layout>
          <c:overlay val="0"/>
        </c:title>
        <c:numFmt formatCode="General" sourceLinked="1"/>
        <c:majorTickMark val="out"/>
        <c:minorTickMark val="none"/>
        <c:tickLblPos val="nextTo"/>
        <c:crossAx val="119032448"/>
        <c:crosses val="autoZero"/>
        <c:crossBetween val="between"/>
        <c:majorUnit val="5"/>
      </c:valAx>
      <c:catAx>
        <c:axId val="119044736"/>
        <c:scaling>
          <c:orientation val="minMax"/>
        </c:scaling>
        <c:delete val="0"/>
        <c:axPos val="b"/>
        <c:numFmt formatCode="General" sourceLinked="1"/>
        <c:majorTickMark val="none"/>
        <c:minorTickMark val="none"/>
        <c:tickLblPos val="none"/>
        <c:spPr>
          <a:ln w="9525">
            <a:noFill/>
          </a:ln>
        </c:spPr>
        <c:crossAx val="119058816"/>
        <c:crossesAt val="0.25"/>
        <c:auto val="1"/>
        <c:lblAlgn val="ctr"/>
        <c:lblOffset val="100"/>
        <c:tickMarkSkip val="1"/>
        <c:noMultiLvlLbl val="0"/>
      </c:catAx>
      <c:valAx>
        <c:axId val="119058816"/>
        <c:scaling>
          <c:orientation val="minMax"/>
          <c:max val="25"/>
        </c:scaling>
        <c:delete val="0"/>
        <c:axPos val="r"/>
        <c:majorGridlines>
          <c:spPr>
            <a:ln>
              <a:solidFill>
                <a:srgbClr val="808080"/>
              </a:solidFill>
            </a:ln>
          </c:spPr>
        </c:majorGridlines>
        <c:title>
          <c:tx>
            <c:rich>
              <a:bodyPr/>
              <a:lstStyle/>
              <a:p>
                <a:pPr>
                  <a:defRPr sz="1050" b="0" i="0" u="none" strike="noStrike" baseline="0">
                    <a:solidFill>
                      <a:srgbClr val="000000"/>
                    </a:solidFill>
                    <a:latin typeface="Arial" pitchFamily="34" charset="0"/>
                    <a:ea typeface="Times New Roman"/>
                    <a:cs typeface="Arial" pitchFamily="34" charset="0"/>
                  </a:defRPr>
                </a:pPr>
                <a:r>
                  <a:rPr lang="en-US" sz="1050">
                    <a:latin typeface="Arial" pitchFamily="34" charset="0"/>
                    <a:cs typeface="Arial" pitchFamily="34" charset="0"/>
                  </a:rPr>
                  <a:t>Number of Projects</a:t>
                </a:r>
              </a:p>
            </c:rich>
          </c:tx>
          <c:layout>
            <c:manualLayout>
              <c:xMode val="edge"/>
              <c:yMode val="edge"/>
              <c:x val="0.95308394961268139"/>
              <c:y val="0.388089191553768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pitchFamily="34" charset="0"/>
                <a:ea typeface="Arial"/>
                <a:cs typeface="Arial" pitchFamily="34" charset="0"/>
              </a:defRPr>
            </a:pPr>
            <a:endParaRPr lang="en-US"/>
          </a:p>
        </c:txPr>
        <c:crossAx val="119044736"/>
        <c:crosses val="max"/>
        <c:crossBetween val="midCat"/>
      </c:valAx>
      <c:spPr>
        <a:noFill/>
        <a:ln w="12700">
          <a:solidFill>
            <a:srgbClr val="808080"/>
          </a:solidFill>
          <a:prstDash val="solid"/>
        </a:ln>
      </c:spPr>
    </c:plotArea>
    <c:legend>
      <c:legendPos val="r"/>
      <c:legendEntry>
        <c:idx val="0"/>
        <c:delete val="1"/>
      </c:legendEntry>
      <c:layout>
        <c:manualLayout>
          <c:xMode val="edge"/>
          <c:yMode val="edge"/>
          <c:x val="0.10904569200534002"/>
          <c:y val="5.9365186502361812E-2"/>
          <c:w val="0.16968081117519884"/>
          <c:h val="0.34770282093116739"/>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userShapes r:id="rId1"/>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5.xml"/><Relationship Id="rId5" Type="http://schemas.openxmlformats.org/officeDocument/2006/relationships/chart" Target="../charts/chart114.xml"/><Relationship Id="rId4" Type="http://schemas.openxmlformats.org/officeDocument/2006/relationships/chart" Target="../charts/chart1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5.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2" Type="http://schemas.openxmlformats.org/officeDocument/2006/relationships/image" Target="../media/image1.png"/><Relationship Id="rId1" Type="http://schemas.openxmlformats.org/officeDocument/2006/relationships/chart" Target="../charts/chart74.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 Id="rId14" Type="http://schemas.openxmlformats.org/officeDocument/2006/relationships/chart" Target="../charts/chart8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12" Type="http://schemas.openxmlformats.org/officeDocument/2006/relationships/chart" Target="../charts/chart98.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11" Type="http://schemas.openxmlformats.org/officeDocument/2006/relationships/chart" Target="../charts/chart97.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0.xml"/></Relationships>
</file>

<file path=xl/drawings/drawing1.xml><?xml version="1.0" encoding="utf-8"?>
<xdr:wsDr xmlns:xdr="http://schemas.openxmlformats.org/drawingml/2006/spreadsheetDrawing" xmlns:a="http://schemas.openxmlformats.org/drawingml/2006/main">
  <xdr:twoCellAnchor>
    <xdr:from>
      <xdr:col>3</xdr:col>
      <xdr:colOff>657226</xdr:colOff>
      <xdr:row>300</xdr:row>
      <xdr:rowOff>133350</xdr:rowOff>
    </xdr:from>
    <xdr:to>
      <xdr:col>11</xdr:col>
      <xdr:colOff>552450</xdr:colOff>
      <xdr:row>316</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300</xdr:row>
      <xdr:rowOff>123825</xdr:rowOff>
    </xdr:from>
    <xdr:to>
      <xdr:col>19</xdr:col>
      <xdr:colOff>400051</xdr:colOff>
      <xdr:row>316</xdr:row>
      <xdr:rowOff>9526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308722</xdr:colOff>
      <xdr:row>347</xdr:row>
      <xdr:rowOff>39220</xdr:rowOff>
    </xdr:from>
    <xdr:to>
      <xdr:col>29</xdr:col>
      <xdr:colOff>61070</xdr:colOff>
      <xdr:row>362</xdr:row>
      <xdr:rowOff>124945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xdr:colOff>
      <xdr:row>332</xdr:row>
      <xdr:rowOff>57150</xdr:rowOff>
    </xdr:from>
    <xdr:to>
      <xdr:col>19</xdr:col>
      <xdr:colOff>390525</xdr:colOff>
      <xdr:row>345</xdr:row>
      <xdr:rowOff>171450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431986</xdr:colOff>
      <xdr:row>317</xdr:row>
      <xdr:rowOff>151279</xdr:rowOff>
    </xdr:from>
    <xdr:to>
      <xdr:col>37</xdr:col>
      <xdr:colOff>70035</xdr:colOff>
      <xdr:row>331</xdr:row>
      <xdr:rowOff>65554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457199</xdr:colOff>
      <xdr:row>300</xdr:row>
      <xdr:rowOff>114300</xdr:rowOff>
    </xdr:from>
    <xdr:to>
      <xdr:col>27</xdr:col>
      <xdr:colOff>190499</xdr:colOff>
      <xdr:row>316</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447676</xdr:colOff>
      <xdr:row>316</xdr:row>
      <xdr:rowOff>66675</xdr:rowOff>
    </xdr:from>
    <xdr:to>
      <xdr:col>27</xdr:col>
      <xdr:colOff>171451</xdr:colOff>
      <xdr:row>331</xdr:row>
      <xdr:rowOff>152400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123824</xdr:colOff>
      <xdr:row>314</xdr:row>
      <xdr:rowOff>133343</xdr:rowOff>
    </xdr:from>
    <xdr:to>
      <xdr:col>21</xdr:col>
      <xdr:colOff>609599</xdr:colOff>
      <xdr:row>333</xdr:row>
      <xdr:rowOff>80003</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385484</xdr:colOff>
      <xdr:row>332</xdr:row>
      <xdr:rowOff>55469</xdr:rowOff>
    </xdr:from>
    <xdr:to>
      <xdr:col>11</xdr:col>
      <xdr:colOff>270624</xdr:colOff>
      <xdr:row>346</xdr:row>
      <xdr:rowOff>103094</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331134</xdr:colOff>
      <xdr:row>347</xdr:row>
      <xdr:rowOff>52668</xdr:rowOff>
    </xdr:from>
    <xdr:to>
      <xdr:col>11</xdr:col>
      <xdr:colOff>350184</xdr:colOff>
      <xdr:row>361</xdr:row>
      <xdr:rowOff>147918</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442073</xdr:colOff>
      <xdr:row>302</xdr:row>
      <xdr:rowOff>72838</xdr:rowOff>
    </xdr:from>
    <xdr:to>
      <xdr:col>37</xdr:col>
      <xdr:colOff>89648</xdr:colOff>
      <xdr:row>316</xdr:row>
      <xdr:rowOff>168087</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11205</xdr:colOff>
      <xdr:row>378</xdr:row>
      <xdr:rowOff>100853</xdr:rowOff>
    </xdr:from>
    <xdr:to>
      <xdr:col>11</xdr:col>
      <xdr:colOff>336177</xdr:colOff>
      <xdr:row>394</xdr:row>
      <xdr:rowOff>11207</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89647</xdr:colOff>
      <xdr:row>378</xdr:row>
      <xdr:rowOff>112059</xdr:rowOff>
    </xdr:from>
    <xdr:to>
      <xdr:col>20</xdr:col>
      <xdr:colOff>91328</xdr:colOff>
      <xdr:row>393</xdr:row>
      <xdr:rowOff>188260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185698</xdr:colOff>
      <xdr:row>409</xdr:row>
      <xdr:rowOff>141674</xdr:rowOff>
    </xdr:from>
    <xdr:to>
      <xdr:col>46</xdr:col>
      <xdr:colOff>371234</xdr:colOff>
      <xdr:row>425</xdr:row>
      <xdr:rowOff>36899</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179293</xdr:colOff>
      <xdr:row>316</xdr:row>
      <xdr:rowOff>78441</xdr:rowOff>
    </xdr:from>
    <xdr:to>
      <xdr:col>11</xdr:col>
      <xdr:colOff>83483</xdr:colOff>
      <xdr:row>332</xdr:row>
      <xdr:rowOff>11766</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762000</xdr:colOff>
      <xdr:row>349</xdr:row>
      <xdr:rowOff>33617</xdr:rowOff>
    </xdr:from>
    <xdr:to>
      <xdr:col>36</xdr:col>
      <xdr:colOff>299194</xdr:colOff>
      <xdr:row>364</xdr:row>
      <xdr:rowOff>119342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36</xdr:col>
      <xdr:colOff>537882</xdr:colOff>
      <xdr:row>348</xdr:row>
      <xdr:rowOff>145676</xdr:rowOff>
    </xdr:from>
    <xdr:to>
      <xdr:col>43</xdr:col>
      <xdr:colOff>489695</xdr:colOff>
      <xdr:row>364</xdr:row>
      <xdr:rowOff>40901</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33617</xdr:colOff>
      <xdr:row>332</xdr:row>
      <xdr:rowOff>56030</xdr:rowOff>
    </xdr:from>
    <xdr:to>
      <xdr:col>27</xdr:col>
      <xdr:colOff>253253</xdr:colOff>
      <xdr:row>345</xdr:row>
      <xdr:rowOff>170330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333</xdr:row>
      <xdr:rowOff>0</xdr:rowOff>
    </xdr:from>
    <xdr:to>
      <xdr:col>32</xdr:col>
      <xdr:colOff>40341</xdr:colOff>
      <xdr:row>346</xdr:row>
      <xdr:rowOff>114300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32</xdr:col>
      <xdr:colOff>201706</xdr:colOff>
      <xdr:row>334</xdr:row>
      <xdr:rowOff>0</xdr:rowOff>
    </xdr:from>
    <xdr:to>
      <xdr:col>37</xdr:col>
      <xdr:colOff>235324</xdr:colOff>
      <xdr:row>347</xdr:row>
      <xdr:rowOff>114300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100853</xdr:colOff>
      <xdr:row>347</xdr:row>
      <xdr:rowOff>100854</xdr:rowOff>
    </xdr:from>
    <xdr:to>
      <xdr:col>21</xdr:col>
      <xdr:colOff>179294</xdr:colOff>
      <xdr:row>362</xdr:row>
      <xdr:rowOff>89647</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33</xdr:col>
      <xdr:colOff>332030</xdr:colOff>
      <xdr:row>443</xdr:row>
      <xdr:rowOff>105801</xdr:rowOff>
    </xdr:from>
    <xdr:to>
      <xdr:col>48</xdr:col>
      <xdr:colOff>500191</xdr:colOff>
      <xdr:row>467</xdr:row>
      <xdr:rowOff>41766</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47</xdr:col>
      <xdr:colOff>451918</xdr:colOff>
      <xdr:row>2</xdr:row>
      <xdr:rowOff>8884</xdr:rowOff>
    </xdr:from>
    <xdr:to>
      <xdr:col>55</xdr:col>
      <xdr:colOff>154721</xdr:colOff>
      <xdr:row>19</xdr:row>
      <xdr:rowOff>76120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72</xdr:col>
      <xdr:colOff>187298</xdr:colOff>
      <xdr:row>263</xdr:row>
      <xdr:rowOff>106455</xdr:rowOff>
    </xdr:from>
    <xdr:to>
      <xdr:col>79</xdr:col>
      <xdr:colOff>438628</xdr:colOff>
      <xdr:row>280</xdr:row>
      <xdr:rowOff>173690</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72</xdr:col>
      <xdr:colOff>205068</xdr:colOff>
      <xdr:row>248</xdr:row>
      <xdr:rowOff>187298</xdr:rowOff>
    </xdr:from>
    <xdr:to>
      <xdr:col>78</xdr:col>
      <xdr:colOff>217714</xdr:colOff>
      <xdr:row>263</xdr:row>
      <xdr:rowOff>81642</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442</xdr:row>
      <xdr:rowOff>0</xdr:rowOff>
    </xdr:from>
    <xdr:to>
      <xdr:col>9</xdr:col>
      <xdr:colOff>107577</xdr:colOff>
      <xdr:row>455</xdr:row>
      <xdr:rowOff>114300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443</xdr:row>
      <xdr:rowOff>0</xdr:rowOff>
    </xdr:from>
    <xdr:to>
      <xdr:col>20</xdr:col>
      <xdr:colOff>219635</xdr:colOff>
      <xdr:row>456</xdr:row>
      <xdr:rowOff>114300</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21</xdr:col>
      <xdr:colOff>0</xdr:colOff>
      <xdr:row>443</xdr:row>
      <xdr:rowOff>0</xdr:rowOff>
    </xdr:from>
    <xdr:to>
      <xdr:col>28</xdr:col>
      <xdr:colOff>275665</xdr:colOff>
      <xdr:row>456</xdr:row>
      <xdr:rowOff>114300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44</xdr:col>
      <xdr:colOff>338417</xdr:colOff>
      <xdr:row>18</xdr:row>
      <xdr:rowOff>151840</xdr:rowOff>
    </xdr:from>
    <xdr:to>
      <xdr:col>57</xdr:col>
      <xdr:colOff>1120</xdr:colOff>
      <xdr:row>50</xdr:row>
      <xdr:rowOff>107017</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53</xdr:col>
      <xdr:colOff>358588</xdr:colOff>
      <xdr:row>2</xdr:row>
      <xdr:rowOff>78441</xdr:rowOff>
    </xdr:from>
    <xdr:to>
      <xdr:col>60</xdr:col>
      <xdr:colOff>243166</xdr:colOff>
      <xdr:row>19</xdr:row>
      <xdr:rowOff>145677</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21</xdr:col>
      <xdr:colOff>176892</xdr:colOff>
      <xdr:row>378</xdr:row>
      <xdr:rowOff>122464</xdr:rowOff>
    </xdr:from>
    <xdr:to>
      <xdr:col>27</xdr:col>
      <xdr:colOff>553810</xdr:colOff>
      <xdr:row>394</xdr:row>
      <xdr:rowOff>8164</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13607</xdr:colOff>
      <xdr:row>394</xdr:row>
      <xdr:rowOff>108857</xdr:rowOff>
    </xdr:from>
    <xdr:to>
      <xdr:col>11</xdr:col>
      <xdr:colOff>340179</xdr:colOff>
      <xdr:row>408</xdr:row>
      <xdr:rowOff>156482</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204108</xdr:colOff>
      <xdr:row>394</xdr:row>
      <xdr:rowOff>81643</xdr:rowOff>
    </xdr:from>
    <xdr:to>
      <xdr:col>27</xdr:col>
      <xdr:colOff>571500</xdr:colOff>
      <xdr:row>408</xdr:row>
      <xdr:rowOff>145676</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409</xdr:row>
      <xdr:rowOff>0</xdr:rowOff>
    </xdr:from>
    <xdr:to>
      <xdr:col>11</xdr:col>
      <xdr:colOff>336176</xdr:colOff>
      <xdr:row>423</xdr:row>
      <xdr:rowOff>47625</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0</xdr:colOff>
      <xdr:row>409</xdr:row>
      <xdr:rowOff>0</xdr:rowOff>
    </xdr:from>
    <xdr:to>
      <xdr:col>20</xdr:col>
      <xdr:colOff>112059</xdr:colOff>
      <xdr:row>422</xdr:row>
      <xdr:rowOff>114300</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21</xdr:col>
      <xdr:colOff>168088</xdr:colOff>
      <xdr:row>409</xdr:row>
      <xdr:rowOff>22411</xdr:rowOff>
    </xdr:from>
    <xdr:to>
      <xdr:col>27</xdr:col>
      <xdr:colOff>578224</xdr:colOff>
      <xdr:row>422</xdr:row>
      <xdr:rowOff>136711</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28</xdr:col>
      <xdr:colOff>112059</xdr:colOff>
      <xdr:row>409</xdr:row>
      <xdr:rowOff>11205</xdr:rowOff>
    </xdr:from>
    <xdr:to>
      <xdr:col>32</xdr:col>
      <xdr:colOff>152400</xdr:colOff>
      <xdr:row>422</xdr:row>
      <xdr:rowOff>125505</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32</xdr:col>
      <xdr:colOff>257736</xdr:colOff>
      <xdr:row>410</xdr:row>
      <xdr:rowOff>22413</xdr:rowOff>
    </xdr:from>
    <xdr:to>
      <xdr:col>37</xdr:col>
      <xdr:colOff>291354</xdr:colOff>
      <xdr:row>423</xdr:row>
      <xdr:rowOff>136713</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0</xdr:colOff>
      <xdr:row>424</xdr:row>
      <xdr:rowOff>0</xdr:rowOff>
    </xdr:from>
    <xdr:to>
      <xdr:col>12</xdr:col>
      <xdr:colOff>7845</xdr:colOff>
      <xdr:row>438</xdr:row>
      <xdr:rowOff>95250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xdr:col>
      <xdr:colOff>67235</xdr:colOff>
      <xdr:row>424</xdr:row>
      <xdr:rowOff>1</xdr:rowOff>
    </xdr:from>
    <xdr:to>
      <xdr:col>20</xdr:col>
      <xdr:colOff>114300</xdr:colOff>
      <xdr:row>438</xdr:row>
      <xdr:rowOff>95251</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84044</xdr:colOff>
      <xdr:row>423</xdr:row>
      <xdr:rowOff>103094</xdr:rowOff>
    </xdr:from>
    <xdr:to>
      <xdr:col>27</xdr:col>
      <xdr:colOff>584945</xdr:colOff>
      <xdr:row>438</xdr:row>
      <xdr:rowOff>188819</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30</xdr:col>
      <xdr:colOff>0</xdr:colOff>
      <xdr:row>425</xdr:row>
      <xdr:rowOff>0</xdr:rowOff>
    </xdr:from>
    <xdr:to>
      <xdr:col>36</xdr:col>
      <xdr:colOff>693081</xdr:colOff>
      <xdr:row>440</xdr:row>
      <xdr:rowOff>85725</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37</xdr:col>
      <xdr:colOff>0</xdr:colOff>
      <xdr:row>424</xdr:row>
      <xdr:rowOff>0</xdr:rowOff>
    </xdr:from>
    <xdr:to>
      <xdr:col>44</xdr:col>
      <xdr:colOff>256053</xdr:colOff>
      <xdr:row>439</xdr:row>
      <xdr:rowOff>85725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63</xdr:col>
      <xdr:colOff>0</xdr:colOff>
      <xdr:row>263</xdr:row>
      <xdr:rowOff>0</xdr:rowOff>
    </xdr:from>
    <xdr:to>
      <xdr:col>70</xdr:col>
      <xdr:colOff>251330</xdr:colOff>
      <xdr:row>280</xdr:row>
      <xdr:rowOff>67235</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63</xdr:col>
      <xdr:colOff>0</xdr:colOff>
      <xdr:row>248</xdr:row>
      <xdr:rowOff>0</xdr:rowOff>
    </xdr:from>
    <xdr:to>
      <xdr:col>69</xdr:col>
      <xdr:colOff>12646</xdr:colOff>
      <xdr:row>262</xdr:row>
      <xdr:rowOff>84844</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56</xdr:col>
      <xdr:colOff>0</xdr:colOff>
      <xdr:row>248</xdr:row>
      <xdr:rowOff>0</xdr:rowOff>
    </xdr:from>
    <xdr:to>
      <xdr:col>61</xdr:col>
      <xdr:colOff>80682</xdr:colOff>
      <xdr:row>262</xdr:row>
      <xdr:rowOff>84844</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56</xdr:col>
      <xdr:colOff>0</xdr:colOff>
      <xdr:row>263</xdr:row>
      <xdr:rowOff>0</xdr:rowOff>
    </xdr:from>
    <xdr:to>
      <xdr:col>62</xdr:col>
      <xdr:colOff>319365</xdr:colOff>
      <xdr:row>280</xdr:row>
      <xdr:rowOff>67235</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47</xdr:col>
      <xdr:colOff>360189</xdr:colOff>
      <xdr:row>49</xdr:row>
      <xdr:rowOff>51227</xdr:rowOff>
    </xdr:from>
    <xdr:to>
      <xdr:col>59</xdr:col>
      <xdr:colOff>275985</xdr:colOff>
      <xdr:row>83</xdr:row>
      <xdr:rowOff>28815</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53</xdr:col>
      <xdr:colOff>89086</xdr:colOff>
      <xdr:row>87</xdr:row>
      <xdr:rowOff>140633</xdr:rowOff>
    </xdr:from>
    <xdr:to>
      <xdr:col>66</xdr:col>
      <xdr:colOff>133350</xdr:colOff>
      <xdr:row>116</xdr:row>
      <xdr:rowOff>38099</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46</xdr:col>
      <xdr:colOff>112941</xdr:colOff>
      <xdr:row>9</xdr:row>
      <xdr:rowOff>20411</xdr:rowOff>
    </xdr:from>
    <xdr:to>
      <xdr:col>55</xdr:col>
      <xdr:colOff>213715</xdr:colOff>
      <xdr:row>28</xdr:row>
      <xdr:rowOff>166087</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268381</xdr:colOff>
      <xdr:row>332</xdr:row>
      <xdr:rowOff>66115</xdr:rowOff>
    </xdr:from>
    <xdr:to>
      <xdr:col>27</xdr:col>
      <xdr:colOff>118783</xdr:colOff>
      <xdr:row>345</xdr:row>
      <xdr:rowOff>180415</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209550</xdr:colOff>
      <xdr:row>424</xdr:row>
      <xdr:rowOff>19050</xdr:rowOff>
    </xdr:from>
    <xdr:to>
      <xdr:col>27</xdr:col>
      <xdr:colOff>399490</xdr:colOff>
      <xdr:row>438</xdr:row>
      <xdr:rowOff>114300</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45</xdr:col>
      <xdr:colOff>368994</xdr:colOff>
      <xdr:row>21</xdr:row>
      <xdr:rowOff>13607</xdr:rowOff>
    </xdr:from>
    <xdr:to>
      <xdr:col>54</xdr:col>
      <xdr:colOff>242529</xdr:colOff>
      <xdr:row>40</xdr:row>
      <xdr:rowOff>172890</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46</xdr:col>
      <xdr:colOff>49626</xdr:colOff>
      <xdr:row>42</xdr:row>
      <xdr:rowOff>29615</xdr:rowOff>
    </xdr:from>
    <xdr:to>
      <xdr:col>54</xdr:col>
      <xdr:colOff>208112</xdr:colOff>
      <xdr:row>59</xdr:row>
      <xdr:rowOff>62431</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47</xdr:col>
      <xdr:colOff>138794</xdr:colOff>
      <xdr:row>73</xdr:row>
      <xdr:rowOff>17607</xdr:rowOff>
    </xdr:from>
    <xdr:to>
      <xdr:col>55</xdr:col>
      <xdr:colOff>170092</xdr:colOff>
      <xdr:row>88</xdr:row>
      <xdr:rowOff>160482</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45</xdr:col>
      <xdr:colOff>95251</xdr:colOff>
      <xdr:row>85</xdr:row>
      <xdr:rowOff>112859</xdr:rowOff>
    </xdr:from>
    <xdr:to>
      <xdr:col>53</xdr:col>
      <xdr:colOff>344263</xdr:colOff>
      <xdr:row>101</xdr:row>
      <xdr:rowOff>50266</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45</xdr:col>
      <xdr:colOff>515469</xdr:colOff>
      <xdr:row>307</xdr:row>
      <xdr:rowOff>0</xdr:rowOff>
    </xdr:from>
    <xdr:to>
      <xdr:col>58</xdr:col>
      <xdr:colOff>437029</xdr:colOff>
      <xdr:row>333</xdr:row>
      <xdr:rowOff>134470</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46</xdr:col>
      <xdr:colOff>11205</xdr:colOff>
      <xdr:row>334</xdr:row>
      <xdr:rowOff>112060</xdr:rowOff>
    </xdr:from>
    <xdr:to>
      <xdr:col>58</xdr:col>
      <xdr:colOff>392206</xdr:colOff>
      <xdr:row>361</xdr:row>
      <xdr:rowOff>1</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58</xdr:col>
      <xdr:colOff>515470</xdr:colOff>
      <xdr:row>306</xdr:row>
      <xdr:rowOff>179294</xdr:rowOff>
    </xdr:from>
    <xdr:to>
      <xdr:col>73</xdr:col>
      <xdr:colOff>78441</xdr:colOff>
      <xdr:row>333</xdr:row>
      <xdr:rowOff>145676</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59</xdr:col>
      <xdr:colOff>0</xdr:colOff>
      <xdr:row>335</xdr:row>
      <xdr:rowOff>0</xdr:rowOff>
    </xdr:from>
    <xdr:to>
      <xdr:col>73</xdr:col>
      <xdr:colOff>66675</xdr:colOff>
      <xdr:row>361</xdr:row>
      <xdr:rowOff>38100</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73</xdr:col>
      <xdr:colOff>123825</xdr:colOff>
      <xdr:row>307</xdr:row>
      <xdr:rowOff>1</xdr:rowOff>
    </xdr:from>
    <xdr:to>
      <xdr:col>86</xdr:col>
      <xdr:colOff>415739</xdr:colOff>
      <xdr:row>333</xdr:row>
      <xdr:rowOff>152401</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28</xdr:col>
      <xdr:colOff>263898</xdr:colOff>
      <xdr:row>250</xdr:row>
      <xdr:rowOff>21291</xdr:rowOff>
    </xdr:from>
    <xdr:to>
      <xdr:col>33</xdr:col>
      <xdr:colOff>381000</xdr:colOff>
      <xdr:row>264</xdr:row>
      <xdr:rowOff>41462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113181</xdr:colOff>
      <xdr:row>394</xdr:row>
      <xdr:rowOff>97493</xdr:rowOff>
    </xdr:from>
    <xdr:to>
      <xdr:col>22</xdr:col>
      <xdr:colOff>36262</xdr:colOff>
      <xdr:row>413</xdr:row>
      <xdr:rowOff>78299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0.59222</cdr:x>
      <cdr:y>0.29054</cdr:y>
    </cdr:from>
    <cdr:to>
      <cdr:x>0.76253</cdr:x>
      <cdr:y>0.29143</cdr:y>
    </cdr:to>
    <cdr:sp macro="" textlink="">
      <cdr:nvSpPr>
        <cdr:cNvPr id="36865" name="Line 1"/>
        <cdr:cNvSpPr>
          <a:spLocks xmlns:a="http://schemas.openxmlformats.org/drawingml/2006/main" noChangeShapeType="1"/>
        </cdr:cNvSpPr>
      </cdr:nvSpPr>
      <cdr:spPr bwMode="auto">
        <a:xfrm xmlns:a="http://schemas.openxmlformats.org/drawingml/2006/main" flipV="1">
          <a:off x="3880939" y="1228709"/>
          <a:ext cx="1116076" cy="376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xdr:from>
      <xdr:col>18</xdr:col>
      <xdr:colOff>571500</xdr:colOff>
      <xdr:row>11</xdr:row>
      <xdr:rowOff>142875</xdr:rowOff>
    </xdr:from>
    <xdr:to>
      <xdr:col>26</xdr:col>
      <xdr:colOff>266700</xdr:colOff>
      <xdr:row>26</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502920</xdr:colOff>
      <xdr:row>17</xdr:row>
      <xdr:rowOff>125730</xdr:rowOff>
    </xdr:from>
    <xdr:to>
      <xdr:col>18</xdr:col>
      <xdr:colOff>198120</xdr:colOff>
      <xdr:row>32</xdr:row>
      <xdr:rowOff>110490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518160</xdr:colOff>
      <xdr:row>33</xdr:row>
      <xdr:rowOff>41910</xdr:rowOff>
    </xdr:from>
    <xdr:to>
      <xdr:col>18</xdr:col>
      <xdr:colOff>213360</xdr:colOff>
      <xdr:row>48</xdr:row>
      <xdr:rowOff>41910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390525</xdr:colOff>
      <xdr:row>2</xdr:row>
      <xdr:rowOff>109537</xdr:rowOff>
    </xdr:from>
    <xdr:to>
      <xdr:col>16</xdr:col>
      <xdr:colOff>85725</xdr:colOff>
      <xdr:row>16</xdr:row>
      <xdr:rowOff>185737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371475</xdr:colOff>
      <xdr:row>17</xdr:row>
      <xdr:rowOff>104775</xdr:rowOff>
    </xdr:from>
    <xdr:to>
      <xdr:col>16</xdr:col>
      <xdr:colOff>66675</xdr:colOff>
      <xdr:row>31</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361950</xdr:colOff>
      <xdr:row>0</xdr:row>
      <xdr:rowOff>133350</xdr:rowOff>
    </xdr:from>
    <xdr:to>
      <xdr:col>22</xdr:col>
      <xdr:colOff>361950</xdr:colOff>
      <xdr:row>17</xdr:row>
      <xdr:rowOff>187700</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361950</xdr:colOff>
      <xdr:row>20</xdr:row>
      <xdr:rowOff>152400</xdr:rowOff>
    </xdr:from>
    <xdr:to>
      <xdr:col>22</xdr:col>
      <xdr:colOff>361950</xdr:colOff>
      <xdr:row>38</xdr:row>
      <xdr:rowOff>15240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xdr:row>
      <xdr:rowOff>0</xdr:rowOff>
    </xdr:from>
    <xdr:to>
      <xdr:col>32</xdr:col>
      <xdr:colOff>0</xdr:colOff>
      <xdr:row>18</xdr:row>
      <xdr:rowOff>54350</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21</xdr:row>
      <xdr:rowOff>0</xdr:rowOff>
    </xdr:from>
    <xdr:to>
      <xdr:col>32</xdr:col>
      <xdr:colOff>0</xdr:colOff>
      <xdr:row>38</xdr:row>
      <xdr:rowOff>53340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44</xdr:col>
      <xdr:colOff>590857</xdr:colOff>
      <xdr:row>6</xdr:row>
      <xdr:rowOff>68939</xdr:rowOff>
    </xdr:from>
    <xdr:to>
      <xdr:col>55</xdr:col>
      <xdr:colOff>335362</xdr:colOff>
      <xdr:row>26</xdr:row>
      <xdr:rowOff>128962</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0</xdr:colOff>
      <xdr:row>30</xdr:row>
      <xdr:rowOff>0</xdr:rowOff>
    </xdr:from>
    <xdr:to>
      <xdr:col>55</xdr:col>
      <xdr:colOff>350641</xdr:colOff>
      <xdr:row>50</xdr:row>
      <xdr:rowOff>42704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342900</xdr:colOff>
      <xdr:row>248</xdr:row>
      <xdr:rowOff>7620</xdr:rowOff>
    </xdr:from>
    <xdr:to>
      <xdr:col>12</xdr:col>
      <xdr:colOff>304800</xdr:colOff>
      <xdr:row>268</xdr:row>
      <xdr:rowOff>121920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350520</xdr:colOff>
      <xdr:row>269</xdr:row>
      <xdr:rowOff>72390</xdr:rowOff>
    </xdr:from>
    <xdr:to>
      <xdr:col>12</xdr:col>
      <xdr:colOff>335280</xdr:colOff>
      <xdr:row>290</xdr:row>
      <xdr:rowOff>167640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294</xdr:row>
      <xdr:rowOff>0</xdr:rowOff>
    </xdr:from>
    <xdr:to>
      <xdr:col>12</xdr:col>
      <xdr:colOff>594360</xdr:colOff>
      <xdr:row>315</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317</xdr:row>
      <xdr:rowOff>0</xdr:rowOff>
    </xdr:from>
    <xdr:to>
      <xdr:col>12</xdr:col>
      <xdr:colOff>594360</xdr:colOff>
      <xdr:row>338</xdr:row>
      <xdr:rowOff>102870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5</xdr:row>
      <xdr:rowOff>0</xdr:rowOff>
    </xdr:from>
    <xdr:to>
      <xdr:col>25</xdr:col>
      <xdr:colOff>54861</xdr:colOff>
      <xdr:row>23</xdr:row>
      <xdr:rowOff>178768</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26</xdr:row>
      <xdr:rowOff>0</xdr:rowOff>
    </xdr:from>
    <xdr:to>
      <xdr:col>25</xdr:col>
      <xdr:colOff>54861</xdr:colOff>
      <xdr:row>44</xdr:row>
      <xdr:rowOff>178768</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68036</xdr:colOff>
      <xdr:row>191</xdr:row>
      <xdr:rowOff>38101</xdr:rowOff>
    </xdr:from>
    <xdr:to>
      <xdr:col>11</xdr:col>
      <xdr:colOff>439511</xdr:colOff>
      <xdr:row>204</xdr:row>
      <xdr:rowOff>166008</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585108</xdr:colOff>
      <xdr:row>0</xdr:row>
      <xdr:rowOff>52028</xdr:rowOff>
    </xdr:from>
    <xdr:to>
      <xdr:col>61</xdr:col>
      <xdr:colOff>536921</xdr:colOff>
      <xdr:row>15</xdr:row>
      <xdr:rowOff>126547</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557893</xdr:colOff>
      <xdr:row>191</xdr:row>
      <xdr:rowOff>39461</xdr:rowOff>
    </xdr:from>
    <xdr:to>
      <xdr:col>19</xdr:col>
      <xdr:colOff>317046</xdr:colOff>
      <xdr:row>204</xdr:row>
      <xdr:rowOff>153761</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204108</xdr:colOff>
      <xdr:row>1</xdr:row>
      <xdr:rowOff>27214</xdr:rowOff>
    </xdr:from>
    <xdr:to>
      <xdr:col>49</xdr:col>
      <xdr:colOff>489858</xdr:colOff>
      <xdr:row>15</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204107</xdr:colOff>
      <xdr:row>15</xdr:row>
      <xdr:rowOff>136071</xdr:rowOff>
    </xdr:from>
    <xdr:to>
      <xdr:col>49</xdr:col>
      <xdr:colOff>489857</xdr:colOff>
      <xdr:row>30</xdr:row>
      <xdr:rowOff>27214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204107</xdr:colOff>
      <xdr:row>30</xdr:row>
      <xdr:rowOff>54429</xdr:rowOff>
    </xdr:from>
    <xdr:to>
      <xdr:col>49</xdr:col>
      <xdr:colOff>489857</xdr:colOff>
      <xdr:row>44</xdr:row>
      <xdr:rowOff>122465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462643</xdr:colOff>
      <xdr:row>79</xdr:row>
      <xdr:rowOff>95250</xdr:rowOff>
    </xdr:from>
    <xdr:to>
      <xdr:col>22</xdr:col>
      <xdr:colOff>136072</xdr:colOff>
      <xdr:row>93</xdr:row>
      <xdr:rowOff>176893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226</xdr:row>
      <xdr:rowOff>9525</xdr:rowOff>
    </xdr:from>
    <xdr:to>
      <xdr:col>8</xdr:col>
      <xdr:colOff>381000</xdr:colOff>
      <xdr:row>240</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226</xdr:row>
      <xdr:rowOff>0</xdr:rowOff>
    </xdr:from>
    <xdr:to>
      <xdr:col>16</xdr:col>
      <xdr:colOff>438150</xdr:colOff>
      <xdr:row>240</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226</xdr:row>
      <xdr:rowOff>0</xdr:rowOff>
    </xdr:from>
    <xdr:to>
      <xdr:col>27</xdr:col>
      <xdr:colOff>485776</xdr:colOff>
      <xdr:row>251</xdr:row>
      <xdr:rowOff>19050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76</xdr:row>
      <xdr:rowOff>133350</xdr:rowOff>
    </xdr:from>
    <xdr:to>
      <xdr:col>10</xdr:col>
      <xdr:colOff>295275</xdr:colOff>
      <xdr:row>95</xdr:row>
      <xdr:rowOff>104755</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289672</xdr:colOff>
      <xdr:row>120</xdr:row>
      <xdr:rowOff>57149</xdr:rowOff>
    </xdr:from>
    <xdr:to>
      <xdr:col>13</xdr:col>
      <xdr:colOff>558705</xdr:colOff>
      <xdr:row>167</xdr:row>
      <xdr:rowOff>76199</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81878" y="22468914"/>
          <a:ext cx="6513419" cy="8972550"/>
        </a:xfrm>
        <a:prstGeom prst="rect">
          <a:avLst/>
        </a:prstGeom>
        <a:noFill/>
        <a:ln w="1">
          <a:noFill/>
          <a:miter lim="800000"/>
          <a:headEnd/>
          <a:tailEnd type="none" w="med" len="med"/>
        </a:ln>
        <a:effectLst/>
      </xdr:spPr>
    </xdr:pic>
    <xdr:clientData/>
  </xdr:twoCellAnchor>
  <xdr:twoCellAnchor>
    <xdr:from>
      <xdr:col>1</xdr:col>
      <xdr:colOff>0</xdr:colOff>
      <xdr:row>97</xdr:row>
      <xdr:rowOff>0</xdr:rowOff>
    </xdr:from>
    <xdr:to>
      <xdr:col>10</xdr:col>
      <xdr:colOff>228600</xdr:colOff>
      <xdr:row>115</xdr:row>
      <xdr:rowOff>161823</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566344</xdr:colOff>
      <xdr:row>104</xdr:row>
      <xdr:rowOff>72474</xdr:rowOff>
    </xdr:from>
    <xdr:to>
      <xdr:col>54</xdr:col>
      <xdr:colOff>540772</xdr:colOff>
      <xdr:row>123</xdr:row>
      <xdr:rowOff>47407</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182563</xdr:colOff>
      <xdr:row>104</xdr:row>
      <xdr:rowOff>105569</xdr:rowOff>
    </xdr:from>
    <xdr:to>
      <xdr:col>41</xdr:col>
      <xdr:colOff>57944</xdr:colOff>
      <xdr:row>118</xdr:row>
      <xdr:rowOff>164307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76</xdr:row>
      <xdr:rowOff>202405</xdr:rowOff>
    </xdr:from>
    <xdr:to>
      <xdr:col>20</xdr:col>
      <xdr:colOff>26193</xdr:colOff>
      <xdr:row>95</xdr:row>
      <xdr:rowOff>176127</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97</xdr:row>
      <xdr:rowOff>0</xdr:rowOff>
    </xdr:from>
    <xdr:to>
      <xdr:col>20</xdr:col>
      <xdr:colOff>26193</xdr:colOff>
      <xdr:row>115</xdr:row>
      <xdr:rowOff>166020</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546100</xdr:colOff>
      <xdr:row>64</xdr:row>
      <xdr:rowOff>114300</xdr:rowOff>
    </xdr:from>
    <xdr:to>
      <xdr:col>54</xdr:col>
      <xdr:colOff>517457</xdr:colOff>
      <xdr:row>82</xdr:row>
      <xdr:rowOff>127333</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44</xdr:col>
      <xdr:colOff>497116</xdr:colOff>
      <xdr:row>45</xdr:row>
      <xdr:rowOff>81279</xdr:rowOff>
    </xdr:from>
    <xdr:to>
      <xdr:col>54</xdr:col>
      <xdr:colOff>318764</xdr:colOff>
      <xdr:row>63</xdr:row>
      <xdr:rowOff>120594</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136072</xdr:colOff>
      <xdr:row>84</xdr:row>
      <xdr:rowOff>159657</xdr:rowOff>
    </xdr:from>
    <xdr:to>
      <xdr:col>44</xdr:col>
      <xdr:colOff>11793</xdr:colOff>
      <xdr:row>103</xdr:row>
      <xdr:rowOff>106317</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55</xdr:col>
      <xdr:colOff>101600</xdr:colOff>
      <xdr:row>44</xdr:row>
      <xdr:rowOff>152400</xdr:rowOff>
    </xdr:from>
    <xdr:to>
      <xdr:col>64</xdr:col>
      <xdr:colOff>528983</xdr:colOff>
      <xdr:row>63</xdr:row>
      <xdr:rowOff>14577</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55</xdr:col>
      <xdr:colOff>117475</xdr:colOff>
      <xdr:row>64</xdr:row>
      <xdr:rowOff>47625</xdr:rowOff>
    </xdr:from>
    <xdr:to>
      <xdr:col>65</xdr:col>
      <xdr:colOff>155403</xdr:colOff>
      <xdr:row>82</xdr:row>
      <xdr:rowOff>89233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419100</xdr:colOff>
      <xdr:row>83</xdr:row>
      <xdr:rowOff>165100</xdr:rowOff>
    </xdr:from>
    <xdr:to>
      <xdr:col>54</xdr:col>
      <xdr:colOff>390457</xdr:colOff>
      <xdr:row>102</xdr:row>
      <xdr:rowOff>165433</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98</xdr:row>
      <xdr:rowOff>0</xdr:rowOff>
    </xdr:from>
    <xdr:to>
      <xdr:col>29</xdr:col>
      <xdr:colOff>184943</xdr:colOff>
      <xdr:row>116</xdr:row>
      <xdr:rowOff>163163</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32</xdr:col>
      <xdr:colOff>591910</xdr:colOff>
      <xdr:row>35</xdr:row>
      <xdr:rowOff>157844</xdr:rowOff>
    </xdr:from>
    <xdr:to>
      <xdr:col>48</xdr:col>
      <xdr:colOff>489856</xdr:colOff>
      <xdr:row>62</xdr:row>
      <xdr:rowOff>136071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406854</xdr:colOff>
      <xdr:row>57</xdr:row>
      <xdr:rowOff>153760</xdr:rowOff>
    </xdr:from>
    <xdr:to>
      <xdr:col>31</xdr:col>
      <xdr:colOff>473529</xdr:colOff>
      <xdr:row>84</xdr:row>
      <xdr:rowOff>29935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353784</xdr:colOff>
      <xdr:row>36</xdr:row>
      <xdr:rowOff>5442</xdr:rowOff>
    </xdr:from>
    <xdr:to>
      <xdr:col>25</xdr:col>
      <xdr:colOff>54428</xdr:colOff>
      <xdr:row>48</xdr:row>
      <xdr:rowOff>149679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318407</xdr:colOff>
      <xdr:row>62</xdr:row>
      <xdr:rowOff>96611</xdr:rowOff>
    </xdr:from>
    <xdr:to>
      <xdr:col>25</xdr:col>
      <xdr:colOff>270782</xdr:colOff>
      <xdr:row>81</xdr:row>
      <xdr:rowOff>144236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560614</xdr:colOff>
      <xdr:row>62</xdr:row>
      <xdr:rowOff>164646</xdr:rowOff>
    </xdr:from>
    <xdr:to>
      <xdr:col>19</xdr:col>
      <xdr:colOff>243566</xdr:colOff>
      <xdr:row>82</xdr:row>
      <xdr:rowOff>40821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340179</xdr:colOff>
      <xdr:row>49</xdr:row>
      <xdr:rowOff>54428</xdr:rowOff>
    </xdr:from>
    <xdr:to>
      <xdr:col>19</xdr:col>
      <xdr:colOff>156482</xdr:colOff>
      <xdr:row>61</xdr:row>
      <xdr:rowOff>182335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353785</xdr:colOff>
      <xdr:row>49</xdr:row>
      <xdr:rowOff>0</xdr:rowOff>
    </xdr:from>
    <xdr:to>
      <xdr:col>25</xdr:col>
      <xdr:colOff>54429</xdr:colOff>
      <xdr:row>61</xdr:row>
      <xdr:rowOff>144237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0</xdr:colOff>
      <xdr:row>36</xdr:row>
      <xdr:rowOff>0</xdr:rowOff>
    </xdr:from>
    <xdr:to>
      <xdr:col>32</xdr:col>
      <xdr:colOff>170089</xdr:colOff>
      <xdr:row>48</xdr:row>
      <xdr:rowOff>127907</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0</xdr:colOff>
      <xdr:row>48</xdr:row>
      <xdr:rowOff>163286</xdr:rowOff>
    </xdr:from>
    <xdr:to>
      <xdr:col>32</xdr:col>
      <xdr:colOff>170089</xdr:colOff>
      <xdr:row>61</xdr:row>
      <xdr:rowOff>100693</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585108</xdr:colOff>
      <xdr:row>63</xdr:row>
      <xdr:rowOff>27214</xdr:rowOff>
    </xdr:from>
    <xdr:to>
      <xdr:col>48</xdr:col>
      <xdr:colOff>483054</xdr:colOff>
      <xdr:row>89</xdr:row>
      <xdr:rowOff>100691</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49</xdr:col>
      <xdr:colOff>54428</xdr:colOff>
      <xdr:row>35</xdr:row>
      <xdr:rowOff>163286</xdr:rowOff>
    </xdr:from>
    <xdr:to>
      <xdr:col>64</xdr:col>
      <xdr:colOff>564695</xdr:colOff>
      <xdr:row>62</xdr:row>
      <xdr:rowOff>141513</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49</xdr:col>
      <xdr:colOff>40822</xdr:colOff>
      <xdr:row>63</xdr:row>
      <xdr:rowOff>54428</xdr:rowOff>
    </xdr:from>
    <xdr:to>
      <xdr:col>64</xdr:col>
      <xdr:colOff>551089</xdr:colOff>
      <xdr:row>89</xdr:row>
      <xdr:rowOff>127905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796738</xdr:colOff>
      <xdr:row>9</xdr:row>
      <xdr:rowOff>128868</xdr:rowOff>
    </xdr:from>
    <xdr:to>
      <xdr:col>8</xdr:col>
      <xdr:colOff>568138</xdr:colOff>
      <xdr:row>35</xdr:row>
      <xdr:rowOff>147918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0.10755</cdr:x>
      <cdr:y>0.23183</cdr:y>
    </cdr:from>
    <cdr:to>
      <cdr:x>0.27786</cdr:x>
      <cdr:y>0.23272</cdr:y>
    </cdr:to>
    <cdr:sp macro="" textlink="">
      <cdr:nvSpPr>
        <cdr:cNvPr id="36865" name="Line 1"/>
        <cdr:cNvSpPr>
          <a:spLocks xmlns:a="http://schemas.openxmlformats.org/drawingml/2006/main" noChangeShapeType="1"/>
        </cdr:cNvSpPr>
      </cdr:nvSpPr>
      <cdr:spPr bwMode="auto">
        <a:xfrm xmlns:a="http://schemas.openxmlformats.org/drawingml/2006/main" flipV="1">
          <a:off x="675622" y="950017"/>
          <a:ext cx="1069891" cy="3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11</xdr:row>
      <xdr:rowOff>142875</xdr:rowOff>
    </xdr:from>
    <xdr:to>
      <xdr:col>8</xdr:col>
      <xdr:colOff>57150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xdr:colOff>
      <xdr:row>13</xdr:row>
      <xdr:rowOff>9524</xdr:rowOff>
    </xdr:from>
    <xdr:to>
      <xdr:col>3</xdr:col>
      <xdr:colOff>123825</xdr:colOff>
      <xdr:row>14</xdr:row>
      <xdr:rowOff>85724</xdr:rowOff>
    </xdr:to>
    <xdr:sp macro="" textlink="">
      <xdr:nvSpPr>
        <xdr:cNvPr id="9" name="TextBox 8"/>
        <xdr:cNvSpPr txBox="1"/>
      </xdr:nvSpPr>
      <xdr:spPr>
        <a:xfrm>
          <a:off x="2057400" y="2114549"/>
          <a:ext cx="7715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1200 MW</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olarBoxPlo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oxPlots"/>
      <sheetName val="Sheet2"/>
      <sheetName val="Sheet3"/>
    </sheetNames>
    <sheetDataSet>
      <sheetData sheetId="0">
        <row r="3">
          <cell r="M3">
            <v>10.987289652703186</v>
          </cell>
          <cell r="R3">
            <v>9.4432509846043668</v>
          </cell>
        </row>
        <row r="4">
          <cell r="M4">
            <v>11.261346643920726</v>
          </cell>
          <cell r="R4">
            <v>7.0343927044502008</v>
          </cell>
        </row>
        <row r="5">
          <cell r="M5">
            <v>8.784482073296763</v>
          </cell>
          <cell r="R5">
            <v>7.1349073853247464</v>
          </cell>
        </row>
        <row r="6">
          <cell r="M6">
            <v>8.1779074893215995</v>
          </cell>
          <cell r="R6">
            <v>4.6209737486129479</v>
          </cell>
        </row>
        <row r="7">
          <cell r="M7">
            <v>7.8969748511723967</v>
          </cell>
          <cell r="R7">
            <v>5.9652533106548411</v>
          </cell>
        </row>
        <row r="8">
          <cell r="M8">
            <v>5.8726271161785526</v>
          </cell>
          <cell r="R8">
            <v>5.8726271161785526</v>
          </cell>
        </row>
        <row r="9">
          <cell r="M9">
            <v>11.15799152073925</v>
          </cell>
          <cell r="R9">
            <v>10.570728809121395</v>
          </cell>
        </row>
        <row r="10">
          <cell r="M10">
            <v>12.584269662921347</v>
          </cell>
          <cell r="R10">
            <v>8.8764044943820224</v>
          </cell>
        </row>
        <row r="11">
          <cell r="M11">
            <v>8.6609515280859952</v>
          </cell>
          <cell r="R11">
            <v>6.6237214202217425</v>
          </cell>
        </row>
        <row r="12">
          <cell r="M12">
            <v>9.6097534628376309</v>
          </cell>
          <cell r="R12">
            <v>6.8336024624623155</v>
          </cell>
        </row>
        <row r="13">
          <cell r="M13">
            <v>9.7388473965896711</v>
          </cell>
          <cell r="R13">
            <v>7.0704032099241019</v>
          </cell>
        </row>
        <row r="14">
          <cell r="M14">
            <v>12.10180659298223</v>
          </cell>
          <cell r="R14">
            <v>7.9699939433851776</v>
          </cell>
        </row>
        <row r="15">
          <cell r="M15">
            <v>10.638297872340425</v>
          </cell>
          <cell r="R15">
            <v>6.4893617021276597</v>
          </cell>
        </row>
        <row r="16">
          <cell r="M16">
            <v>12.184660386493812</v>
          </cell>
          <cell r="R16">
            <v>7.6342472330876303</v>
          </cell>
        </row>
        <row r="17">
          <cell r="M17">
            <v>10.66</v>
          </cell>
          <cell r="R17">
            <v>6.6</v>
          </cell>
        </row>
        <row r="18">
          <cell r="M18">
            <v>9.1539999999999999</v>
          </cell>
          <cell r="R18">
            <v>6.91</v>
          </cell>
        </row>
        <row r="19">
          <cell r="M19">
            <v>11.4</v>
          </cell>
          <cell r="R19">
            <v>7.44</v>
          </cell>
        </row>
        <row r="20">
          <cell r="M20">
            <v>9.5</v>
          </cell>
          <cell r="R20">
            <v>7.66</v>
          </cell>
        </row>
        <row r="21">
          <cell r="M21">
            <v>8.106543138390272</v>
          </cell>
          <cell r="R21">
            <v>5.7227080967671586</v>
          </cell>
        </row>
        <row r="22">
          <cell r="M22">
            <v>8.8089406742678289</v>
          </cell>
          <cell r="R22">
            <v>7.5169627087085473</v>
          </cell>
        </row>
        <row r="23">
          <cell r="M23">
            <v>5.8491366077138389</v>
          </cell>
          <cell r="R23">
            <v>5.8491366077138389</v>
          </cell>
        </row>
        <row r="24">
          <cell r="M24">
            <v>7.6344152510321184</v>
          </cell>
          <cell r="R24">
            <v>5.2853644045606973</v>
          </cell>
        </row>
        <row r="25">
          <cell r="M25">
            <v>9.0758782704577623</v>
          </cell>
          <cell r="R25">
            <v>6.4065023085584203</v>
          </cell>
        </row>
        <row r="26">
          <cell r="M26">
            <v>7.9685117053447492</v>
          </cell>
          <cell r="R26">
            <v>7.885506375080741</v>
          </cell>
        </row>
        <row r="27">
          <cell r="M27">
            <v>8.6131864370618771</v>
          </cell>
          <cell r="R27">
            <v>0</v>
          </cell>
        </row>
        <row r="28">
          <cell r="M28">
            <v>7.1617403855836006</v>
          </cell>
          <cell r="R28">
            <v>5.3426583276453652</v>
          </cell>
        </row>
        <row r="29">
          <cell r="M29">
            <v>4.1909202601819668</v>
          </cell>
          <cell r="R29">
            <v>3.7638201062780721</v>
          </cell>
        </row>
        <row r="30">
          <cell r="M30">
            <v>8.3195550812529486</v>
          </cell>
          <cell r="R30">
            <v>3.9150847441190346</v>
          </cell>
        </row>
        <row r="31">
          <cell r="M31">
            <v>9.3962033858856842</v>
          </cell>
        </row>
        <row r="32">
          <cell r="M32">
            <v>5.9834314013894678</v>
          </cell>
          <cell r="R32">
            <v>0</v>
          </cell>
        </row>
        <row r="33">
          <cell r="M33">
            <v>6.9557343169627526</v>
          </cell>
          <cell r="R33">
            <v>4.9183003678912636</v>
          </cell>
        </row>
        <row r="34">
          <cell r="M34">
            <v>5.74</v>
          </cell>
          <cell r="R34">
            <v>4.7799999999999994</v>
          </cell>
        </row>
        <row r="35">
          <cell r="M35">
            <v>7.8301694882380701</v>
          </cell>
          <cell r="R35">
            <v>5.3832415231636732</v>
          </cell>
        </row>
        <row r="36">
          <cell r="M36">
            <v>8.4174321998559254</v>
          </cell>
          <cell r="R36">
            <v>5.2364258452592098</v>
          </cell>
        </row>
        <row r="37">
          <cell r="M37">
            <v>5.7763545405034931</v>
          </cell>
        </row>
        <row r="38">
          <cell r="M38">
            <v>11.22067436883775</v>
          </cell>
          <cell r="R38">
            <v>5.8272820771285758</v>
          </cell>
        </row>
        <row r="39">
          <cell r="M39">
            <v>5.358772243512929</v>
          </cell>
        </row>
        <row r="40">
          <cell r="M40">
            <v>7.1909719789941446</v>
          </cell>
        </row>
        <row r="41">
          <cell r="M41">
            <v>4.8155542352664131</v>
          </cell>
          <cell r="R41">
            <v>3.7584813543542737</v>
          </cell>
        </row>
        <row r="42">
          <cell r="M42">
            <v>7.0471525394142631</v>
          </cell>
          <cell r="R42">
            <v>0</v>
          </cell>
        </row>
        <row r="43">
          <cell r="M43">
            <v>10.976873114352433</v>
          </cell>
          <cell r="R43">
            <v>8.0789786121633913</v>
          </cell>
        </row>
        <row r="44">
          <cell r="M44">
            <v>9.3211642616234034</v>
          </cell>
          <cell r="R44">
            <v>8.3630560228542734</v>
          </cell>
        </row>
        <row r="45">
          <cell r="M45">
            <v>7.8563829787234036</v>
          </cell>
          <cell r="R45">
            <v>5.8645744680851069</v>
          </cell>
        </row>
        <row r="46">
          <cell r="M46">
            <v>8</v>
          </cell>
        </row>
        <row r="47">
          <cell r="M47">
            <v>10.3</v>
          </cell>
          <cell r="R47">
            <v>5.0329999999999995</v>
          </cell>
        </row>
        <row r="48">
          <cell r="M48">
            <v>10.057619734529306</v>
          </cell>
        </row>
        <row r="49">
          <cell r="M49">
            <v>7.3407838952231907</v>
          </cell>
          <cell r="R49">
            <v>0</v>
          </cell>
        </row>
        <row r="50">
          <cell r="M50">
            <v>10.37037037037037</v>
          </cell>
          <cell r="R50">
            <v>8.2222222222222214</v>
          </cell>
        </row>
        <row r="51">
          <cell r="M51">
            <v>7.1428571428571432</v>
          </cell>
        </row>
        <row r="52">
          <cell r="M52">
            <v>8.9816650012142549</v>
          </cell>
        </row>
        <row r="53">
          <cell r="M53">
            <v>7.9779999999999998</v>
          </cell>
          <cell r="R53">
            <v>5.6496000000000004</v>
          </cell>
        </row>
        <row r="54">
          <cell r="M54">
            <v>7.774</v>
          </cell>
          <cell r="R54">
            <v>6.6919999999999993</v>
          </cell>
        </row>
        <row r="55">
          <cell r="M55">
            <v>12.903225806451612</v>
          </cell>
          <cell r="R55">
            <v>7.5161290322580649</v>
          </cell>
        </row>
        <row r="56">
          <cell r="M56">
            <v>12.114285714285714</v>
          </cell>
        </row>
        <row r="57">
          <cell r="M57">
            <v>8.0555555555555554</v>
          </cell>
        </row>
        <row r="66">
          <cell r="M66">
            <v>11.6462299939241</v>
          </cell>
          <cell r="R66">
            <v>6.046848387291849</v>
          </cell>
        </row>
        <row r="67">
          <cell r="M67">
            <v>5.6964483026931951</v>
          </cell>
          <cell r="R67">
            <v>0</v>
          </cell>
        </row>
        <row r="68">
          <cell r="M68">
            <v>6.3938618925831197</v>
          </cell>
          <cell r="R68">
            <v>5.0477857046708845</v>
          </cell>
        </row>
        <row r="69">
          <cell r="M69">
            <v>6.1111111111111107</v>
          </cell>
          <cell r="R69">
            <v>2.7777777777777777</v>
          </cell>
        </row>
        <row r="70">
          <cell r="M70">
            <v>10.410566251407433</v>
          </cell>
          <cell r="R70">
            <v>7.6664477625749097</v>
          </cell>
        </row>
        <row r="71">
          <cell r="M71">
            <v>3.9849969716925888</v>
          </cell>
          <cell r="R71">
            <v>3.3557869235306015</v>
          </cell>
        </row>
        <row r="72">
          <cell r="M72">
            <v>3.9814421126634252</v>
          </cell>
          <cell r="R72">
            <v>2.6874734260478124</v>
          </cell>
        </row>
        <row r="73">
          <cell r="M73">
            <v>9.2777638474081332</v>
          </cell>
          <cell r="R73">
            <v>0</v>
          </cell>
        </row>
        <row r="74">
          <cell r="M74">
            <v>7.260609891230863</v>
          </cell>
          <cell r="R74">
            <v>4.1513487132919158</v>
          </cell>
        </row>
        <row r="75">
          <cell r="M75">
            <v>4.2087160999279618</v>
          </cell>
          <cell r="R75">
            <v>3.4256991511041552</v>
          </cell>
        </row>
        <row r="76">
          <cell r="M76">
            <v>5.8726271161785517</v>
          </cell>
          <cell r="R76">
            <v>5.5386703875051984</v>
          </cell>
        </row>
        <row r="77">
          <cell r="M77">
            <v>5.8726271161785517</v>
          </cell>
          <cell r="R77">
            <v>0</v>
          </cell>
        </row>
        <row r="78">
          <cell r="M78">
            <v>7.9867728780028315</v>
          </cell>
          <cell r="R78">
            <v>6.4833803362611224</v>
          </cell>
        </row>
        <row r="79">
          <cell r="M79">
            <v>8.1880161186068126</v>
          </cell>
          <cell r="R79">
            <v>5.4586774124045414</v>
          </cell>
        </row>
        <row r="80">
          <cell r="M80">
            <v>4.6731875172984489</v>
          </cell>
          <cell r="R80">
            <v>4.235409859546956</v>
          </cell>
        </row>
        <row r="81">
          <cell r="M81">
            <v>4.9691460213818521</v>
          </cell>
          <cell r="R81">
            <v>4.0656649265851517</v>
          </cell>
        </row>
        <row r="82">
          <cell r="M82">
            <v>9.0001948140667469</v>
          </cell>
          <cell r="R82">
            <v>0</v>
          </cell>
        </row>
        <row r="83">
          <cell r="M83">
            <v>6.8250000000000002</v>
          </cell>
          <cell r="R83">
            <v>3.987166666666667</v>
          </cell>
        </row>
        <row r="84">
          <cell r="M84">
            <v>6.6067055057008712</v>
          </cell>
          <cell r="R84">
            <v>5.2119565656084648</v>
          </cell>
        </row>
        <row r="85">
          <cell r="M85">
            <v>8.4197906846415407</v>
          </cell>
          <cell r="R85">
            <v>0</v>
          </cell>
        </row>
        <row r="86">
          <cell r="M86">
            <v>5.8726271161785526</v>
          </cell>
          <cell r="R86">
            <v>3.9362473643575164</v>
          </cell>
        </row>
        <row r="87">
          <cell r="M87">
            <v>7.3407838952231907</v>
          </cell>
          <cell r="R87">
            <v>6.2837110143110504</v>
          </cell>
        </row>
        <row r="88">
          <cell r="M88">
            <v>5.3851990655357325</v>
          </cell>
          <cell r="R88">
            <v>4.6981016929428421</v>
          </cell>
        </row>
        <row r="89">
          <cell r="M89">
            <v>10.864360164930321</v>
          </cell>
          <cell r="R89">
            <v>6.3835456752860864</v>
          </cell>
        </row>
        <row r="90">
          <cell r="M90">
            <v>4.4743825647074686</v>
          </cell>
          <cell r="R90">
            <v>3.1879975773540714</v>
          </cell>
        </row>
        <row r="91">
          <cell r="M91">
            <v>6.85</v>
          </cell>
          <cell r="R91">
            <v>4.42</v>
          </cell>
        </row>
        <row r="92">
          <cell r="M92">
            <v>6.7098975782062533</v>
          </cell>
          <cell r="R92">
            <v>5.5117015820979933</v>
          </cell>
        </row>
        <row r="93">
          <cell r="M93">
            <v>9.0829966063561614</v>
          </cell>
          <cell r="R93">
            <v>5.9509288110609333</v>
          </cell>
        </row>
        <row r="94">
          <cell r="M94">
            <v>6.4598898277964079</v>
          </cell>
          <cell r="R94">
            <v>4.3065932185309386</v>
          </cell>
        </row>
        <row r="95">
          <cell r="M95">
            <v>5.0896101673547456</v>
          </cell>
          <cell r="R95">
            <v>0</v>
          </cell>
        </row>
        <row r="96">
          <cell r="M96">
            <v>8.0211492318536326</v>
          </cell>
          <cell r="R96">
            <v>4.29704423135016</v>
          </cell>
        </row>
        <row r="97">
          <cell r="M97">
            <v>8.0081278856980251</v>
          </cell>
          <cell r="R97">
            <v>6.1128709527494927</v>
          </cell>
        </row>
        <row r="98">
          <cell r="M98">
            <v>4.9591073425507775</v>
          </cell>
          <cell r="R98">
            <v>0</v>
          </cell>
        </row>
        <row r="99">
          <cell r="M99">
            <v>5.8726271161785526</v>
          </cell>
          <cell r="R99">
            <v>5.3793264384195538</v>
          </cell>
        </row>
        <row r="100">
          <cell r="M100">
            <v>3.0537661004128474</v>
          </cell>
          <cell r="R100">
            <v>3.0537661004128474</v>
          </cell>
        </row>
        <row r="101">
          <cell r="M101">
            <v>11.745254232357105</v>
          </cell>
          <cell r="R101">
            <v>8.0055652847746028</v>
          </cell>
        </row>
        <row r="102">
          <cell r="M102">
            <v>9.74</v>
          </cell>
          <cell r="R102">
            <v>7.5</v>
          </cell>
        </row>
        <row r="103">
          <cell r="M103">
            <v>3</v>
          </cell>
          <cell r="R103">
            <v>2.2320000000000002</v>
          </cell>
        </row>
        <row r="104">
          <cell r="M104">
            <v>13.14800901577761</v>
          </cell>
          <cell r="R104">
            <v>6.9853493613824194</v>
          </cell>
        </row>
        <row r="105">
          <cell r="M105">
            <v>5.5533116937858651</v>
          </cell>
          <cell r="R105">
            <v>4.6335444445025811</v>
          </cell>
        </row>
        <row r="106">
          <cell r="M106">
            <v>7.0471525394142631</v>
          </cell>
        </row>
        <row r="107">
          <cell r="M107">
            <v>4.5</v>
          </cell>
          <cell r="R107">
            <v>3</v>
          </cell>
        </row>
        <row r="108">
          <cell r="M108">
            <v>8</v>
          </cell>
          <cell r="R108">
            <v>7</v>
          </cell>
        </row>
        <row r="109">
          <cell r="M109">
            <v>7.7</v>
          </cell>
          <cell r="R109">
            <v>6.1909999999999998</v>
          </cell>
        </row>
        <row r="110">
          <cell r="M110">
            <v>9.8000000000000007</v>
          </cell>
          <cell r="R110">
            <v>7.8</v>
          </cell>
        </row>
        <row r="111">
          <cell r="M111">
            <v>7.6190476190476195</v>
          </cell>
          <cell r="R111">
            <v>5.5873015873015879</v>
          </cell>
        </row>
        <row r="112">
          <cell r="M112">
            <v>7.7142857142857144</v>
          </cell>
          <cell r="R112">
            <v>5.9428571428571431</v>
          </cell>
        </row>
        <row r="113">
          <cell r="M113">
            <v>9.1126972492425811</v>
          </cell>
          <cell r="R113">
            <v>6.075131499495054</v>
          </cell>
        </row>
        <row r="114">
          <cell r="M114">
            <v>5.8726271161785526</v>
          </cell>
          <cell r="R114">
            <v>4.9741151674032347</v>
          </cell>
        </row>
        <row r="115">
          <cell r="M115">
            <v>11.574074074074073</v>
          </cell>
        </row>
        <row r="116">
          <cell r="M116">
            <v>7.7333333333333325</v>
          </cell>
          <cell r="R116">
            <v>5.559444444444444</v>
          </cell>
        </row>
        <row r="117">
          <cell r="M117">
            <v>6.4598898277964079</v>
          </cell>
          <cell r="R117">
            <v>4.6393754217810566</v>
          </cell>
        </row>
        <row r="148">
          <cell r="M148">
            <v>8.6549953577241894</v>
          </cell>
          <cell r="R148">
            <v>6.3296340120722956</v>
          </cell>
        </row>
        <row r="158">
          <cell r="M158">
            <v>7.6387893428383045</v>
          </cell>
          <cell r="R158">
            <v>5.4891203975884473</v>
          </cell>
        </row>
        <row r="178">
          <cell r="M178">
            <v>10.331176470588234</v>
          </cell>
          <cell r="R178">
            <v>6.6294117647058828</v>
          </cell>
        </row>
        <row r="179">
          <cell r="M179">
            <v>7.2</v>
          </cell>
          <cell r="R179">
            <v>5.92</v>
          </cell>
        </row>
        <row r="180">
          <cell r="M180">
            <v>10.5</v>
          </cell>
          <cell r="R180">
            <v>8.4649999999999999</v>
          </cell>
        </row>
        <row r="181">
          <cell r="M181">
            <v>8</v>
          </cell>
          <cell r="R181">
            <v>7</v>
          </cell>
        </row>
        <row r="182">
          <cell r="M182">
            <v>9.349222368956255</v>
          </cell>
        </row>
        <row r="183">
          <cell r="M183">
            <v>6.16</v>
          </cell>
        </row>
        <row r="184">
          <cell r="M184">
            <v>9.4</v>
          </cell>
          <cell r="R184">
            <v>7.2</v>
          </cell>
        </row>
        <row r="185">
          <cell r="M185">
            <v>11.538461538461538</v>
          </cell>
        </row>
        <row r="186">
          <cell r="M186">
            <v>7.333333333333333</v>
          </cell>
        </row>
        <row r="187">
          <cell r="M187">
            <v>10.826988901463732</v>
          </cell>
        </row>
        <row r="188">
          <cell r="M188">
            <v>8.5469311567767843</v>
          </cell>
        </row>
        <row r="189">
          <cell r="M189">
            <v>7.4</v>
          </cell>
        </row>
        <row r="190">
          <cell r="M190">
            <v>9.1304347826086953</v>
          </cell>
          <cell r="R190">
            <v>8.5</v>
          </cell>
        </row>
        <row r="191">
          <cell r="M191">
            <v>6.94</v>
          </cell>
        </row>
        <row r="192">
          <cell r="M192">
            <v>9.7317820782387443</v>
          </cell>
          <cell r="R192">
            <v>9.956619802115295</v>
          </cell>
        </row>
        <row r="193">
          <cell r="M193">
            <v>6.71</v>
          </cell>
        </row>
        <row r="196">
          <cell r="M196">
            <v>10.266830622689778</v>
          </cell>
          <cell r="R196">
            <v>0</v>
          </cell>
        </row>
        <row r="197">
          <cell r="M197">
            <v>7.4444444444444446</v>
          </cell>
          <cell r="R197">
            <v>4.2666666666666666</v>
          </cell>
        </row>
        <row r="198">
          <cell r="M198">
            <v>8.5420030780778937</v>
          </cell>
          <cell r="R198">
            <v>0</v>
          </cell>
        </row>
        <row r="199">
          <cell r="M199">
            <v>8.8571428571428577</v>
          </cell>
          <cell r="R199">
            <v>6.4</v>
          </cell>
        </row>
        <row r="200">
          <cell r="M200">
            <v>8.3333333333333339</v>
          </cell>
          <cell r="R200">
            <v>7.4</v>
          </cell>
        </row>
        <row r="201">
          <cell r="M201">
            <v>6.25</v>
          </cell>
          <cell r="R201">
            <v>6.09375</v>
          </cell>
        </row>
        <row r="202">
          <cell r="M202">
            <v>4.1108389813249868</v>
          </cell>
          <cell r="R202">
            <v>0</v>
          </cell>
        </row>
        <row r="203">
          <cell r="M203">
            <v>12.238264903838761</v>
          </cell>
          <cell r="R203">
            <v>12.238264903838761</v>
          </cell>
        </row>
        <row r="204">
          <cell r="M204">
            <v>11.111111111111111</v>
          </cell>
          <cell r="R204">
            <v>7.666666666666667</v>
          </cell>
        </row>
        <row r="205">
          <cell r="M205">
            <v>7.916666666666667</v>
          </cell>
          <cell r="R205">
            <v>6.791666666666667</v>
          </cell>
        </row>
        <row r="206">
          <cell r="M206">
            <v>7.0471525394142631</v>
          </cell>
          <cell r="R206">
            <v>0</v>
          </cell>
        </row>
        <row r="207">
          <cell r="M207">
            <v>11.904761904761905</v>
          </cell>
          <cell r="R207">
            <v>0</v>
          </cell>
        </row>
        <row r="208">
          <cell r="M208">
            <v>8.2758620689655178</v>
          </cell>
        </row>
        <row r="209">
          <cell r="M209">
            <v>7.7181818181818178</v>
          </cell>
          <cell r="R209">
            <v>5.4636363636363638</v>
          </cell>
        </row>
        <row r="210">
          <cell r="M210">
            <v>6.3636363636363633</v>
          </cell>
          <cell r="R210">
            <v>0</v>
          </cell>
        </row>
        <row r="253">
          <cell r="M253">
            <v>8.3193810602977738</v>
          </cell>
          <cell r="R253">
            <v>8.9562942807542516</v>
          </cell>
        </row>
        <row r="263">
          <cell r="M263">
            <v>7.6283903552073067</v>
          </cell>
          <cell r="R263">
            <v>6.0710458633530857</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G498"/>
  <sheetViews>
    <sheetView zoomScale="80" zoomScaleNormal="80" workbookViewId="0">
      <pane xSplit="2" ySplit="2" topLeftCell="U207" activePane="bottomRight" state="frozen"/>
      <selection pane="topRight" activeCell="C1" sqref="C1"/>
      <selection pane="bottomLeft" activeCell="A3" sqref="A3"/>
      <selection pane="bottomRight" activeCell="AM1" sqref="AM1:AN1048576"/>
    </sheetView>
  </sheetViews>
  <sheetFormatPr defaultRowHeight="14.4" x14ac:dyDescent="0.3"/>
  <cols>
    <col min="1" max="1" width="8" customWidth="1"/>
    <col min="2" max="2" width="19.88671875" customWidth="1"/>
    <col min="3" max="3" width="8" customWidth="1"/>
    <col min="4" max="4" width="6.109375" customWidth="1"/>
    <col min="5" max="5" width="7.5546875" customWidth="1"/>
    <col min="6" max="6" width="9.33203125" customWidth="1"/>
    <col min="7" max="7" width="5.44140625" customWidth="1"/>
    <col min="8" max="8" width="7.88671875" customWidth="1"/>
    <col min="9" max="9" width="7" customWidth="1"/>
    <col min="10" max="10" width="7.88671875" customWidth="1"/>
    <col min="11" max="11" width="6.88671875" customWidth="1"/>
    <col min="12" max="12" width="6.44140625" customWidth="1"/>
    <col min="13" max="13" width="12.5546875" customWidth="1"/>
    <col min="14" max="14" width="7.88671875" customWidth="1"/>
    <col min="15" max="15" width="8" customWidth="1"/>
    <col min="16" max="16" width="6.6640625" customWidth="1"/>
    <col min="17" max="17" width="4.6640625" customWidth="1"/>
    <col min="18" max="18" width="12.5546875" customWidth="1"/>
    <col min="19" max="19" width="6.44140625" customWidth="1"/>
    <col min="20" max="20" width="10" customWidth="1"/>
    <col min="21" max="21" width="6.5546875" customWidth="1"/>
    <col min="22" max="22" width="15" customWidth="1"/>
    <col min="23" max="23" width="7.6640625" customWidth="1"/>
    <col min="24" max="24" width="7" customWidth="1"/>
    <col min="25" max="25" width="9.6640625" customWidth="1"/>
    <col min="26" max="26" width="7.44140625" customWidth="1"/>
    <col min="27" max="27" width="10.6640625" customWidth="1"/>
    <col min="28" max="28" width="10.109375" customWidth="1"/>
    <col min="29" max="29" width="8.6640625" customWidth="1"/>
    <col min="30" max="30" width="12.88671875" customWidth="1"/>
    <col min="31" max="31" width="22.33203125" customWidth="1"/>
    <col min="32" max="32" width="10" customWidth="1"/>
    <col min="33" max="33" width="8" customWidth="1"/>
    <col min="34" max="34" width="7.33203125" customWidth="1"/>
    <col min="35" max="35" width="7" customWidth="1"/>
    <col min="36" max="36" width="6" customWidth="1"/>
    <col min="37" max="37" width="11.88671875" customWidth="1"/>
    <col min="39" max="39" width="11.88671875" customWidth="1"/>
    <col min="40" max="40" width="10" bestFit="1" customWidth="1"/>
    <col min="41" max="41" width="11.109375" customWidth="1"/>
    <col min="42" max="42" width="11.5546875" customWidth="1"/>
    <col min="43" max="43" width="12.33203125" customWidth="1"/>
    <col min="44" max="44" width="11.5546875" customWidth="1"/>
    <col min="45" max="45" width="7.44140625" customWidth="1"/>
    <col min="46" max="46" width="7.6640625" customWidth="1"/>
    <col min="47" max="47" width="13" customWidth="1"/>
    <col min="48" max="48" width="9.5546875" bestFit="1" customWidth="1"/>
    <col min="49" max="49" width="10.5546875" bestFit="1" customWidth="1"/>
    <col min="50" max="50" width="11.6640625" bestFit="1" customWidth="1"/>
    <col min="51" max="51" width="13" bestFit="1" customWidth="1"/>
    <col min="54" max="54" width="11.109375" customWidth="1"/>
    <col min="59" max="59" width="11.88671875" customWidth="1"/>
    <col min="64" max="64" width="11.44140625" bestFit="1" customWidth="1"/>
  </cols>
  <sheetData>
    <row r="1" spans="1:64" ht="15" x14ac:dyDescent="0.25">
      <c r="A1" s="11"/>
      <c r="J1" s="427" t="s">
        <v>13</v>
      </c>
      <c r="K1" s="427"/>
      <c r="L1" s="427"/>
      <c r="M1" s="4"/>
      <c r="N1" s="4"/>
      <c r="O1" s="428" t="s">
        <v>9</v>
      </c>
      <c r="P1" s="428"/>
      <c r="Q1" s="428"/>
      <c r="R1" s="6"/>
      <c r="S1" s="14"/>
      <c r="T1" s="16"/>
      <c r="U1" s="16"/>
      <c r="V1" s="16"/>
      <c r="AK1" t="s">
        <v>782</v>
      </c>
      <c r="AM1" t="s">
        <v>331</v>
      </c>
      <c r="AN1" t="s">
        <v>917</v>
      </c>
      <c r="AO1" t="s">
        <v>887</v>
      </c>
      <c r="AQ1" t="s">
        <v>886</v>
      </c>
      <c r="AS1" t="s">
        <v>1152</v>
      </c>
    </row>
    <row r="2" spans="1:64" ht="15" thickBot="1" x14ac:dyDescent="0.35">
      <c r="A2" s="349" t="s">
        <v>0</v>
      </c>
      <c r="B2" s="8" t="s">
        <v>1</v>
      </c>
      <c r="C2" s="8" t="s">
        <v>908</v>
      </c>
      <c r="D2" s="8" t="s">
        <v>2</v>
      </c>
      <c r="E2" s="8" t="s">
        <v>62</v>
      </c>
      <c r="F2" s="8" t="s">
        <v>63</v>
      </c>
      <c r="G2" s="8" t="s">
        <v>5</v>
      </c>
      <c r="H2" s="8" t="s">
        <v>6</v>
      </c>
      <c r="I2" s="8" t="s">
        <v>7</v>
      </c>
      <c r="J2" s="2" t="s">
        <v>10</v>
      </c>
      <c r="K2" s="2" t="s">
        <v>11</v>
      </c>
      <c r="L2" s="2" t="s">
        <v>12</v>
      </c>
      <c r="M2" s="2" t="s">
        <v>965</v>
      </c>
      <c r="N2" s="2" t="s">
        <v>22</v>
      </c>
      <c r="O2" s="3" t="s">
        <v>10</v>
      </c>
      <c r="P2" s="3" t="s">
        <v>11</v>
      </c>
      <c r="Q2" s="3" t="s">
        <v>12</v>
      </c>
      <c r="R2" s="3" t="s">
        <v>966</v>
      </c>
      <c r="S2" s="3" t="s">
        <v>22</v>
      </c>
      <c r="T2" s="17" t="s">
        <v>92</v>
      </c>
      <c r="U2" s="17" t="s">
        <v>329</v>
      </c>
      <c r="V2" s="17" t="s">
        <v>97</v>
      </c>
      <c r="W2" s="7" t="s">
        <v>15</v>
      </c>
      <c r="X2" s="7" t="s">
        <v>16</v>
      </c>
      <c r="Y2" s="7" t="s">
        <v>20</v>
      </c>
      <c r="Z2" s="7" t="s">
        <v>86</v>
      </c>
      <c r="AA2" s="7" t="s">
        <v>93</v>
      </c>
      <c r="AB2" s="7" t="s">
        <v>64</v>
      </c>
      <c r="AC2" s="7" t="s">
        <v>65</v>
      </c>
      <c r="AD2" s="7" t="s">
        <v>68</v>
      </c>
      <c r="AE2" s="7" t="s">
        <v>17</v>
      </c>
      <c r="AF2" s="7" t="s">
        <v>18</v>
      </c>
      <c r="AG2" s="52" t="s">
        <v>251</v>
      </c>
      <c r="AH2" s="52" t="s">
        <v>343</v>
      </c>
      <c r="AI2" t="s">
        <v>58</v>
      </c>
      <c r="AJ2" s="84" t="s">
        <v>490</v>
      </c>
      <c r="AK2" s="84" t="s">
        <v>763</v>
      </c>
      <c r="AL2" s="84" t="s">
        <v>888</v>
      </c>
      <c r="AM2" s="84" t="s">
        <v>1125</v>
      </c>
      <c r="AN2" s="84"/>
      <c r="AO2" s="84" t="s">
        <v>783</v>
      </c>
      <c r="AP2" s="84" t="s">
        <v>784</v>
      </c>
      <c r="AQ2" s="84" t="s">
        <v>783</v>
      </c>
      <c r="AR2" s="84" t="s">
        <v>784</v>
      </c>
      <c r="AS2" s="84" t="s">
        <v>1153</v>
      </c>
    </row>
    <row r="3" spans="1:64" x14ac:dyDescent="0.3">
      <c r="A3" s="350" t="s">
        <v>3</v>
      </c>
      <c r="B3" t="s">
        <v>38</v>
      </c>
      <c r="D3">
        <v>2008</v>
      </c>
      <c r="E3" s="42">
        <v>446.88</v>
      </c>
      <c r="F3" s="94">
        <v>596</v>
      </c>
      <c r="H3">
        <v>3136</v>
      </c>
      <c r="I3" t="s">
        <v>8</v>
      </c>
      <c r="J3">
        <v>4.91</v>
      </c>
      <c r="K3" s="9">
        <f t="shared" ref="K3:K34" si="0">J3*0.004047</f>
        <v>1.9870770000000003E-2</v>
      </c>
      <c r="L3" s="9">
        <f t="shared" ref="L3:L34" si="1">J3*0.404685642</f>
        <v>1.9870065022200001</v>
      </c>
      <c r="M3" s="1">
        <f>J3/(E3/1000)</f>
        <v>10.987289652703186</v>
      </c>
      <c r="N3" s="1">
        <f t="shared" ref="N3:N34" si="2">E3/1000/K3</f>
        <v>22.489314706979144</v>
      </c>
      <c r="O3">
        <v>4.22</v>
      </c>
      <c r="P3" s="1">
        <f t="shared" ref="P3:P26" si="3">O3*0.004047</f>
        <v>1.7078340000000001E-2</v>
      </c>
      <c r="Q3" s="1">
        <f t="shared" ref="Q3:Q8" si="4">O3*0.404685642</f>
        <v>1.7077734092399999</v>
      </c>
      <c r="R3" s="1">
        <f>O3/(E3/1000)</f>
        <v>9.4432509846043668</v>
      </c>
      <c r="S3" s="1">
        <f t="shared" ref="S3:S26" si="5">E3/1000/P3</f>
        <v>26.166477538215069</v>
      </c>
      <c r="T3" s="1">
        <f>(5+11/12)/(17+9/12)</f>
        <v>0.33333333333333337</v>
      </c>
      <c r="U3" s="1">
        <f>1/T3</f>
        <v>2.9999999999999996</v>
      </c>
      <c r="V3" s="1">
        <f>T3*R3</f>
        <v>3.1477503282014561</v>
      </c>
      <c r="W3">
        <v>37.460360999999999</v>
      </c>
      <c r="X3">
        <v>-105.852617</v>
      </c>
      <c r="Y3" t="s">
        <v>21</v>
      </c>
      <c r="Z3" t="s">
        <v>776</v>
      </c>
      <c r="AA3" t="s">
        <v>94</v>
      </c>
      <c r="AB3" s="15">
        <v>0.161</v>
      </c>
      <c r="AC3" s="15" t="s">
        <v>66</v>
      </c>
      <c r="AD3" s="15" t="s">
        <v>69</v>
      </c>
      <c r="AE3" t="s">
        <v>29</v>
      </c>
      <c r="AF3" t="s">
        <v>39</v>
      </c>
      <c r="AG3" s="15" t="s">
        <v>353</v>
      </c>
      <c r="AI3">
        <v>1</v>
      </c>
      <c r="AK3">
        <v>1970</v>
      </c>
      <c r="AL3">
        <v>2395.42</v>
      </c>
      <c r="AM3">
        <f>1/(AL3/$M3/1000)</f>
        <v>4.5867904804598716</v>
      </c>
      <c r="AN3">
        <f>1/(AL3/$R3/1000)</f>
        <v>3.942210962839237</v>
      </c>
      <c r="AO3">
        <v>2671.53</v>
      </c>
      <c r="AP3">
        <f t="shared" ref="AP3:AP34" si="6">1/(AO3/$M3/1000)</f>
        <v>4.1127330229131562</v>
      </c>
      <c r="AQ3">
        <v>1462.8</v>
      </c>
      <c r="AR3">
        <f t="shared" ref="AR3:AR34" si="7">1/(AQ3/$M3/1000)</f>
        <v>7.5111359397752171</v>
      </c>
      <c r="AT3">
        <v>2057</v>
      </c>
      <c r="AU3">
        <f>(AT3-AT6)/AT6</f>
        <v>0.25964482547458667</v>
      </c>
      <c r="BJ3" t="s">
        <v>757</v>
      </c>
      <c r="BK3" t="s">
        <v>788</v>
      </c>
      <c r="BL3" t="s">
        <v>787</v>
      </c>
    </row>
    <row r="4" spans="1:64" x14ac:dyDescent="0.3">
      <c r="A4" s="351" t="s">
        <v>3</v>
      </c>
      <c r="B4" s="11" t="s">
        <v>45</v>
      </c>
      <c r="C4" s="11"/>
      <c r="D4">
        <v>2008</v>
      </c>
      <c r="E4" s="42">
        <v>474.81</v>
      </c>
      <c r="F4" s="94">
        <v>633</v>
      </c>
      <c r="G4">
        <v>4</v>
      </c>
      <c r="H4">
        <v>3332</v>
      </c>
      <c r="I4" t="s">
        <v>8</v>
      </c>
      <c r="J4">
        <v>5.3470000000000004</v>
      </c>
      <c r="K4" s="9">
        <f t="shared" si="0"/>
        <v>2.1639309000000002E-2</v>
      </c>
      <c r="L4" s="9">
        <f t="shared" si="1"/>
        <v>2.1638541277740004</v>
      </c>
      <c r="M4" s="1">
        <f t="shared" ref="M4:M67" si="8">J4/(E4/1000)</f>
        <v>11.261346643920726</v>
      </c>
      <c r="N4" s="1">
        <f t="shared" si="2"/>
        <v>21.942013028234864</v>
      </c>
      <c r="O4">
        <v>3.34</v>
      </c>
      <c r="P4" s="1">
        <f t="shared" si="3"/>
        <v>1.351698E-2</v>
      </c>
      <c r="Q4" s="1">
        <f t="shared" si="4"/>
        <v>1.3516500442799999</v>
      </c>
      <c r="R4" s="1">
        <f t="shared" ref="R4:R30" si="9">O4/(E4/1000)</f>
        <v>7.0343927044502008</v>
      </c>
      <c r="S4" s="1">
        <f t="shared" si="5"/>
        <v>35.12692924011133</v>
      </c>
      <c r="T4" s="1">
        <f>0.20836/(0.33734+0.20836)</f>
        <v>0.38182151365218986</v>
      </c>
      <c r="U4" s="1">
        <f>1/T4</f>
        <v>2.6190247648301015</v>
      </c>
      <c r="V4" s="1">
        <f>T4*R4</f>
        <v>2.6858824700370971</v>
      </c>
      <c r="W4">
        <v>39.821038000000001</v>
      </c>
      <c r="X4">
        <v>-105.22041</v>
      </c>
      <c r="Y4" t="s">
        <v>21</v>
      </c>
      <c r="Z4" t="s">
        <v>776</v>
      </c>
      <c r="AA4" t="s">
        <v>96</v>
      </c>
      <c r="AB4" s="15">
        <v>0.16400000000000001</v>
      </c>
      <c r="AC4" s="15" t="s">
        <v>66</v>
      </c>
      <c r="AD4" s="15" t="s">
        <v>75</v>
      </c>
      <c r="AE4" t="s">
        <v>29</v>
      </c>
      <c r="AF4" t="s">
        <v>34</v>
      </c>
      <c r="AG4" s="15" t="s">
        <v>353</v>
      </c>
      <c r="AI4">
        <v>1</v>
      </c>
      <c r="AK4">
        <v>1660</v>
      </c>
      <c r="AL4">
        <v>2213.69</v>
      </c>
      <c r="AM4">
        <f t="shared" ref="AM4:AM30" si="10">1/(AL4/$M4/1000)</f>
        <v>5.0871380563316118</v>
      </c>
      <c r="AN4">
        <f t="shared" ref="AN4:AN66" si="11">1/(AL4/$R4/1000)</f>
        <v>3.1776774094160434</v>
      </c>
      <c r="AO4">
        <v>2671.54</v>
      </c>
      <c r="AP4">
        <f t="shared" si="6"/>
        <v>4.2153015279279842</v>
      </c>
      <c r="AQ4">
        <v>1462.82</v>
      </c>
      <c r="AR4">
        <f t="shared" si="7"/>
        <v>7.6983816490892432</v>
      </c>
      <c r="AT4">
        <v>2273</v>
      </c>
      <c r="AU4">
        <f>(AT4-AT6)/AT6</f>
        <v>0.39191671769748926</v>
      </c>
      <c r="BJ4" t="s">
        <v>786</v>
      </c>
      <c r="BK4">
        <f xml:space="preserve"> AVERAGE(AO3:AO57)</f>
        <v>2691.7959999999994</v>
      </c>
      <c r="BL4">
        <f>STDEV(AO3:AO57)</f>
        <v>63.677282436662736</v>
      </c>
    </row>
    <row r="5" spans="1:64" x14ac:dyDescent="0.3">
      <c r="A5" s="351" t="s">
        <v>3</v>
      </c>
      <c r="B5" s="11" t="s">
        <v>43</v>
      </c>
      <c r="C5" s="11"/>
      <c r="D5">
        <v>2008</v>
      </c>
      <c r="E5" s="42">
        <v>503.16</v>
      </c>
      <c r="F5" s="94">
        <v>600</v>
      </c>
      <c r="H5">
        <v>3531</v>
      </c>
      <c r="I5" t="s">
        <v>8</v>
      </c>
      <c r="J5">
        <v>4.42</v>
      </c>
      <c r="K5" s="9">
        <f t="shared" si="0"/>
        <v>1.7887739999999999E-2</v>
      </c>
      <c r="L5" s="9">
        <f t="shared" si="1"/>
        <v>1.7887105376400001</v>
      </c>
      <c r="M5" s="1">
        <f t="shared" si="8"/>
        <v>8.784482073296763</v>
      </c>
      <c r="N5" s="1">
        <f t="shared" si="2"/>
        <v>28.128763052235783</v>
      </c>
      <c r="O5">
        <v>3.59</v>
      </c>
      <c r="P5" s="1">
        <f t="shared" si="3"/>
        <v>1.452873E-2</v>
      </c>
      <c r="Q5" s="1">
        <f t="shared" si="4"/>
        <v>1.45282145478</v>
      </c>
      <c r="R5" s="1">
        <f t="shared" si="9"/>
        <v>7.1349073853247464</v>
      </c>
      <c r="S5" s="1">
        <f t="shared" si="5"/>
        <v>34.63207038743235</v>
      </c>
      <c r="T5" s="1">
        <f>(15.5-10-(15/4)/12)/(15.5)</f>
        <v>0.33467741935483869</v>
      </c>
      <c r="U5" s="1">
        <f>1/T5</f>
        <v>2.987951807228916</v>
      </c>
      <c r="V5" s="1">
        <f>T5*R5</f>
        <v>2.3878923910562659</v>
      </c>
      <c r="W5">
        <v>39.531663999999999</v>
      </c>
      <c r="X5">
        <v>-107.757302</v>
      </c>
      <c r="Y5" t="s">
        <v>21</v>
      </c>
      <c r="Z5" t="s">
        <v>776</v>
      </c>
      <c r="AA5" t="s">
        <v>94</v>
      </c>
      <c r="AB5" s="15">
        <v>0.13320000000000001</v>
      </c>
      <c r="AC5" s="15" t="s">
        <v>391</v>
      </c>
      <c r="AD5" s="15" t="s">
        <v>73</v>
      </c>
      <c r="AE5" t="s">
        <v>29</v>
      </c>
      <c r="AF5" t="s">
        <v>34</v>
      </c>
      <c r="AG5" s="15" t="s">
        <v>353</v>
      </c>
      <c r="AI5">
        <v>1</v>
      </c>
      <c r="AK5">
        <v>1992</v>
      </c>
      <c r="AL5">
        <v>2376.5</v>
      </c>
      <c r="AM5">
        <f t="shared" si="10"/>
        <v>3.6963947289277348</v>
      </c>
      <c r="AN5">
        <f t="shared" si="11"/>
        <v>3.0022753567535228</v>
      </c>
      <c r="AO5">
        <v>2672.22</v>
      </c>
      <c r="AP5">
        <f t="shared" si="6"/>
        <v>3.2873349025517218</v>
      </c>
      <c r="AQ5">
        <v>1468.75</v>
      </c>
      <c r="AR5">
        <f t="shared" si="7"/>
        <v>5.9809239647977961</v>
      </c>
      <c r="AT5">
        <v>2429</v>
      </c>
      <c r="AU5">
        <f>(AT5-AT6)/AT6</f>
        <v>0.48744641763625229</v>
      </c>
      <c r="BJ5" t="s">
        <v>139</v>
      </c>
      <c r="BK5">
        <f>AVERAGE(AO58:AO65)</f>
        <v>3151.1425000000004</v>
      </c>
      <c r="BL5">
        <f>STDEV(AO58:AO65)</f>
        <v>1.3930003589375177</v>
      </c>
    </row>
    <row r="6" spans="1:64" x14ac:dyDescent="0.3">
      <c r="A6" s="351" t="s">
        <v>3</v>
      </c>
      <c r="B6" t="s">
        <v>31</v>
      </c>
      <c r="D6">
        <v>2008</v>
      </c>
      <c r="E6" s="42">
        <v>657.87</v>
      </c>
      <c r="F6" s="94">
        <v>720.72</v>
      </c>
      <c r="H6">
        <v>3696</v>
      </c>
      <c r="I6" t="s">
        <v>8</v>
      </c>
      <c r="J6" s="1">
        <v>5.38</v>
      </c>
      <c r="K6" s="1">
        <f t="shared" si="0"/>
        <v>2.1772860000000002E-2</v>
      </c>
      <c r="L6" s="9">
        <f t="shared" si="1"/>
        <v>2.17720875396</v>
      </c>
      <c r="M6" s="1">
        <f t="shared" si="8"/>
        <v>8.1779074893215995</v>
      </c>
      <c r="N6" s="1">
        <f t="shared" si="2"/>
        <v>30.215139398315145</v>
      </c>
      <c r="O6" s="1">
        <v>3.04</v>
      </c>
      <c r="P6" s="1">
        <f t="shared" si="3"/>
        <v>1.230288E-2</v>
      </c>
      <c r="Q6" s="1">
        <f t="shared" si="4"/>
        <v>1.2302443516800001</v>
      </c>
      <c r="R6" s="1">
        <f t="shared" si="9"/>
        <v>4.6209737486129479</v>
      </c>
      <c r="S6" s="1">
        <f t="shared" si="5"/>
        <v>53.47284538254457</v>
      </c>
      <c r="T6" s="1">
        <f>(5+11/12)/(15)</f>
        <v>0.39444444444444449</v>
      </c>
      <c r="U6" s="1">
        <f>1/T6</f>
        <v>2.5352112676056335</v>
      </c>
      <c r="V6" s="1">
        <f>T6*R6</f>
        <v>1.8227174230639962</v>
      </c>
      <c r="W6">
        <v>39.744937999999998</v>
      </c>
      <c r="X6">
        <v>-105.176754</v>
      </c>
      <c r="Y6" t="s">
        <v>21</v>
      </c>
      <c r="Z6" t="s">
        <v>776</v>
      </c>
      <c r="AA6" t="s">
        <v>95</v>
      </c>
      <c r="AB6" s="15">
        <v>0.161</v>
      </c>
      <c r="AC6" s="15" t="s">
        <v>66</v>
      </c>
      <c r="AD6" s="15" t="s">
        <v>69</v>
      </c>
      <c r="AE6" t="s">
        <v>29</v>
      </c>
      <c r="AF6" t="s">
        <v>19</v>
      </c>
      <c r="AG6" s="15" t="s">
        <v>353</v>
      </c>
      <c r="AI6">
        <v>1</v>
      </c>
      <c r="AK6">
        <v>2036</v>
      </c>
      <c r="AL6">
        <v>2231.0300000000002</v>
      </c>
      <c r="AM6">
        <f t="shared" si="10"/>
        <v>3.6655300418737524</v>
      </c>
      <c r="AN6">
        <f t="shared" si="11"/>
        <v>2.0712288712446481</v>
      </c>
      <c r="AO6">
        <v>2670.84</v>
      </c>
      <c r="AP6">
        <f t="shared" si="6"/>
        <v>3.0619233983771394</v>
      </c>
      <c r="AQ6">
        <v>1471.92</v>
      </c>
      <c r="AR6">
        <f t="shared" si="7"/>
        <v>5.5559456283776285</v>
      </c>
      <c r="AT6">
        <v>1633</v>
      </c>
      <c r="BJ6" t="s">
        <v>785</v>
      </c>
      <c r="BK6">
        <f>AVERAGE(AO66:AO116)</f>
        <v>2179.2090196078425</v>
      </c>
      <c r="BL6">
        <f>STDEV(AO66:AO116)</f>
        <v>61.149309930853732</v>
      </c>
    </row>
    <row r="7" spans="1:64" x14ac:dyDescent="0.3">
      <c r="A7" s="351" t="s">
        <v>35</v>
      </c>
      <c r="B7" s="11" t="s">
        <v>537</v>
      </c>
      <c r="C7" s="11"/>
      <c r="D7">
        <v>2011</v>
      </c>
      <c r="E7" s="42">
        <v>823.1</v>
      </c>
      <c r="F7" s="94">
        <v>1069</v>
      </c>
      <c r="H7">
        <v>3960</v>
      </c>
      <c r="I7" t="s">
        <v>539</v>
      </c>
      <c r="J7" s="74">
        <v>6.5</v>
      </c>
      <c r="K7" s="9">
        <f t="shared" si="0"/>
        <v>2.6305500000000002E-2</v>
      </c>
      <c r="L7" s="9">
        <f t="shared" si="1"/>
        <v>2.6304566730000003</v>
      </c>
      <c r="M7" s="1">
        <f t="shared" si="8"/>
        <v>7.8969748511723967</v>
      </c>
      <c r="N7" s="1">
        <f t="shared" si="2"/>
        <v>31.290034403451749</v>
      </c>
      <c r="O7" s="11">
        <v>4.91</v>
      </c>
      <c r="P7" s="1">
        <f t="shared" si="3"/>
        <v>1.9870770000000003E-2</v>
      </c>
      <c r="Q7" s="1">
        <f t="shared" si="4"/>
        <v>1.9870065022200001</v>
      </c>
      <c r="R7" s="1">
        <f t="shared" si="9"/>
        <v>5.9652533106548411</v>
      </c>
      <c r="S7" s="1">
        <f t="shared" si="5"/>
        <v>41.422652468927971</v>
      </c>
      <c r="T7" s="11"/>
      <c r="U7" s="11"/>
      <c r="V7" s="11"/>
      <c r="W7">
        <v>32.29</v>
      </c>
      <c r="X7">
        <v>-111.03294</v>
      </c>
      <c r="Y7" t="s">
        <v>21</v>
      </c>
      <c r="Z7" t="s">
        <v>540</v>
      </c>
      <c r="AA7" s="11" t="s">
        <v>95</v>
      </c>
      <c r="AB7" s="15">
        <v>0.13769999999999999</v>
      </c>
      <c r="AC7" s="11" t="s">
        <v>399</v>
      </c>
      <c r="AD7" t="s">
        <v>538</v>
      </c>
      <c r="AE7" t="s">
        <v>29</v>
      </c>
      <c r="AF7" t="s">
        <v>475</v>
      </c>
      <c r="AG7" s="15" t="s">
        <v>541</v>
      </c>
      <c r="AI7">
        <v>1</v>
      </c>
      <c r="AK7">
        <v>1999</v>
      </c>
      <c r="AL7">
        <v>2596.71</v>
      </c>
      <c r="AM7">
        <f t="shared" si="10"/>
        <v>3.0411462393460944</v>
      </c>
      <c r="AN7">
        <f t="shared" si="11"/>
        <v>2.2972350823368188</v>
      </c>
      <c r="AO7">
        <v>2672.03</v>
      </c>
      <c r="AP7">
        <f t="shared" si="6"/>
        <v>2.9554214777425392</v>
      </c>
      <c r="AQ7">
        <v>1464.43</v>
      </c>
      <c r="AR7">
        <f t="shared" si="7"/>
        <v>5.3925246349585825</v>
      </c>
    </row>
    <row r="8" spans="1:64" x14ac:dyDescent="0.3">
      <c r="A8" s="351" t="s">
        <v>26</v>
      </c>
      <c r="B8" s="11" t="s">
        <v>166</v>
      </c>
      <c r="C8" s="11"/>
      <c r="D8">
        <v>2008</v>
      </c>
      <c r="E8" s="18">
        <f>F8*$F$289</f>
        <v>851.40770920487284</v>
      </c>
      <c r="F8" s="18">
        <v>1000</v>
      </c>
      <c r="H8">
        <v>5445</v>
      </c>
      <c r="I8" t="s">
        <v>167</v>
      </c>
      <c r="J8">
        <v>5</v>
      </c>
      <c r="K8" s="9">
        <f t="shared" si="0"/>
        <v>2.0235000000000003E-2</v>
      </c>
      <c r="L8" s="9">
        <f t="shared" si="1"/>
        <v>2.0234282100000001</v>
      </c>
      <c r="M8" s="1">
        <f t="shared" si="8"/>
        <v>5.8726271161785526</v>
      </c>
      <c r="N8" s="1">
        <f t="shared" si="2"/>
        <v>42.075992547806905</v>
      </c>
      <c r="O8">
        <v>5</v>
      </c>
      <c r="P8" s="1">
        <f t="shared" si="3"/>
        <v>2.0235000000000003E-2</v>
      </c>
      <c r="Q8" s="1">
        <f t="shared" si="4"/>
        <v>2.0234282100000001</v>
      </c>
      <c r="R8" s="1">
        <f t="shared" si="9"/>
        <v>5.8726271161785526</v>
      </c>
      <c r="S8" s="1">
        <f t="shared" si="5"/>
        <v>42.075992547806905</v>
      </c>
      <c r="T8" s="1"/>
      <c r="U8" s="1"/>
      <c r="V8" s="1"/>
      <c r="W8">
        <v>36.353563999999999</v>
      </c>
      <c r="X8">
        <v>-119.400734</v>
      </c>
      <c r="Y8" t="s">
        <v>21</v>
      </c>
      <c r="Z8" t="s">
        <v>776</v>
      </c>
      <c r="AA8" t="s">
        <v>94</v>
      </c>
      <c r="AB8" s="15"/>
      <c r="AC8" s="15"/>
      <c r="AD8" s="15" t="s">
        <v>253</v>
      </c>
      <c r="AE8" t="s">
        <v>29</v>
      </c>
      <c r="AF8" t="s">
        <v>157</v>
      </c>
      <c r="AG8" s="15" t="s">
        <v>352</v>
      </c>
      <c r="AI8">
        <v>1</v>
      </c>
      <c r="AK8">
        <v>1856</v>
      </c>
      <c r="AL8">
        <v>2243.42</v>
      </c>
      <c r="AM8">
        <f t="shared" si="10"/>
        <v>2.6177118489531841</v>
      </c>
      <c r="AN8">
        <f t="shared" si="11"/>
        <v>2.6177118489531841</v>
      </c>
      <c r="AO8">
        <v>2672.06</v>
      </c>
      <c r="AP8">
        <f t="shared" si="6"/>
        <v>2.1977901380128264</v>
      </c>
      <c r="AQ8">
        <v>1469.39</v>
      </c>
      <c r="AR8">
        <f t="shared" si="7"/>
        <v>3.9966429036393003</v>
      </c>
    </row>
    <row r="9" spans="1:64" x14ac:dyDescent="0.3">
      <c r="A9" s="351" t="s">
        <v>424</v>
      </c>
      <c r="B9" s="11" t="s">
        <v>425</v>
      </c>
      <c r="C9" s="11"/>
      <c r="D9">
        <v>2009</v>
      </c>
      <c r="E9" s="18">
        <f>F9*$F$289</f>
        <v>851.40770920487284</v>
      </c>
      <c r="F9" s="18">
        <v>1000</v>
      </c>
      <c r="H9">
        <v>5000</v>
      </c>
      <c r="I9" t="s">
        <v>389</v>
      </c>
      <c r="J9" s="74">
        <v>9.5</v>
      </c>
      <c r="K9" s="9">
        <f t="shared" si="0"/>
        <v>3.8446500000000002E-2</v>
      </c>
      <c r="L9" s="9">
        <f t="shared" si="1"/>
        <v>3.8445135989999999</v>
      </c>
      <c r="M9" s="1">
        <f t="shared" si="8"/>
        <v>11.15799152073925</v>
      </c>
      <c r="N9" s="1">
        <f t="shared" si="2"/>
        <v>22.145259235687849</v>
      </c>
      <c r="O9">
        <v>9</v>
      </c>
      <c r="P9" s="1">
        <f t="shared" si="3"/>
        <v>3.6423000000000004E-2</v>
      </c>
      <c r="Q9" s="1">
        <f>O9*0.4047</f>
        <v>3.6423000000000001</v>
      </c>
      <c r="R9" s="1">
        <f t="shared" si="9"/>
        <v>10.570728809121395</v>
      </c>
      <c r="S9" s="1">
        <f t="shared" si="5"/>
        <v>23.375551415448282</v>
      </c>
      <c r="T9" s="105">
        <v>0.19500000000000001</v>
      </c>
      <c r="U9" s="1">
        <f>1/T9</f>
        <v>5.1282051282051277</v>
      </c>
      <c r="V9" s="1">
        <f>T9*R9</f>
        <v>2.0612921177786721</v>
      </c>
      <c r="W9">
        <v>33.926340000000003</v>
      </c>
      <c r="X9">
        <v>-117.60604600000001</v>
      </c>
      <c r="Y9" t="s">
        <v>21</v>
      </c>
      <c r="Z9" s="100" t="s">
        <v>426</v>
      </c>
      <c r="AA9" s="11" t="s">
        <v>95</v>
      </c>
      <c r="AB9" s="15">
        <v>0.19600000000000001</v>
      </c>
      <c r="AC9" t="s">
        <v>391</v>
      </c>
      <c r="AD9" t="s">
        <v>421</v>
      </c>
      <c r="AE9" t="s">
        <v>29</v>
      </c>
      <c r="AF9" t="s">
        <v>427</v>
      </c>
      <c r="AG9" s="15" t="s">
        <v>385</v>
      </c>
      <c r="AI9">
        <v>1</v>
      </c>
      <c r="AK9">
        <v>2084</v>
      </c>
      <c r="AL9">
        <v>2475.41</v>
      </c>
      <c r="AM9">
        <f t="shared" si="10"/>
        <v>4.5075326999322334</v>
      </c>
      <c r="AN9">
        <f t="shared" si="11"/>
        <v>4.2702941367779053</v>
      </c>
      <c r="AO9">
        <v>2891.1</v>
      </c>
      <c r="AP9">
        <f t="shared" si="6"/>
        <v>3.8594277336443739</v>
      </c>
      <c r="AQ9">
        <v>1587.88</v>
      </c>
      <c r="AR9">
        <f t="shared" si="7"/>
        <v>7.0269740287296587</v>
      </c>
    </row>
    <row r="10" spans="1:64" x14ac:dyDescent="0.3">
      <c r="A10" s="351" t="s">
        <v>26</v>
      </c>
      <c r="B10" s="11" t="s">
        <v>419</v>
      </c>
      <c r="C10" s="11"/>
      <c r="D10">
        <v>2008</v>
      </c>
      <c r="E10" s="42">
        <f>F10*0.89</f>
        <v>890</v>
      </c>
      <c r="F10" s="94">
        <v>1000</v>
      </c>
      <c r="H10">
        <v>18210</v>
      </c>
      <c r="I10" t="s">
        <v>418</v>
      </c>
      <c r="J10" s="74">
        <v>11.2</v>
      </c>
      <c r="K10" s="9">
        <f t="shared" si="0"/>
        <v>4.5326400000000003E-2</v>
      </c>
      <c r="L10" s="9">
        <f t="shared" si="1"/>
        <v>4.5324791904000001</v>
      </c>
      <c r="M10" s="1">
        <f t="shared" si="8"/>
        <v>12.584269662921347</v>
      </c>
      <c r="N10" s="1">
        <f t="shared" si="2"/>
        <v>19.635355995622859</v>
      </c>
      <c r="O10">
        <v>7.9</v>
      </c>
      <c r="P10" s="1">
        <f t="shared" si="3"/>
        <v>3.1971300000000001E-2</v>
      </c>
      <c r="Q10" s="1">
        <f t="shared" ref="Q10:Q26" si="12">O10*0.404685642</f>
        <v>3.1970165718000003</v>
      </c>
      <c r="R10" s="1">
        <f t="shared" si="9"/>
        <v>8.8764044943820224</v>
      </c>
      <c r="S10" s="1">
        <f t="shared" si="5"/>
        <v>27.837466727971648</v>
      </c>
      <c r="T10" s="105">
        <v>0.20949999999999999</v>
      </c>
      <c r="U10" s="1">
        <f>1/T10</f>
        <v>4.7732696897374707</v>
      </c>
      <c r="V10" s="1">
        <f>T10*R10</f>
        <v>1.8596067415730335</v>
      </c>
      <c r="W10">
        <v>33.964523</v>
      </c>
      <c r="X10">
        <v>-117.674453</v>
      </c>
      <c r="Y10" t="s">
        <v>21</v>
      </c>
      <c r="Z10" s="100" t="s">
        <v>474</v>
      </c>
      <c r="AA10" s="11" t="s">
        <v>95</v>
      </c>
      <c r="AB10" s="111">
        <v>0.19600000000000001</v>
      </c>
      <c r="AC10" s="15" t="s">
        <v>391</v>
      </c>
      <c r="AD10" t="s">
        <v>421</v>
      </c>
      <c r="AE10" t="s">
        <v>29</v>
      </c>
      <c r="AF10" t="s">
        <v>420</v>
      </c>
      <c r="AG10" s="15" t="s">
        <v>385</v>
      </c>
      <c r="AI10">
        <v>1</v>
      </c>
      <c r="AK10" s="100">
        <v>2220</v>
      </c>
      <c r="AL10">
        <v>2474.35</v>
      </c>
      <c r="AM10">
        <f t="shared" si="10"/>
        <v>5.0858890872032445</v>
      </c>
      <c r="AN10">
        <f t="shared" si="11"/>
        <v>3.5873681954380028</v>
      </c>
      <c r="AO10">
        <v>2889.44</v>
      </c>
      <c r="AP10">
        <f t="shared" si="6"/>
        <v>4.3552624947814609</v>
      </c>
      <c r="AQ10">
        <v>1589.11</v>
      </c>
      <c r="AR10">
        <f t="shared" si="7"/>
        <v>7.9190676938168831</v>
      </c>
    </row>
    <row r="11" spans="1:64" x14ac:dyDescent="0.3">
      <c r="A11" s="351" t="s">
        <v>26</v>
      </c>
      <c r="B11" s="11" t="s">
        <v>49</v>
      </c>
      <c r="C11" s="11"/>
      <c r="D11">
        <v>2008</v>
      </c>
      <c r="E11" s="42">
        <v>917.91300000000001</v>
      </c>
      <c r="F11" s="94">
        <v>1088.96</v>
      </c>
      <c r="H11">
        <v>5312</v>
      </c>
      <c r="I11" t="s">
        <v>8</v>
      </c>
      <c r="J11">
        <v>7.95</v>
      </c>
      <c r="K11" s="9">
        <f t="shared" si="0"/>
        <v>3.2173650000000005E-2</v>
      </c>
      <c r="L11" s="9">
        <f t="shared" si="1"/>
        <v>3.2172508539</v>
      </c>
      <c r="M11" s="1">
        <f t="shared" si="8"/>
        <v>8.6609515280859952</v>
      </c>
      <c r="N11" s="1">
        <f t="shared" si="2"/>
        <v>28.529961630091702</v>
      </c>
      <c r="O11">
        <v>6.08</v>
      </c>
      <c r="P11" s="1">
        <f t="shared" si="3"/>
        <v>2.4605760000000001E-2</v>
      </c>
      <c r="Q11" s="1">
        <f t="shared" si="12"/>
        <v>2.4604887033600003</v>
      </c>
      <c r="R11" s="1">
        <f t="shared" si="9"/>
        <v>6.6237214202217425</v>
      </c>
      <c r="S11" s="1">
        <f t="shared" si="5"/>
        <v>37.304801802504777</v>
      </c>
      <c r="T11" s="1">
        <f>1.62719/4.28625</f>
        <v>0.37963021289005539</v>
      </c>
      <c r="U11" s="1">
        <f>1/T11</f>
        <v>2.6341422943847985</v>
      </c>
      <c r="V11" s="1">
        <f>T11*R11</f>
        <v>2.5145647728832001</v>
      </c>
      <c r="W11">
        <v>38.231990000000003</v>
      </c>
      <c r="X11">
        <v>-122.092904</v>
      </c>
      <c r="Y11" t="s">
        <v>21</v>
      </c>
      <c r="Z11" t="s">
        <v>776</v>
      </c>
      <c r="AA11" t="s">
        <v>94</v>
      </c>
      <c r="AB11" s="15">
        <v>0.14799999999999999</v>
      </c>
      <c r="AC11" s="15" t="s">
        <v>399</v>
      </c>
      <c r="AD11" s="15" t="s">
        <v>78</v>
      </c>
      <c r="AE11" t="s">
        <v>29</v>
      </c>
      <c r="AF11" t="s">
        <v>34</v>
      </c>
      <c r="AG11" s="15" t="s">
        <v>353</v>
      </c>
      <c r="AI11">
        <v>1</v>
      </c>
      <c r="AK11">
        <v>1890</v>
      </c>
      <c r="AL11">
        <v>2242.61</v>
      </c>
      <c r="AM11">
        <f t="shared" si="10"/>
        <v>3.8619963025608528</v>
      </c>
      <c r="AN11">
        <f t="shared" si="11"/>
        <v>2.953577046486791</v>
      </c>
      <c r="AO11">
        <v>2672.17</v>
      </c>
      <c r="AP11">
        <f t="shared" si="6"/>
        <v>3.2411678628552805</v>
      </c>
      <c r="AQ11">
        <v>1468.97</v>
      </c>
      <c r="AR11">
        <f t="shared" si="7"/>
        <v>5.8959349258909262</v>
      </c>
    </row>
    <row r="12" spans="1:64" x14ac:dyDescent="0.3">
      <c r="A12" s="351" t="s">
        <v>35</v>
      </c>
      <c r="B12" s="11" t="s">
        <v>165</v>
      </c>
      <c r="C12" s="11"/>
      <c r="D12">
        <v>2009</v>
      </c>
      <c r="E12" s="18">
        <f>F12*$F$289</f>
        <v>936.54848012536013</v>
      </c>
      <c r="F12" s="18">
        <v>1100</v>
      </c>
      <c r="G12" s="11">
        <v>10</v>
      </c>
      <c r="H12">
        <v>5400</v>
      </c>
      <c r="I12" t="s">
        <v>165</v>
      </c>
      <c r="J12">
        <v>9</v>
      </c>
      <c r="K12" s="9">
        <f t="shared" si="0"/>
        <v>3.6423000000000004E-2</v>
      </c>
      <c r="L12" s="9">
        <f t="shared" si="1"/>
        <v>3.6421707780000001</v>
      </c>
      <c r="M12" s="1">
        <f t="shared" si="8"/>
        <v>9.6097534628376309</v>
      </c>
      <c r="N12" s="1">
        <f t="shared" si="2"/>
        <v>25.713106556993111</v>
      </c>
      <c r="O12">
        <v>6.4</v>
      </c>
      <c r="P12" s="1">
        <f t="shared" si="3"/>
        <v>2.5900800000000002E-2</v>
      </c>
      <c r="Q12" s="1">
        <f t="shared" si="12"/>
        <v>2.5899881088000001</v>
      </c>
      <c r="R12" s="1">
        <f t="shared" si="9"/>
        <v>6.8336024624623155</v>
      </c>
      <c r="S12" s="1">
        <f t="shared" si="5"/>
        <v>36.159056095771561</v>
      </c>
      <c r="T12" s="1"/>
      <c r="U12" s="1"/>
      <c r="V12" s="1"/>
      <c r="W12">
        <v>33.052171999999999</v>
      </c>
      <c r="X12">
        <v>-111.489773</v>
      </c>
      <c r="Y12" t="s">
        <v>21</v>
      </c>
      <c r="Z12" t="s">
        <v>776</v>
      </c>
      <c r="AA12" s="69" t="s">
        <v>96</v>
      </c>
      <c r="AB12" s="15"/>
      <c r="AC12" s="15"/>
      <c r="AE12" t="s">
        <v>29</v>
      </c>
      <c r="AF12" t="s">
        <v>157</v>
      </c>
      <c r="AG12" s="15" t="s">
        <v>352</v>
      </c>
      <c r="AI12">
        <v>1</v>
      </c>
      <c r="AK12">
        <v>2119</v>
      </c>
      <c r="AL12">
        <v>2537.4499999999998</v>
      </c>
      <c r="AM12">
        <f t="shared" si="10"/>
        <v>3.7871695847554165</v>
      </c>
      <c r="AN12">
        <f t="shared" si="11"/>
        <v>2.6930983713816299</v>
      </c>
      <c r="AO12">
        <v>2672.06</v>
      </c>
      <c r="AP12">
        <f t="shared" si="6"/>
        <v>3.5963838622028064</v>
      </c>
      <c r="AQ12">
        <v>1469.39</v>
      </c>
      <c r="AR12">
        <f t="shared" si="7"/>
        <v>6.5399611150461272</v>
      </c>
    </row>
    <row r="13" spans="1:64" x14ac:dyDescent="0.3">
      <c r="A13" s="351" t="s">
        <v>26</v>
      </c>
      <c r="B13" s="11" t="s">
        <v>52</v>
      </c>
      <c r="C13" s="11"/>
      <c r="D13">
        <v>2009</v>
      </c>
      <c r="E13" s="42">
        <v>924.13400000000001</v>
      </c>
      <c r="F13" s="94">
        <v>1102.08</v>
      </c>
      <c r="H13">
        <v>5376</v>
      </c>
      <c r="I13" t="s">
        <v>33</v>
      </c>
      <c r="J13">
        <v>9</v>
      </c>
      <c r="K13" s="9">
        <f t="shared" si="0"/>
        <v>3.6423000000000004E-2</v>
      </c>
      <c r="L13" s="9">
        <f t="shared" si="1"/>
        <v>3.6421707780000001</v>
      </c>
      <c r="M13" s="1">
        <f t="shared" si="8"/>
        <v>9.7388473965896711</v>
      </c>
      <c r="N13" s="1">
        <f t="shared" si="2"/>
        <v>25.372264777750321</v>
      </c>
      <c r="O13">
        <v>6.5339999999999998</v>
      </c>
      <c r="P13" s="1">
        <f t="shared" si="3"/>
        <v>2.6443098000000002E-2</v>
      </c>
      <c r="Q13" s="1">
        <f t="shared" si="12"/>
        <v>2.644215984828</v>
      </c>
      <c r="R13" s="1">
        <f t="shared" si="9"/>
        <v>7.0704032099241019</v>
      </c>
      <c r="S13" s="1">
        <f t="shared" si="5"/>
        <v>34.948023109848926</v>
      </c>
      <c r="T13" s="1">
        <f>1.94469/5.67531</f>
        <v>0.34265793410404016</v>
      </c>
      <c r="U13" s="1">
        <f>1/T13</f>
        <v>2.918362309674035</v>
      </c>
      <c r="V13" s="1">
        <f>T13*R13</f>
        <v>2.4227297571951669</v>
      </c>
      <c r="W13">
        <v>34.594321000000001</v>
      </c>
      <c r="X13">
        <v>-117.19450999999999</v>
      </c>
      <c r="Y13" t="s">
        <v>21</v>
      </c>
      <c r="Z13" t="s">
        <v>776</v>
      </c>
      <c r="AA13" t="s">
        <v>94</v>
      </c>
      <c r="AB13" s="15">
        <v>0.14799999999999999</v>
      </c>
      <c r="AC13" s="15" t="s">
        <v>399</v>
      </c>
      <c r="AD13" s="15" t="s">
        <v>78</v>
      </c>
      <c r="AE13" t="s">
        <v>29</v>
      </c>
      <c r="AF13" t="s">
        <v>53</v>
      </c>
      <c r="AG13" s="15" t="s">
        <v>353</v>
      </c>
      <c r="AI13">
        <v>1</v>
      </c>
      <c r="AK13">
        <v>2305</v>
      </c>
      <c r="AL13">
        <v>2749.51</v>
      </c>
      <c r="AM13">
        <f t="shared" si="10"/>
        <v>3.5420301786826274</v>
      </c>
      <c r="AN13">
        <f t="shared" si="11"/>
        <v>2.5715139097235875</v>
      </c>
      <c r="AO13">
        <v>2672.22</v>
      </c>
      <c r="AP13">
        <f t="shared" si="6"/>
        <v>3.6444781479779631</v>
      </c>
      <c r="AQ13">
        <v>1468.74</v>
      </c>
      <c r="AR13">
        <f t="shared" si="7"/>
        <v>6.6307497559742838</v>
      </c>
    </row>
    <row r="14" spans="1:64" x14ac:dyDescent="0.3">
      <c r="A14" s="351" t="s">
        <v>26</v>
      </c>
      <c r="B14" s="11" t="s">
        <v>473</v>
      </c>
      <c r="C14" s="11"/>
      <c r="D14">
        <v>2008</v>
      </c>
      <c r="E14" s="18">
        <f>F14*$F$289</f>
        <v>953.57663430945763</v>
      </c>
      <c r="F14" s="18">
        <v>1120</v>
      </c>
      <c r="H14">
        <v>4870</v>
      </c>
      <c r="I14" t="s">
        <v>389</v>
      </c>
      <c r="J14" s="74">
        <v>11.54</v>
      </c>
      <c r="K14" s="9">
        <f t="shared" si="0"/>
        <v>4.6702380000000002E-2</v>
      </c>
      <c r="L14" s="9">
        <f t="shared" si="1"/>
        <v>4.67007230868</v>
      </c>
      <c r="M14" s="1">
        <f t="shared" si="8"/>
        <v>12.10180659298223</v>
      </c>
      <c r="N14" s="1">
        <f t="shared" si="2"/>
        <v>20.418159295296249</v>
      </c>
      <c r="O14" s="11">
        <v>7.6</v>
      </c>
      <c r="P14" s="1">
        <f t="shared" si="3"/>
        <v>3.0757200000000002E-2</v>
      </c>
      <c r="Q14" s="1">
        <f t="shared" si="12"/>
        <v>3.0756108792000001</v>
      </c>
      <c r="R14" s="1">
        <f t="shared" si="9"/>
        <v>7.9699939433851776</v>
      </c>
      <c r="S14" s="1">
        <f t="shared" si="5"/>
        <v>31.003362929962986</v>
      </c>
      <c r="T14" s="100">
        <v>0.23</v>
      </c>
      <c r="U14" s="1">
        <f>1/T14</f>
        <v>4.3478260869565215</v>
      </c>
      <c r="V14" s="1">
        <f>T14*R14</f>
        <v>1.8330986069785908</v>
      </c>
      <c r="W14">
        <v>33.536287999999999</v>
      </c>
      <c r="X14">
        <v>-117.193406</v>
      </c>
      <c r="Y14" t="s">
        <v>21</v>
      </c>
      <c r="Z14" s="100" t="s">
        <v>474</v>
      </c>
      <c r="AA14" s="100"/>
      <c r="AB14" s="15">
        <v>0.19</v>
      </c>
      <c r="AC14" t="s">
        <v>391</v>
      </c>
      <c r="AD14" t="s">
        <v>421</v>
      </c>
      <c r="AE14" t="s">
        <v>29</v>
      </c>
      <c r="AF14" t="s">
        <v>475</v>
      </c>
      <c r="AG14" s="15" t="s">
        <v>385</v>
      </c>
      <c r="AI14">
        <v>1</v>
      </c>
      <c r="AK14" s="100">
        <v>2169</v>
      </c>
      <c r="AL14">
        <v>2596.79</v>
      </c>
      <c r="AM14">
        <f t="shared" si="10"/>
        <v>4.6602946687957942</v>
      </c>
      <c r="AN14">
        <f t="shared" si="11"/>
        <v>3.0691715323091886</v>
      </c>
      <c r="AO14">
        <v>2891.1</v>
      </c>
      <c r="AP14">
        <f t="shared" si="6"/>
        <v>4.1858830870541421</v>
      </c>
      <c r="AQ14">
        <v>1587.88</v>
      </c>
      <c r="AR14">
        <f t="shared" si="7"/>
        <v>7.6213609296560376</v>
      </c>
    </row>
    <row r="15" spans="1:64" x14ac:dyDescent="0.3">
      <c r="A15" s="351" t="s">
        <v>527</v>
      </c>
      <c r="B15" s="11" t="s">
        <v>526</v>
      </c>
      <c r="C15" s="11"/>
      <c r="D15">
        <v>2010</v>
      </c>
      <c r="E15" s="42">
        <v>940</v>
      </c>
      <c r="F15" s="94">
        <v>1000</v>
      </c>
      <c r="H15">
        <v>4500</v>
      </c>
      <c r="I15" t="s">
        <v>389</v>
      </c>
      <c r="J15" s="74">
        <v>10</v>
      </c>
      <c r="K15" s="9">
        <f t="shared" si="0"/>
        <v>4.0470000000000006E-2</v>
      </c>
      <c r="L15" s="9">
        <f t="shared" si="1"/>
        <v>4.0468564200000001</v>
      </c>
      <c r="M15" s="1">
        <f t="shared" si="8"/>
        <v>10.638297872340425</v>
      </c>
      <c r="N15" s="1">
        <f t="shared" si="2"/>
        <v>23.227081788979486</v>
      </c>
      <c r="O15" s="11">
        <v>6.1</v>
      </c>
      <c r="P15" s="1">
        <f t="shared" si="3"/>
        <v>2.4686699999999999E-2</v>
      </c>
      <c r="Q15" s="1">
        <f t="shared" si="12"/>
        <v>2.4685824161999999</v>
      </c>
      <c r="R15" s="1">
        <f t="shared" si="9"/>
        <v>6.4893617021276597</v>
      </c>
      <c r="S15" s="1">
        <f t="shared" si="5"/>
        <v>38.077183260622114</v>
      </c>
      <c r="T15" s="11">
        <v>0.38575999999999999</v>
      </c>
      <c r="U15" s="1">
        <f>1/T15</f>
        <v>2.5922853587722936</v>
      </c>
      <c r="V15" s="1">
        <f>T15*R15</f>
        <v>2.5033361702127661</v>
      </c>
      <c r="W15">
        <v>35.25421</v>
      </c>
      <c r="X15">
        <v>-81.595889999999997</v>
      </c>
      <c r="Y15" t="s">
        <v>21</v>
      </c>
      <c r="Z15" t="s">
        <v>776</v>
      </c>
      <c r="AA15" s="11" t="s">
        <v>96</v>
      </c>
      <c r="AB15" s="15">
        <v>0.19</v>
      </c>
      <c r="AC15" s="11" t="s">
        <v>391</v>
      </c>
      <c r="AD15" t="s">
        <v>389</v>
      </c>
      <c r="AE15" t="s">
        <v>29</v>
      </c>
      <c r="AF15" t="s">
        <v>157</v>
      </c>
      <c r="AG15" s="15" t="s">
        <v>380</v>
      </c>
      <c r="AI15">
        <v>1</v>
      </c>
      <c r="AK15">
        <v>1822</v>
      </c>
      <c r="AL15">
        <v>1938.31</v>
      </c>
      <c r="AM15">
        <f t="shared" si="10"/>
        <v>5.4884398637681411</v>
      </c>
      <c r="AN15">
        <f t="shared" si="11"/>
        <v>3.3479483168985662</v>
      </c>
      <c r="AO15">
        <v>2670.14</v>
      </c>
      <c r="AP15">
        <f t="shared" si="6"/>
        <v>3.9841723176838766</v>
      </c>
      <c r="AQ15">
        <v>1472.8</v>
      </c>
      <c r="AR15">
        <f t="shared" si="7"/>
        <v>7.2231788921377147</v>
      </c>
    </row>
    <row r="16" spans="1:64" x14ac:dyDescent="0.3">
      <c r="A16" s="351" t="s">
        <v>26</v>
      </c>
      <c r="B16" s="11" t="s">
        <v>46</v>
      </c>
      <c r="C16" s="11"/>
      <c r="D16">
        <v>2008</v>
      </c>
      <c r="E16" s="42">
        <v>995.51400000000001</v>
      </c>
      <c r="F16" s="94">
        <v>1179.52</v>
      </c>
      <c r="H16">
        <v>6208</v>
      </c>
      <c r="I16" t="s">
        <v>33</v>
      </c>
      <c r="J16">
        <v>12.13</v>
      </c>
      <c r="K16" s="9">
        <f t="shared" si="0"/>
        <v>4.9090110000000006E-2</v>
      </c>
      <c r="L16" s="9">
        <f t="shared" si="1"/>
        <v>4.9088368374600009</v>
      </c>
      <c r="M16" s="1">
        <f t="shared" si="8"/>
        <v>12.184660386493812</v>
      </c>
      <c r="N16" s="1">
        <f t="shared" si="2"/>
        <v>20.279318991136908</v>
      </c>
      <c r="O16">
        <v>7.6</v>
      </c>
      <c r="P16" s="1">
        <f t="shared" si="3"/>
        <v>3.0757200000000002E-2</v>
      </c>
      <c r="Q16" s="1">
        <f t="shared" si="12"/>
        <v>3.0756108792000001</v>
      </c>
      <c r="R16" s="1">
        <f t="shared" si="9"/>
        <v>7.6342472330876303</v>
      </c>
      <c r="S16" s="1">
        <f t="shared" si="5"/>
        <v>32.366860442432987</v>
      </c>
      <c r="T16" s="1">
        <f>(15 +5/12 -10 - 4/12)/15.5</f>
        <v>0.32795698924731181</v>
      </c>
      <c r="U16" s="1">
        <f>1/T16</f>
        <v>3.0491803278688527</v>
      </c>
      <c r="V16" s="1">
        <f>T16*R16</f>
        <v>2.5037047377330399</v>
      </c>
      <c r="W16">
        <v>33.563845999999998</v>
      </c>
      <c r="X16">
        <v>-114.918655</v>
      </c>
      <c r="Y16" t="s">
        <v>21</v>
      </c>
      <c r="Z16" t="s">
        <v>776</v>
      </c>
      <c r="AA16" t="s">
        <v>94</v>
      </c>
      <c r="AB16" s="15">
        <v>0.12720000000000001</v>
      </c>
      <c r="AC16" s="15" t="s">
        <v>67</v>
      </c>
      <c r="AD16" s="15" t="s">
        <v>76</v>
      </c>
      <c r="AE16" t="s">
        <v>29</v>
      </c>
      <c r="AF16" t="s">
        <v>34</v>
      </c>
      <c r="AG16" s="15" t="s">
        <v>353</v>
      </c>
      <c r="AI16">
        <v>1</v>
      </c>
      <c r="AK16">
        <v>2214</v>
      </c>
      <c r="AL16">
        <v>2623.37</v>
      </c>
      <c r="AM16">
        <f t="shared" si="10"/>
        <v>4.6446594977047893</v>
      </c>
      <c r="AN16">
        <f t="shared" si="11"/>
        <v>2.910091688586677</v>
      </c>
      <c r="AO16">
        <v>2672.15</v>
      </c>
      <c r="AP16">
        <f t="shared" si="6"/>
        <v>4.5598714093497037</v>
      </c>
      <c r="AQ16">
        <v>1469.02</v>
      </c>
      <c r="AR16">
        <f t="shared" si="7"/>
        <v>8.2944142261465554</v>
      </c>
    </row>
    <row r="17" spans="1:44" x14ac:dyDescent="0.3">
      <c r="A17" s="351" t="s">
        <v>3</v>
      </c>
      <c r="B17" t="s">
        <v>32</v>
      </c>
      <c r="D17">
        <v>2009</v>
      </c>
      <c r="E17" s="42">
        <v>1000</v>
      </c>
      <c r="F17" s="94">
        <v>1083</v>
      </c>
      <c r="H17">
        <v>5670</v>
      </c>
      <c r="I17" t="s">
        <v>33</v>
      </c>
      <c r="J17">
        <v>10.66</v>
      </c>
      <c r="K17" s="9">
        <f t="shared" si="0"/>
        <v>4.3141020000000002E-2</v>
      </c>
      <c r="L17" s="9">
        <f t="shared" si="1"/>
        <v>4.3139489437199998</v>
      </c>
      <c r="M17" s="1">
        <f t="shared" si="8"/>
        <v>10.66</v>
      </c>
      <c r="N17" s="1">
        <f t="shared" si="2"/>
        <v>23.179795007164874</v>
      </c>
      <c r="O17">
        <v>6.6</v>
      </c>
      <c r="P17" s="1">
        <f t="shared" si="3"/>
        <v>2.67102E-2</v>
      </c>
      <c r="Q17" s="1">
        <f t="shared" si="12"/>
        <v>2.6709252372000001</v>
      </c>
      <c r="R17" s="1">
        <f t="shared" si="9"/>
        <v>6.6</v>
      </c>
      <c r="S17" s="1">
        <f t="shared" si="5"/>
        <v>37.438881026723877</v>
      </c>
      <c r="T17" s="1">
        <f>1.78594/3.84969</f>
        <v>0.46391787390673017</v>
      </c>
      <c r="U17" s="1">
        <f>1/T17</f>
        <v>2.1555539379822388</v>
      </c>
      <c r="V17" s="1">
        <f>T17*R17</f>
        <v>3.0618579677844191</v>
      </c>
      <c r="W17">
        <v>39.909672999999998</v>
      </c>
      <c r="X17">
        <v>-105.231408</v>
      </c>
      <c r="Y17" t="s">
        <v>21</v>
      </c>
      <c r="Z17" t="s">
        <v>776</v>
      </c>
      <c r="AA17" t="s">
        <v>95</v>
      </c>
      <c r="AB17" s="15">
        <v>0.1305</v>
      </c>
      <c r="AC17" s="15" t="s">
        <v>67</v>
      </c>
      <c r="AD17" s="15" t="s">
        <v>70</v>
      </c>
      <c r="AE17" t="s">
        <v>29</v>
      </c>
      <c r="AF17" t="s">
        <v>34</v>
      </c>
      <c r="AG17" s="15" t="s">
        <v>353</v>
      </c>
      <c r="AI17">
        <v>1</v>
      </c>
      <c r="AK17">
        <v>2063</v>
      </c>
      <c r="AL17">
        <v>2233.86</v>
      </c>
      <c r="AM17">
        <f t="shared" si="10"/>
        <v>4.7720089889249993</v>
      </c>
      <c r="AN17">
        <f t="shared" si="11"/>
        <v>2.9545271413606935</v>
      </c>
      <c r="AO17">
        <v>2670.57</v>
      </c>
      <c r="AP17">
        <f t="shared" si="6"/>
        <v>3.9916572117562916</v>
      </c>
      <c r="AQ17">
        <v>1472.28</v>
      </c>
      <c r="AR17">
        <f t="shared" si="7"/>
        <v>7.2404705626647115</v>
      </c>
    </row>
    <row r="18" spans="1:44" x14ac:dyDescent="0.3">
      <c r="A18" s="351" t="s">
        <v>160</v>
      </c>
      <c r="B18" s="11" t="s">
        <v>519</v>
      </c>
      <c r="C18" s="11"/>
      <c r="D18">
        <v>2011</v>
      </c>
      <c r="E18" s="42">
        <v>1000</v>
      </c>
      <c r="F18" s="94">
        <v>1140.48</v>
      </c>
      <c r="G18">
        <v>5</v>
      </c>
      <c r="H18">
        <v>4224</v>
      </c>
      <c r="I18" t="s">
        <v>8</v>
      </c>
      <c r="J18" s="74">
        <v>9.1539999999999999</v>
      </c>
      <c r="K18" s="9">
        <f t="shared" si="0"/>
        <v>3.7046238000000002E-2</v>
      </c>
      <c r="L18" s="9">
        <f t="shared" si="1"/>
        <v>3.7044923668680001</v>
      </c>
      <c r="M18" s="1">
        <f t="shared" si="8"/>
        <v>9.1539999999999999</v>
      </c>
      <c r="N18" s="1">
        <f t="shared" si="2"/>
        <v>26.993294163904036</v>
      </c>
      <c r="O18" s="11">
        <v>6.91</v>
      </c>
      <c r="P18" s="1">
        <f t="shared" si="3"/>
        <v>2.7964770000000003E-2</v>
      </c>
      <c r="Q18" s="1">
        <f t="shared" si="12"/>
        <v>2.7963777862200003</v>
      </c>
      <c r="R18" s="1">
        <f t="shared" si="9"/>
        <v>6.91</v>
      </c>
      <c r="S18" s="1">
        <f t="shared" si="5"/>
        <v>35.759278549403405</v>
      </c>
      <c r="T18" s="11"/>
      <c r="U18" s="11"/>
      <c r="V18" s="11"/>
      <c r="W18">
        <v>35.629170000000002</v>
      </c>
      <c r="X18">
        <v>-106.08602999999999</v>
      </c>
      <c r="Y18" t="s">
        <v>21</v>
      </c>
      <c r="Z18" t="s">
        <v>776</v>
      </c>
      <c r="AA18" s="11"/>
      <c r="AB18" s="15">
        <v>0.13900000000000001</v>
      </c>
      <c r="AC18" s="11" t="s">
        <v>399</v>
      </c>
      <c r="AD18" t="s">
        <v>521</v>
      </c>
      <c r="AE18" t="s">
        <v>29</v>
      </c>
      <c r="AF18" t="s">
        <v>475</v>
      </c>
      <c r="AG18" s="15" t="s">
        <v>385</v>
      </c>
      <c r="AI18">
        <v>1</v>
      </c>
      <c r="AK18">
        <v>2272</v>
      </c>
      <c r="AL18">
        <v>2589.9899999999998</v>
      </c>
      <c r="AM18">
        <f t="shared" si="10"/>
        <v>3.5343765806045586</v>
      </c>
      <c r="AN18">
        <f t="shared" si="11"/>
        <v>2.6679639689728534</v>
      </c>
      <c r="AO18">
        <v>2671.63</v>
      </c>
      <c r="AP18">
        <f t="shared" si="6"/>
        <v>3.4263726638793539</v>
      </c>
      <c r="AQ18">
        <v>1470.54</v>
      </c>
      <c r="AR18">
        <f t="shared" si="7"/>
        <v>6.2249241775130226</v>
      </c>
    </row>
    <row r="19" spans="1:44" ht="15.6" x14ac:dyDescent="0.3">
      <c r="A19" s="351" t="s">
        <v>26</v>
      </c>
      <c r="B19" s="11" t="s">
        <v>451</v>
      </c>
      <c r="C19" s="11"/>
      <c r="D19">
        <v>2011</v>
      </c>
      <c r="E19" s="42">
        <v>1000</v>
      </c>
      <c r="F19" s="94">
        <v>1159.2</v>
      </c>
      <c r="G19">
        <v>5.7</v>
      </c>
      <c r="H19">
        <v>5152</v>
      </c>
      <c r="I19" t="s">
        <v>452</v>
      </c>
      <c r="J19" s="74">
        <v>11.4</v>
      </c>
      <c r="K19" s="9">
        <f t="shared" si="0"/>
        <v>4.6135800000000005E-2</v>
      </c>
      <c r="L19" s="9">
        <f t="shared" si="1"/>
        <v>4.6134163188000006</v>
      </c>
      <c r="M19" s="1">
        <f t="shared" si="8"/>
        <v>11.4</v>
      </c>
      <c r="N19" s="1">
        <f t="shared" si="2"/>
        <v>21.675141647050662</v>
      </c>
      <c r="O19">
        <v>7.44</v>
      </c>
      <c r="P19" s="1">
        <f t="shared" si="3"/>
        <v>3.0109680000000003E-2</v>
      </c>
      <c r="Q19" s="1">
        <f t="shared" si="12"/>
        <v>3.0108611764800002</v>
      </c>
      <c r="R19" s="1">
        <f t="shared" si="9"/>
        <v>7.44</v>
      </c>
      <c r="S19" s="1">
        <f t="shared" si="5"/>
        <v>33.211910588222786</v>
      </c>
      <c r="W19">
        <v>37.633339999999997</v>
      </c>
      <c r="X19">
        <v>-122.139881</v>
      </c>
      <c r="Y19" t="s">
        <v>21</v>
      </c>
      <c r="Z19" t="s">
        <v>776</v>
      </c>
      <c r="AA19" s="11" t="s">
        <v>96</v>
      </c>
      <c r="AB19" s="15">
        <v>0.13600000000000001</v>
      </c>
      <c r="AC19" t="s">
        <v>399</v>
      </c>
      <c r="AD19" s="80" t="s">
        <v>453</v>
      </c>
      <c r="AE19" t="s">
        <v>29</v>
      </c>
      <c r="AF19" t="s">
        <v>157</v>
      </c>
      <c r="AG19" s="15" t="s">
        <v>380</v>
      </c>
      <c r="AI19">
        <v>1</v>
      </c>
      <c r="AL19">
        <v>2175.94</v>
      </c>
      <c r="AM19">
        <f>1/(AL19/$M19/1000)</f>
        <v>5.239115049128193</v>
      </c>
      <c r="AN19">
        <f t="shared" si="11"/>
        <v>3.4192119267994525</v>
      </c>
      <c r="AO19">
        <v>2671.88</v>
      </c>
      <c r="AP19">
        <f t="shared" si="6"/>
        <v>4.2666586822761507</v>
      </c>
      <c r="AQ19">
        <v>1469.92</v>
      </c>
      <c r="AR19">
        <f t="shared" si="7"/>
        <v>7.7555241101556538</v>
      </c>
    </row>
    <row r="20" spans="1:44" x14ac:dyDescent="0.3">
      <c r="A20" s="351" t="s">
        <v>47</v>
      </c>
      <c r="B20" s="11" t="s">
        <v>48</v>
      </c>
      <c r="C20" s="11"/>
      <c r="D20">
        <v>2008</v>
      </c>
      <c r="E20" s="42">
        <v>1000</v>
      </c>
      <c r="F20" s="94">
        <v>1189</v>
      </c>
      <c r="H20">
        <v>5730</v>
      </c>
      <c r="I20" t="s">
        <v>8</v>
      </c>
      <c r="J20">
        <v>9.5</v>
      </c>
      <c r="K20" s="9">
        <f t="shared" si="0"/>
        <v>3.8446500000000002E-2</v>
      </c>
      <c r="L20" s="9">
        <f t="shared" si="1"/>
        <v>3.8445135989999999</v>
      </c>
      <c r="M20" s="1">
        <f t="shared" si="8"/>
        <v>9.5</v>
      </c>
      <c r="N20" s="1">
        <f t="shared" si="2"/>
        <v>26.010169976460794</v>
      </c>
      <c r="O20">
        <v>7.66</v>
      </c>
      <c r="P20" s="1">
        <f t="shared" si="3"/>
        <v>3.1000020000000003E-2</v>
      </c>
      <c r="Q20" s="1">
        <f t="shared" si="12"/>
        <v>3.0998920177200002</v>
      </c>
      <c r="R20" s="1">
        <f t="shared" si="9"/>
        <v>7.66</v>
      </c>
      <c r="S20" s="1">
        <f t="shared" si="5"/>
        <v>32.258043704487932</v>
      </c>
      <c r="T20" s="1">
        <f>6.5/19.5</f>
        <v>0.33333333333333331</v>
      </c>
      <c r="U20" s="1">
        <f>1/T20</f>
        <v>3</v>
      </c>
      <c r="V20" s="1">
        <f>T20*R20</f>
        <v>2.5533333333333332</v>
      </c>
      <c r="W20">
        <v>34.288353999999998</v>
      </c>
      <c r="X20">
        <v>-77.981172000000001</v>
      </c>
      <c r="Y20" t="s">
        <v>21</v>
      </c>
      <c r="Z20" t="s">
        <v>776</v>
      </c>
      <c r="AA20" t="s">
        <v>94</v>
      </c>
      <c r="AB20" s="15">
        <v>0.13800000000000001</v>
      </c>
      <c r="AC20" s="15" t="s">
        <v>399</v>
      </c>
      <c r="AD20" s="15" t="s">
        <v>77</v>
      </c>
      <c r="AE20" t="s">
        <v>29</v>
      </c>
      <c r="AF20" t="s">
        <v>34</v>
      </c>
      <c r="AG20" s="15" t="s">
        <v>353</v>
      </c>
      <c r="AI20">
        <v>1</v>
      </c>
      <c r="AL20">
        <v>1944.16</v>
      </c>
      <c r="AM20">
        <f t="shared" si="10"/>
        <v>4.8864291004855565</v>
      </c>
      <c r="AN20">
        <f t="shared" si="11"/>
        <v>3.9400049378651958</v>
      </c>
      <c r="AO20">
        <v>2672.19</v>
      </c>
      <c r="AP20">
        <f t="shared" si="6"/>
        <v>3.5551364236824479</v>
      </c>
      <c r="AQ20">
        <v>1468.87</v>
      </c>
      <c r="AR20">
        <f t="shared" si="7"/>
        <v>6.4675566932403825</v>
      </c>
    </row>
    <row r="21" spans="1:44" x14ac:dyDescent="0.3">
      <c r="A21" s="352" t="s">
        <v>3</v>
      </c>
      <c r="B21" s="11" t="s">
        <v>44</v>
      </c>
      <c r="C21" s="11"/>
      <c r="D21">
        <v>2009</v>
      </c>
      <c r="E21" s="42">
        <v>1329.79</v>
      </c>
      <c r="F21" s="94">
        <v>1727</v>
      </c>
      <c r="H21">
        <v>6248</v>
      </c>
      <c r="I21" t="s">
        <v>8</v>
      </c>
      <c r="J21">
        <v>10.78</v>
      </c>
      <c r="K21" s="9">
        <f t="shared" si="0"/>
        <v>4.3626659999999998E-2</v>
      </c>
      <c r="L21" s="9">
        <f t="shared" si="1"/>
        <v>4.3625112207600001</v>
      </c>
      <c r="M21" s="1">
        <f t="shared" si="8"/>
        <v>8.106543138390272</v>
      </c>
      <c r="N21" s="1">
        <f t="shared" si="2"/>
        <v>30.481132408486005</v>
      </c>
      <c r="O21">
        <v>7.61</v>
      </c>
      <c r="P21" s="1">
        <f t="shared" si="3"/>
        <v>3.0797670000000003E-2</v>
      </c>
      <c r="Q21" s="1">
        <f t="shared" si="12"/>
        <v>3.0796577356200001</v>
      </c>
      <c r="R21" s="1">
        <f t="shared" si="9"/>
        <v>5.7227080967671586</v>
      </c>
      <c r="S21" s="1">
        <f t="shared" si="5"/>
        <v>43.178266407815912</v>
      </c>
      <c r="T21" s="1">
        <f>0.64823/1.48167</f>
        <v>0.43749957817867674</v>
      </c>
      <c r="U21" s="1">
        <f>1/T21</f>
        <v>2.2857164895176094</v>
      </c>
      <c r="V21" s="1">
        <f>T21*R21</f>
        <v>2.5036823783753297</v>
      </c>
      <c r="W21">
        <v>39.525114000000002</v>
      </c>
      <c r="X21">
        <v>-107.814288</v>
      </c>
      <c r="Y21" t="s">
        <v>21</v>
      </c>
      <c r="Z21" t="s">
        <v>776</v>
      </c>
      <c r="AA21" t="s">
        <v>96</v>
      </c>
      <c r="AB21" s="15">
        <v>0.13919999999999999</v>
      </c>
      <c r="AC21" s="15" t="s">
        <v>391</v>
      </c>
      <c r="AD21" s="15" t="s">
        <v>74</v>
      </c>
      <c r="AE21" t="s">
        <v>29</v>
      </c>
      <c r="AF21" t="s">
        <v>34</v>
      </c>
      <c r="AG21" s="15" t="s">
        <v>353</v>
      </c>
      <c r="AI21">
        <v>1</v>
      </c>
      <c r="AL21">
        <v>2336.41</v>
      </c>
      <c r="AM21">
        <f t="shared" si="10"/>
        <v>3.4696577819775949</v>
      </c>
      <c r="AN21">
        <f t="shared" si="11"/>
        <v>2.4493595288357604</v>
      </c>
      <c r="AO21">
        <v>2672.03</v>
      </c>
      <c r="AP21">
        <f t="shared" si="6"/>
        <v>3.0338518423783682</v>
      </c>
      <c r="AQ21">
        <v>1464.44</v>
      </c>
      <c r="AR21">
        <f t="shared" si="7"/>
        <v>5.5355925393940835</v>
      </c>
    </row>
    <row r="22" spans="1:44" x14ac:dyDescent="0.3">
      <c r="A22" s="351" t="s">
        <v>3</v>
      </c>
      <c r="B22" s="11" t="s">
        <v>156</v>
      </c>
      <c r="C22" s="11"/>
      <c r="D22">
        <v>2010</v>
      </c>
      <c r="E22" s="18">
        <f t="shared" ref="E22:E33" si="13">F22*$F$289</f>
        <v>1702.8154184097457</v>
      </c>
      <c r="F22" s="18">
        <v>2000</v>
      </c>
      <c r="H22">
        <v>8000</v>
      </c>
      <c r="I22" t="s">
        <v>159</v>
      </c>
      <c r="J22">
        <v>15</v>
      </c>
      <c r="K22" s="9">
        <f t="shared" si="0"/>
        <v>6.0705000000000002E-2</v>
      </c>
      <c r="L22" s="9">
        <f t="shared" si="1"/>
        <v>6.0702846299999997</v>
      </c>
      <c r="M22" s="1">
        <f t="shared" si="8"/>
        <v>8.8089406742678289</v>
      </c>
      <c r="N22" s="1">
        <f t="shared" si="2"/>
        <v>28.05066169853794</v>
      </c>
      <c r="O22">
        <v>12.8</v>
      </c>
      <c r="P22" s="1">
        <f t="shared" si="3"/>
        <v>5.1801600000000003E-2</v>
      </c>
      <c r="Q22" s="1">
        <f t="shared" si="12"/>
        <v>5.1799762176000002</v>
      </c>
      <c r="R22" s="1">
        <f t="shared" si="9"/>
        <v>7.5169627087085473</v>
      </c>
      <c r="S22" s="1">
        <f t="shared" si="5"/>
        <v>32.871869177974148</v>
      </c>
      <c r="T22" s="1">
        <v>0.315</v>
      </c>
      <c r="U22" s="1">
        <f>1/T22</f>
        <v>3.1746031746031744</v>
      </c>
      <c r="V22" s="1">
        <f>T22*R22</f>
        <v>2.3678432532431923</v>
      </c>
      <c r="W22">
        <v>40.592049000000003</v>
      </c>
      <c r="X22">
        <v>-105.14837</v>
      </c>
      <c r="Y22" t="s">
        <v>21</v>
      </c>
      <c r="Z22" t="s">
        <v>776</v>
      </c>
      <c r="AA22" t="s">
        <v>94</v>
      </c>
      <c r="AB22" s="15"/>
      <c r="AC22" s="15"/>
      <c r="AD22" s="15" t="s">
        <v>254</v>
      </c>
      <c r="AE22" t="s">
        <v>29</v>
      </c>
      <c r="AF22" t="s">
        <v>157</v>
      </c>
      <c r="AG22" s="15" t="s">
        <v>352</v>
      </c>
      <c r="AI22">
        <v>1</v>
      </c>
      <c r="AL22">
        <v>2140.46</v>
      </c>
      <c r="AM22">
        <f t="shared" si="10"/>
        <v>4.1154427899927253</v>
      </c>
      <c r="AN22">
        <f t="shared" si="11"/>
        <v>3.5118445141271257</v>
      </c>
      <c r="AO22">
        <v>2672.06</v>
      </c>
      <c r="AP22">
        <f t="shared" si="6"/>
        <v>3.2966852070192396</v>
      </c>
      <c r="AQ22">
        <v>1469.39</v>
      </c>
      <c r="AR22">
        <f t="shared" si="7"/>
        <v>5.9949643554589507</v>
      </c>
    </row>
    <row r="23" spans="1:44" x14ac:dyDescent="0.3">
      <c r="A23" s="351" t="s">
        <v>3</v>
      </c>
      <c r="B23" s="11" t="s">
        <v>142</v>
      </c>
      <c r="C23" s="11"/>
      <c r="D23">
        <v>2008</v>
      </c>
      <c r="E23" s="18">
        <f t="shared" si="13"/>
        <v>1702.8154184097457</v>
      </c>
      <c r="F23" s="18">
        <v>2000</v>
      </c>
      <c r="H23">
        <v>9254</v>
      </c>
      <c r="J23">
        <v>9.9600000000000009</v>
      </c>
      <c r="K23" s="9">
        <f t="shared" si="0"/>
        <v>4.0308120000000003E-2</v>
      </c>
      <c r="L23" s="9">
        <f t="shared" si="1"/>
        <v>4.03066899432</v>
      </c>
      <c r="M23" s="1">
        <f t="shared" si="8"/>
        <v>5.8491366077138389</v>
      </c>
      <c r="N23" s="1">
        <f t="shared" si="2"/>
        <v>42.244972437557138</v>
      </c>
      <c r="O23" s="11">
        <v>9.9600000000000009</v>
      </c>
      <c r="P23" s="25">
        <f t="shared" si="3"/>
        <v>4.0308120000000003E-2</v>
      </c>
      <c r="Q23" s="1">
        <f t="shared" si="12"/>
        <v>4.03066899432</v>
      </c>
      <c r="R23" s="1">
        <f t="shared" si="9"/>
        <v>5.8491366077138389</v>
      </c>
      <c r="S23" s="25">
        <f t="shared" si="5"/>
        <v>42.244972437557138</v>
      </c>
      <c r="T23" s="1">
        <v>0.47</v>
      </c>
      <c r="U23" s="1">
        <f>1/T23</f>
        <v>2.1276595744680851</v>
      </c>
      <c r="V23" s="1">
        <f>T23*R23</f>
        <v>2.7490942056255041</v>
      </c>
      <c r="W23">
        <v>39.838630000000002</v>
      </c>
      <c r="X23">
        <v>-104.67359</v>
      </c>
      <c r="Y23" t="s">
        <v>21</v>
      </c>
      <c r="Z23" t="s">
        <v>776</v>
      </c>
      <c r="AA23" t="s">
        <v>95</v>
      </c>
      <c r="AB23" s="15"/>
      <c r="AC23" s="15"/>
      <c r="AD23" s="15"/>
      <c r="AE23" t="s">
        <v>29</v>
      </c>
      <c r="AF23" t="s">
        <v>110</v>
      </c>
      <c r="AG23" s="15" t="s">
        <v>252</v>
      </c>
      <c r="AI23">
        <v>1</v>
      </c>
      <c r="AL23">
        <v>2268.8000000000002</v>
      </c>
      <c r="AM23">
        <f t="shared" si="10"/>
        <v>2.5780750210304295</v>
      </c>
      <c r="AN23">
        <f t="shared" si="11"/>
        <v>2.5780750210304295</v>
      </c>
      <c r="AO23">
        <v>2672.06</v>
      </c>
      <c r="AP23">
        <f t="shared" si="6"/>
        <v>2.1889989774607752</v>
      </c>
      <c r="AQ23">
        <v>1469.39</v>
      </c>
      <c r="AR23">
        <f t="shared" si="7"/>
        <v>3.9806563320247448</v>
      </c>
    </row>
    <row r="24" spans="1:44" x14ac:dyDescent="0.3">
      <c r="A24" s="351" t="s">
        <v>413</v>
      </c>
      <c r="B24" s="11" t="s">
        <v>410</v>
      </c>
      <c r="C24" s="11"/>
      <c r="D24">
        <v>2011</v>
      </c>
      <c r="E24" s="18">
        <f t="shared" si="13"/>
        <v>1702.8154184097457</v>
      </c>
      <c r="F24" s="18">
        <v>2000</v>
      </c>
      <c r="G24">
        <v>6.6</v>
      </c>
      <c r="H24">
        <v>7142</v>
      </c>
      <c r="I24" t="s">
        <v>411</v>
      </c>
      <c r="J24" s="74">
        <v>13</v>
      </c>
      <c r="K24" s="9">
        <f t="shared" si="0"/>
        <v>5.2611000000000005E-2</v>
      </c>
      <c r="L24" s="9">
        <f t="shared" si="1"/>
        <v>5.2609133460000006</v>
      </c>
      <c r="M24" s="1">
        <f t="shared" si="8"/>
        <v>7.6344152510321184</v>
      </c>
      <c r="N24" s="1">
        <f t="shared" si="2"/>
        <v>32.366148113697619</v>
      </c>
      <c r="O24">
        <v>9</v>
      </c>
      <c r="P24" s="1">
        <f t="shared" si="3"/>
        <v>3.6423000000000004E-2</v>
      </c>
      <c r="Q24" s="1">
        <f t="shared" si="12"/>
        <v>3.6421707780000001</v>
      </c>
      <c r="R24" s="1">
        <f t="shared" si="9"/>
        <v>5.2853644045606973</v>
      </c>
      <c r="S24" s="1">
        <f t="shared" si="5"/>
        <v>46.751102830896563</v>
      </c>
      <c r="T24" s="1"/>
      <c r="U24" s="1"/>
      <c r="V24" s="1"/>
      <c r="W24">
        <v>37.031095999999998</v>
      </c>
      <c r="X24">
        <v>-86.333764000000002</v>
      </c>
      <c r="Y24" t="s">
        <v>21</v>
      </c>
      <c r="Z24">
        <v>0</v>
      </c>
      <c r="AA24" s="11" t="s">
        <v>95</v>
      </c>
      <c r="AB24" s="111"/>
      <c r="AD24" t="s">
        <v>412</v>
      </c>
      <c r="AE24" t="s">
        <v>29</v>
      </c>
      <c r="AF24" t="s">
        <v>157</v>
      </c>
      <c r="AG24" s="15" t="s">
        <v>380</v>
      </c>
      <c r="AI24">
        <v>1</v>
      </c>
      <c r="AL24">
        <v>1817.85</v>
      </c>
      <c r="AM24">
        <f t="shared" si="10"/>
        <v>4.1996948323745737</v>
      </c>
      <c r="AN24">
        <f t="shared" si="11"/>
        <v>2.907481037797782</v>
      </c>
      <c r="AO24">
        <v>2672.06</v>
      </c>
      <c r="AP24">
        <f t="shared" si="6"/>
        <v>2.8571271794166737</v>
      </c>
      <c r="AQ24">
        <v>1469.39</v>
      </c>
      <c r="AR24">
        <f t="shared" si="7"/>
        <v>5.1956357747310911</v>
      </c>
    </row>
    <row r="25" spans="1:44" x14ac:dyDescent="0.3">
      <c r="A25" s="351" t="s">
        <v>47</v>
      </c>
      <c r="B25" s="11" t="s">
        <v>414</v>
      </c>
      <c r="C25" s="11"/>
      <c r="D25">
        <v>2010</v>
      </c>
      <c r="E25" s="18">
        <f t="shared" si="13"/>
        <v>1873.0969602507203</v>
      </c>
      <c r="F25" s="94">
        <v>2200</v>
      </c>
      <c r="H25">
        <v>10276</v>
      </c>
      <c r="I25" t="s">
        <v>415</v>
      </c>
      <c r="J25" s="74">
        <v>17</v>
      </c>
      <c r="K25" s="9">
        <f t="shared" si="0"/>
        <v>6.8798999999999999E-2</v>
      </c>
      <c r="L25" s="9">
        <f t="shared" si="1"/>
        <v>6.8796559140000006</v>
      </c>
      <c r="M25" s="1">
        <f t="shared" si="8"/>
        <v>9.0758782704577623</v>
      </c>
      <c r="N25" s="1">
        <f t="shared" si="2"/>
        <v>27.225642236816238</v>
      </c>
      <c r="O25">
        <v>12</v>
      </c>
      <c r="P25" s="1">
        <f t="shared" si="3"/>
        <v>4.8564000000000003E-2</v>
      </c>
      <c r="Q25" s="1">
        <f t="shared" si="12"/>
        <v>4.8562277040000001</v>
      </c>
      <c r="R25" s="1">
        <f t="shared" si="9"/>
        <v>6.4065023085584203</v>
      </c>
      <c r="S25" s="1">
        <f t="shared" si="5"/>
        <v>38.569659835489666</v>
      </c>
      <c r="T25" s="1">
        <v>0.32400000000000001</v>
      </c>
      <c r="U25" s="1">
        <f>1/T25</f>
        <v>3.0864197530864197</v>
      </c>
      <c r="V25" s="1">
        <f>T25*R25</f>
        <v>2.0757067479729283</v>
      </c>
      <c r="W25">
        <v>35.813828999999998</v>
      </c>
      <c r="X25">
        <v>-78.750386000000006</v>
      </c>
      <c r="Y25" t="s">
        <v>21</v>
      </c>
      <c r="Z25" t="s">
        <v>776</v>
      </c>
      <c r="AA25" s="11" t="s">
        <v>95</v>
      </c>
      <c r="AB25" s="111">
        <v>0.1547</v>
      </c>
      <c r="AC25" t="s">
        <v>603</v>
      </c>
      <c r="AD25" t="s">
        <v>416</v>
      </c>
      <c r="AE25" t="s">
        <v>29</v>
      </c>
      <c r="AF25" t="s">
        <v>417</v>
      </c>
      <c r="AG25" s="15" t="s">
        <v>7</v>
      </c>
      <c r="AI25">
        <v>1</v>
      </c>
      <c r="AL25">
        <v>1910.26</v>
      </c>
      <c r="AM25">
        <f t="shared" si="10"/>
        <v>4.7511219783996745</v>
      </c>
      <c r="AN25">
        <f t="shared" si="11"/>
        <v>3.3537331612232997</v>
      </c>
      <c r="AO25">
        <v>2672.06</v>
      </c>
      <c r="AP25">
        <f t="shared" si="6"/>
        <v>3.3965847587470952</v>
      </c>
      <c r="AQ25">
        <v>1469.39</v>
      </c>
      <c r="AR25">
        <f t="shared" si="7"/>
        <v>6.1766299419880095</v>
      </c>
    </row>
    <row r="26" spans="1:44" x14ac:dyDescent="0.3">
      <c r="A26" s="351" t="s">
        <v>35</v>
      </c>
      <c r="B26" s="28" t="s">
        <v>631</v>
      </c>
      <c r="C26" s="28"/>
      <c r="D26">
        <v>2006</v>
      </c>
      <c r="E26" s="18">
        <f t="shared" si="13"/>
        <v>2409.4838170497901</v>
      </c>
      <c r="F26" s="18">
        <v>2830</v>
      </c>
      <c r="I26" t="s">
        <v>175</v>
      </c>
      <c r="J26">
        <v>19.2</v>
      </c>
      <c r="K26" s="9">
        <f t="shared" si="0"/>
        <v>7.7702400000000005E-2</v>
      </c>
      <c r="L26" s="9">
        <f t="shared" si="1"/>
        <v>7.7699643264000002</v>
      </c>
      <c r="M26" s="1">
        <f t="shared" si="8"/>
        <v>7.9685117053447492</v>
      </c>
      <c r="N26" s="1">
        <f t="shared" si="2"/>
        <v>31.009129924555616</v>
      </c>
      <c r="O26">
        <v>19</v>
      </c>
      <c r="P26" s="1">
        <f t="shared" si="3"/>
        <v>7.6893000000000003E-2</v>
      </c>
      <c r="Q26" s="1">
        <f t="shared" si="12"/>
        <v>7.6890271979999998</v>
      </c>
      <c r="R26" s="1">
        <f t="shared" si="9"/>
        <v>7.885506375080741</v>
      </c>
      <c r="S26" s="1">
        <f t="shared" si="5"/>
        <v>31.335541818498307</v>
      </c>
      <c r="T26" s="1">
        <v>0.51</v>
      </c>
      <c r="U26" s="1">
        <f>1/T26</f>
        <v>1.9607843137254901</v>
      </c>
      <c r="V26" s="1">
        <f>T26*R26</f>
        <v>4.0216082512911777</v>
      </c>
      <c r="W26">
        <v>34.677352999999997</v>
      </c>
      <c r="X26">
        <v>-112.405838</v>
      </c>
      <c r="Y26" t="s">
        <v>21</v>
      </c>
      <c r="Z26" t="s">
        <v>776</v>
      </c>
      <c r="AA26" t="s">
        <v>96</v>
      </c>
      <c r="AB26" s="15"/>
      <c r="AC26" s="15"/>
      <c r="AD26" s="15"/>
      <c r="AE26" t="s">
        <v>29</v>
      </c>
      <c r="AF26" t="s">
        <v>157</v>
      </c>
      <c r="AG26" s="15" t="s">
        <v>352</v>
      </c>
      <c r="AI26">
        <v>1</v>
      </c>
      <c r="AL26">
        <v>2669.98</v>
      </c>
      <c r="AM26">
        <f t="shared" si="10"/>
        <v>2.9844836685461118</v>
      </c>
      <c r="AN26">
        <f t="shared" si="11"/>
        <v>2.9533952969987567</v>
      </c>
      <c r="AO26">
        <v>2672.06</v>
      </c>
      <c r="AP26">
        <f t="shared" si="6"/>
        <v>2.9821604699537994</v>
      </c>
      <c r="AQ26">
        <v>1469.39</v>
      </c>
      <c r="AR26">
        <f t="shared" si="7"/>
        <v>5.4230066254328317</v>
      </c>
    </row>
    <row r="27" spans="1:44" x14ac:dyDescent="0.3">
      <c r="A27" s="351" t="s">
        <v>26</v>
      </c>
      <c r="B27" s="11" t="s">
        <v>163</v>
      </c>
      <c r="C27" s="11"/>
      <c r="D27">
        <v>2012</v>
      </c>
      <c r="E27" s="18">
        <f t="shared" si="13"/>
        <v>2554.2231276146185</v>
      </c>
      <c r="F27" s="18">
        <v>3000</v>
      </c>
      <c r="I27" t="s">
        <v>164</v>
      </c>
      <c r="J27">
        <v>22</v>
      </c>
      <c r="K27" s="9">
        <f t="shared" si="0"/>
        <v>8.9034000000000002E-2</v>
      </c>
      <c r="L27" s="9">
        <f t="shared" si="1"/>
        <v>8.9030841239999994</v>
      </c>
      <c r="M27" s="1">
        <f t="shared" si="8"/>
        <v>8.6131864370618771</v>
      </c>
      <c r="N27" s="1">
        <f t="shared" si="2"/>
        <v>28.688176737141074</v>
      </c>
      <c r="O27" s="24" t="s">
        <v>598</v>
      </c>
      <c r="P27" s="88"/>
      <c r="Q27" s="88"/>
      <c r="R27" s="88"/>
      <c r="S27" s="88"/>
      <c r="T27" s="1"/>
      <c r="U27" s="1"/>
      <c r="V27" s="1"/>
      <c r="W27">
        <v>34.852480999999997</v>
      </c>
      <c r="X27">
        <v>-116.68293</v>
      </c>
      <c r="Y27" t="s">
        <v>21</v>
      </c>
      <c r="AA27" s="24"/>
      <c r="AB27" s="15"/>
      <c r="AC27" s="15"/>
      <c r="AD27" s="15"/>
      <c r="AE27" t="s">
        <v>24</v>
      </c>
      <c r="AF27" t="s">
        <v>157</v>
      </c>
      <c r="AG27" s="15" t="s">
        <v>352</v>
      </c>
      <c r="AI27">
        <v>1</v>
      </c>
      <c r="AL27">
        <v>2680.54</v>
      </c>
      <c r="AM27">
        <f t="shared" si="10"/>
        <v>3.2132280947353431</v>
      </c>
      <c r="AO27">
        <v>2672.06</v>
      </c>
      <c r="AP27">
        <f t="shared" si="6"/>
        <v>3.2234255357521451</v>
      </c>
      <c r="AQ27">
        <v>1469.39</v>
      </c>
      <c r="AR27">
        <f t="shared" si="7"/>
        <v>5.8617429253376407</v>
      </c>
    </row>
    <row r="28" spans="1:44" x14ac:dyDescent="0.3">
      <c r="A28" s="351" t="s">
        <v>171</v>
      </c>
      <c r="B28" s="11" t="s">
        <v>379</v>
      </c>
      <c r="C28" s="11"/>
      <c r="D28">
        <v>2010</v>
      </c>
      <c r="E28" s="18">
        <f t="shared" si="13"/>
        <v>3490.7716077399787</v>
      </c>
      <c r="F28" s="18">
        <v>4100</v>
      </c>
      <c r="H28">
        <v>13469</v>
      </c>
      <c r="I28" t="s">
        <v>381</v>
      </c>
      <c r="J28" s="74">
        <v>25</v>
      </c>
      <c r="K28" s="9">
        <f t="shared" si="0"/>
        <v>0.101175</v>
      </c>
      <c r="L28" s="9">
        <f t="shared" si="1"/>
        <v>10.117141050000001</v>
      </c>
      <c r="M28" s="1">
        <f t="shared" si="8"/>
        <v>7.1617403855836006</v>
      </c>
      <c r="N28" s="1">
        <f t="shared" si="2"/>
        <v>34.502313889201666</v>
      </c>
      <c r="O28">
        <v>18.649999999999999</v>
      </c>
      <c r="P28" s="1">
        <f>O28*0.004047</f>
        <v>7.5476550000000003E-2</v>
      </c>
      <c r="Q28" s="1">
        <f>O28*0.404685642</f>
        <v>7.5473872232999994</v>
      </c>
      <c r="R28" s="1">
        <f t="shared" si="9"/>
        <v>5.3426583276453652</v>
      </c>
      <c r="S28" s="1">
        <f>E28/1000/P28</f>
        <v>46.249750521718056</v>
      </c>
      <c r="T28" s="1">
        <f>0.51594/1.15094</f>
        <v>0.44827706048968663</v>
      </c>
      <c r="U28" s="1">
        <f>1/T28</f>
        <v>2.230763267046556</v>
      </c>
      <c r="V28" s="1">
        <f>T28*R28</f>
        <v>2.3949911703176094</v>
      </c>
      <c r="W28">
        <v>40.292326000000003</v>
      </c>
      <c r="X28">
        <v>-74.855862000000002</v>
      </c>
      <c r="Y28" t="s">
        <v>21</v>
      </c>
      <c r="Z28">
        <v>0</v>
      </c>
      <c r="AA28" t="s">
        <v>96</v>
      </c>
      <c r="AB28" s="15"/>
      <c r="AC28" s="15"/>
      <c r="AD28" s="15"/>
      <c r="AE28" t="s">
        <v>29</v>
      </c>
      <c r="AF28" t="s">
        <v>157</v>
      </c>
      <c r="AG28" s="15" t="s">
        <v>380</v>
      </c>
      <c r="AI28">
        <v>1</v>
      </c>
      <c r="AL28">
        <v>1777.04</v>
      </c>
      <c r="AM28">
        <f t="shared" si="10"/>
        <v>4.0301514797548732</v>
      </c>
      <c r="AN28">
        <f t="shared" si="11"/>
        <v>3.0064930038971354</v>
      </c>
      <c r="AO28">
        <v>2672.06</v>
      </c>
      <c r="AP28">
        <f t="shared" si="6"/>
        <v>2.680231875625398</v>
      </c>
      <c r="AQ28">
        <v>1469.39</v>
      </c>
      <c r="AR28">
        <f t="shared" si="7"/>
        <v>4.8739547605357325</v>
      </c>
    </row>
    <row r="29" spans="1:44" x14ac:dyDescent="0.3">
      <c r="A29" s="351" t="s">
        <v>171</v>
      </c>
      <c r="B29" s="11" t="s">
        <v>435</v>
      </c>
      <c r="C29" s="11"/>
      <c r="D29">
        <v>2010</v>
      </c>
      <c r="E29" s="18">
        <f t="shared" si="13"/>
        <v>3746.1939205014405</v>
      </c>
      <c r="F29" s="94">
        <v>4400</v>
      </c>
      <c r="H29">
        <v>15750</v>
      </c>
      <c r="I29" t="s">
        <v>438</v>
      </c>
      <c r="J29" s="74">
        <v>15.7</v>
      </c>
      <c r="K29" s="9">
        <f t="shared" si="0"/>
        <v>6.3537899999999994E-2</v>
      </c>
      <c r="L29" s="9">
        <f t="shared" si="1"/>
        <v>6.3535645793999995</v>
      </c>
      <c r="M29" s="1">
        <f t="shared" si="8"/>
        <v>4.1909202601819668</v>
      </c>
      <c r="N29" s="1">
        <f t="shared" si="2"/>
        <v>58.959989557436444</v>
      </c>
      <c r="O29">
        <v>14.1</v>
      </c>
      <c r="P29" s="1">
        <f>O29*0.004047</f>
        <v>5.7062700000000001E-2</v>
      </c>
      <c r="Q29" s="1">
        <f>O29*0.404685642</f>
        <v>5.7060675522000004</v>
      </c>
      <c r="R29" s="1">
        <f t="shared" si="9"/>
        <v>3.7638201062780721</v>
      </c>
      <c r="S29" s="1">
        <f>E29/1000/P29</f>
        <v>65.6504848263654</v>
      </c>
      <c r="W29">
        <v>40.168641999999998</v>
      </c>
      <c r="X29">
        <v>-74.657978999999997</v>
      </c>
      <c r="Y29" t="s">
        <v>91</v>
      </c>
      <c r="AA29" s="11" t="s">
        <v>95</v>
      </c>
      <c r="AB29" s="111">
        <v>0.14399999999999999</v>
      </c>
      <c r="AC29" t="s">
        <v>399</v>
      </c>
      <c r="AD29" s="79" t="s">
        <v>440</v>
      </c>
      <c r="AE29" t="s">
        <v>29</v>
      </c>
      <c r="AF29" t="s">
        <v>433</v>
      </c>
      <c r="AG29" s="15" t="s">
        <v>7</v>
      </c>
      <c r="AI29">
        <v>1</v>
      </c>
      <c r="AL29">
        <v>1797.69</v>
      </c>
      <c r="AM29">
        <f t="shared" si="10"/>
        <v>2.3312808438507013</v>
      </c>
      <c r="AN29">
        <f t="shared" si="11"/>
        <v>2.0936980826939418</v>
      </c>
      <c r="AO29">
        <v>2672.06</v>
      </c>
      <c r="AP29">
        <f t="shared" si="6"/>
        <v>1.5684229621273351</v>
      </c>
      <c r="AQ29">
        <v>1469.39</v>
      </c>
      <c r="AR29">
        <f t="shared" si="7"/>
        <v>2.8521497085062282</v>
      </c>
    </row>
    <row r="30" spans="1:44" x14ac:dyDescent="0.3">
      <c r="A30" s="353" t="s">
        <v>171</v>
      </c>
      <c r="B30" t="s">
        <v>710</v>
      </c>
      <c r="D30">
        <v>2012</v>
      </c>
      <c r="E30" s="18">
        <f t="shared" si="13"/>
        <v>4086.7570041833897</v>
      </c>
      <c r="F30">
        <v>4800</v>
      </c>
      <c r="H30">
        <v>18216</v>
      </c>
      <c r="I30" t="s">
        <v>711</v>
      </c>
      <c r="J30">
        <v>34</v>
      </c>
      <c r="K30" s="9">
        <f t="shared" si="0"/>
        <v>0.137598</v>
      </c>
      <c r="L30" s="9">
        <f t="shared" si="1"/>
        <v>13.759311828000001</v>
      </c>
      <c r="M30" s="1">
        <f t="shared" si="8"/>
        <v>8.3195550812529486</v>
      </c>
      <c r="N30" s="9">
        <f t="shared" si="2"/>
        <v>29.700700621981351</v>
      </c>
      <c r="O30">
        <v>16</v>
      </c>
      <c r="P30" s="1">
        <f>O30*0.004047</f>
        <v>6.4752000000000004E-2</v>
      </c>
      <c r="Q30" s="1">
        <f>O30*0.404685642</f>
        <v>6.4749702720000002</v>
      </c>
      <c r="R30" s="1">
        <f t="shared" si="9"/>
        <v>3.9150847441190346</v>
      </c>
      <c r="S30" s="1">
        <f>E30/1000/P30</f>
        <v>63.113988821710372</v>
      </c>
      <c r="W30">
        <v>40.353589999999997</v>
      </c>
      <c r="X30">
        <v>-74.185940000000002</v>
      </c>
      <c r="Y30" t="s">
        <v>21</v>
      </c>
      <c r="AB30" s="111"/>
      <c r="AC30" t="s">
        <v>399</v>
      </c>
      <c r="AE30" t="s">
        <v>24</v>
      </c>
      <c r="AF30" t="s">
        <v>611</v>
      </c>
      <c r="AG30" t="s">
        <v>380</v>
      </c>
      <c r="AI30">
        <v>1</v>
      </c>
      <c r="AL30">
        <v>1759.17</v>
      </c>
      <c r="AM30">
        <f t="shared" si="10"/>
        <v>4.7292502039330753</v>
      </c>
      <c r="AN30">
        <f t="shared" si="11"/>
        <v>2.2255295077332118</v>
      </c>
      <c r="AO30">
        <v>2672.06</v>
      </c>
      <c r="AP30">
        <f t="shared" si="6"/>
        <v>3.1135360288515037</v>
      </c>
      <c r="AQ30">
        <v>1469.39</v>
      </c>
      <c r="AR30">
        <f t="shared" si="7"/>
        <v>5.6619107801556758</v>
      </c>
    </row>
    <row r="31" spans="1:44" x14ac:dyDescent="0.3">
      <c r="A31" s="353" t="s">
        <v>476</v>
      </c>
      <c r="B31" t="s">
        <v>626</v>
      </c>
      <c r="D31">
        <v>2012</v>
      </c>
      <c r="E31" s="18">
        <f t="shared" si="13"/>
        <v>4257.0385460243642</v>
      </c>
      <c r="F31">
        <v>5000</v>
      </c>
      <c r="I31" t="s">
        <v>389</v>
      </c>
      <c r="J31">
        <v>40</v>
      </c>
      <c r="K31" s="9">
        <f t="shared" si="0"/>
        <v>0.16188000000000002</v>
      </c>
      <c r="L31" s="9">
        <f t="shared" si="1"/>
        <v>16.18742568</v>
      </c>
      <c r="M31" s="1">
        <f t="shared" si="8"/>
        <v>9.3962033858856842</v>
      </c>
      <c r="N31" s="9">
        <f t="shared" si="2"/>
        <v>26.297495342379314</v>
      </c>
      <c r="W31">
        <v>21.325299999999999</v>
      </c>
      <c r="X31">
        <v>-158.0873</v>
      </c>
      <c r="Y31" t="s">
        <v>21</v>
      </c>
      <c r="Z31" t="s">
        <v>486</v>
      </c>
      <c r="AB31" s="15">
        <v>0.19</v>
      </c>
      <c r="AC31" t="s">
        <v>391</v>
      </c>
      <c r="AD31" t="s">
        <v>389</v>
      </c>
      <c r="AE31" t="s">
        <v>109</v>
      </c>
      <c r="AF31" t="s">
        <v>493</v>
      </c>
      <c r="AG31" t="s">
        <v>252</v>
      </c>
      <c r="AI31">
        <v>1</v>
      </c>
      <c r="AO31">
        <v>2672.06</v>
      </c>
      <c r="AP31">
        <f t="shared" si="6"/>
        <v>3.5164642208205219</v>
      </c>
      <c r="AQ31">
        <v>1469.39</v>
      </c>
      <c r="AR31">
        <f t="shared" si="7"/>
        <v>6.3946286458228805</v>
      </c>
    </row>
    <row r="32" spans="1:44" x14ac:dyDescent="0.3">
      <c r="A32" s="351" t="s">
        <v>171</v>
      </c>
      <c r="B32" s="11" t="s">
        <v>565</v>
      </c>
      <c r="C32" s="11"/>
      <c r="D32">
        <v>2012</v>
      </c>
      <c r="E32" s="18">
        <f t="shared" si="13"/>
        <v>4512.4608587858265</v>
      </c>
      <c r="F32" s="75">
        <v>5300</v>
      </c>
      <c r="H32">
        <v>16500</v>
      </c>
      <c r="I32" t="s">
        <v>564</v>
      </c>
      <c r="J32" s="74">
        <v>27</v>
      </c>
      <c r="K32" s="9">
        <f t="shared" si="0"/>
        <v>0.10926900000000001</v>
      </c>
      <c r="L32" s="9">
        <f t="shared" si="1"/>
        <v>10.926512334</v>
      </c>
      <c r="M32" s="1">
        <f t="shared" si="8"/>
        <v>5.9834314013894678</v>
      </c>
      <c r="N32" s="1">
        <f t="shared" si="2"/>
        <v>41.296807500625299</v>
      </c>
      <c r="O32" s="24" t="s">
        <v>598</v>
      </c>
      <c r="P32" s="88"/>
      <c r="Q32" s="88"/>
      <c r="R32" s="88"/>
      <c r="S32" s="88"/>
      <c r="T32" s="11"/>
      <c r="U32" s="11"/>
      <c r="V32" s="11"/>
      <c r="W32">
        <v>40.336129999999997</v>
      </c>
      <c r="X32">
        <v>-74.642099999999999</v>
      </c>
      <c r="Y32" t="s">
        <v>21</v>
      </c>
      <c r="Z32" t="s">
        <v>486</v>
      </c>
      <c r="AA32" s="11"/>
      <c r="AB32" s="15">
        <v>0.19</v>
      </c>
      <c r="AC32" s="11" t="s">
        <v>391</v>
      </c>
      <c r="AD32" s="11" t="s">
        <v>389</v>
      </c>
      <c r="AE32" t="s">
        <v>29</v>
      </c>
      <c r="AF32" t="s">
        <v>157</v>
      </c>
      <c r="AG32" s="15" t="s">
        <v>385</v>
      </c>
      <c r="AI32">
        <v>1</v>
      </c>
      <c r="AK32">
        <v>1488</v>
      </c>
      <c r="AL32">
        <v>1783.08</v>
      </c>
      <c r="AM32">
        <f>1/(AL32/$M32/1000)</f>
        <v>3.3556718719235641</v>
      </c>
      <c r="AO32">
        <v>2672.06</v>
      </c>
      <c r="AP32">
        <f t="shared" si="6"/>
        <v>2.2392578764658979</v>
      </c>
      <c r="AQ32">
        <v>1469.39</v>
      </c>
      <c r="AR32">
        <f t="shared" si="7"/>
        <v>4.0720512603117403</v>
      </c>
    </row>
    <row r="33" spans="1:44" x14ac:dyDescent="0.3">
      <c r="A33" s="351" t="s">
        <v>148</v>
      </c>
      <c r="B33" s="11" t="s">
        <v>480</v>
      </c>
      <c r="C33" s="11"/>
      <c r="D33">
        <v>2011</v>
      </c>
      <c r="E33" s="18">
        <f t="shared" si="13"/>
        <v>5031.8195614007982</v>
      </c>
      <c r="F33" s="94">
        <v>5910</v>
      </c>
      <c r="H33">
        <v>25172</v>
      </c>
      <c r="I33" t="s">
        <v>481</v>
      </c>
      <c r="J33" s="74">
        <v>35</v>
      </c>
      <c r="K33" s="9">
        <f t="shared" si="0"/>
        <v>0.14164500000000002</v>
      </c>
      <c r="L33" s="9">
        <f t="shared" si="1"/>
        <v>14.16399747</v>
      </c>
      <c r="M33" s="1">
        <f t="shared" si="8"/>
        <v>6.9557343169627526</v>
      </c>
      <c r="N33" s="1">
        <f t="shared" si="2"/>
        <v>35.524159422505541</v>
      </c>
      <c r="O33" s="11">
        <v>24.748000000000001</v>
      </c>
      <c r="P33" s="1">
        <f>O33*0.004047</f>
        <v>0.10015515600000001</v>
      </c>
      <c r="Q33" s="1">
        <f>O33*0.404685642</f>
        <v>10.015160268216</v>
      </c>
      <c r="R33" s="1">
        <f t="shared" ref="R33:R36" si="14">O33/(E33/1000)</f>
        <v>4.9183003678912636</v>
      </c>
      <c r="S33" s="1">
        <f>E33/1000/P33</f>
        <v>50.240244859693476</v>
      </c>
      <c r="T33" s="11"/>
      <c r="U33" s="11"/>
      <c r="V33" s="11"/>
      <c r="W33">
        <v>28.488683999999999</v>
      </c>
      <c r="X33">
        <v>-81.181970000000007</v>
      </c>
      <c r="Y33" t="s">
        <v>21</v>
      </c>
      <c r="Z33" t="s">
        <v>776</v>
      </c>
      <c r="AA33" s="11" t="s">
        <v>95</v>
      </c>
      <c r="AB33" s="15"/>
      <c r="AE33" t="s">
        <v>29</v>
      </c>
      <c r="AF33" t="s">
        <v>427</v>
      </c>
      <c r="AG33" s="15" t="s">
        <v>385</v>
      </c>
      <c r="AI33">
        <v>1</v>
      </c>
      <c r="AL33">
        <v>2075.5700000000002</v>
      </c>
      <c r="AM33">
        <f>1/(AL33/$M33/1000)</f>
        <v>3.3512405348712657</v>
      </c>
      <c r="AN33">
        <f t="shared" si="11"/>
        <v>2.3696143073426881</v>
      </c>
      <c r="AO33">
        <v>2672.06</v>
      </c>
      <c r="AP33">
        <f t="shared" si="6"/>
        <v>2.6031355272571548</v>
      </c>
      <c r="AQ33">
        <v>1469.39</v>
      </c>
      <c r="AR33">
        <f t="shared" si="7"/>
        <v>4.7337564002495949</v>
      </c>
    </row>
    <row r="34" spans="1:44" x14ac:dyDescent="0.3">
      <c r="A34" s="353" t="s">
        <v>47</v>
      </c>
      <c r="B34" t="s">
        <v>727</v>
      </c>
      <c r="D34">
        <v>2011</v>
      </c>
      <c r="E34" s="108">
        <v>5000</v>
      </c>
      <c r="F34" s="98">
        <v>6400</v>
      </c>
      <c r="I34" t="s">
        <v>728</v>
      </c>
      <c r="J34">
        <v>28.7</v>
      </c>
      <c r="K34" s="9">
        <f t="shared" si="0"/>
        <v>0.1161489</v>
      </c>
      <c r="L34" s="9">
        <f t="shared" si="1"/>
        <v>11.614477925399999</v>
      </c>
      <c r="M34" s="1">
        <f t="shared" si="8"/>
        <v>5.74</v>
      </c>
      <c r="N34" s="9">
        <f t="shared" si="2"/>
        <v>43.048190727591908</v>
      </c>
      <c r="O34">
        <v>23.9</v>
      </c>
      <c r="P34" s="1">
        <f>O34*0.004047</f>
        <v>9.6723299999999998E-2</v>
      </c>
      <c r="Q34" s="1">
        <f>O34*0.404685642</f>
        <v>9.6719868437999992</v>
      </c>
      <c r="R34" s="1">
        <f t="shared" si="14"/>
        <v>4.7799999999999994</v>
      </c>
      <c r="S34" s="1">
        <f>E34/1000/P34</f>
        <v>51.693852463677317</v>
      </c>
      <c r="T34">
        <v>0.44768999999999998</v>
      </c>
      <c r="U34" s="1">
        <f>1/T34</f>
        <v>2.2336884898032121</v>
      </c>
      <c r="V34" s="1">
        <f>T34*R34</f>
        <v>2.1399581999999997</v>
      </c>
      <c r="W34">
        <v>36.424790000000002</v>
      </c>
      <c r="X34">
        <v>-77.06438</v>
      </c>
      <c r="Y34" t="s">
        <v>21</v>
      </c>
      <c r="Z34" t="s">
        <v>776</v>
      </c>
      <c r="AB34" s="15">
        <v>0.19</v>
      </c>
      <c r="AC34" t="s">
        <v>391</v>
      </c>
      <c r="AD34" t="s">
        <v>389</v>
      </c>
      <c r="AE34" t="s">
        <v>29</v>
      </c>
      <c r="AF34" t="s">
        <v>475</v>
      </c>
      <c r="AG34" t="s">
        <v>252</v>
      </c>
      <c r="AI34">
        <v>1</v>
      </c>
      <c r="AK34">
        <v>1488</v>
      </c>
      <c r="AL34">
        <v>1904.63</v>
      </c>
      <c r="AM34">
        <f t="shared" ref="AM34:AM97" si="15">1/(AL34/$M34/1000)</f>
        <v>3.0137086993274282</v>
      </c>
      <c r="AN34">
        <f t="shared" si="11"/>
        <v>2.5096737949102974</v>
      </c>
      <c r="AO34">
        <v>2672.21</v>
      </c>
      <c r="AP34">
        <f t="shared" si="6"/>
        <v>2.1480347727162163</v>
      </c>
      <c r="AQ34">
        <v>1465.27</v>
      </c>
      <c r="AR34">
        <f t="shared" si="7"/>
        <v>3.9173667651695592</v>
      </c>
    </row>
    <row r="35" spans="1:44" x14ac:dyDescent="0.3">
      <c r="A35" s="351" t="s">
        <v>26</v>
      </c>
      <c r="B35" s="11" t="s">
        <v>298</v>
      </c>
      <c r="C35" s="11"/>
      <c r="D35">
        <v>2010</v>
      </c>
      <c r="E35" s="18">
        <f t="shared" ref="E35:E44" si="16">F35*$F$289</f>
        <v>5108.4462552292371</v>
      </c>
      <c r="F35" s="18">
        <v>6000</v>
      </c>
      <c r="G35">
        <v>20</v>
      </c>
      <c r="H35">
        <v>30000</v>
      </c>
      <c r="J35">
        <v>40</v>
      </c>
      <c r="K35" s="9">
        <f t="shared" ref="K35:K66" si="17">J35*0.004047</f>
        <v>0.16188000000000002</v>
      </c>
      <c r="L35" s="9">
        <f t="shared" ref="L35:L66" si="18">J35*0.404685642</f>
        <v>16.18742568</v>
      </c>
      <c r="M35" s="1">
        <f t="shared" si="8"/>
        <v>7.8301694882380701</v>
      </c>
      <c r="N35" s="1">
        <f t="shared" ref="N35:N66" si="19">E35/1000/K35</f>
        <v>31.556994410855175</v>
      </c>
      <c r="O35" s="11">
        <v>27.5</v>
      </c>
      <c r="P35" s="25">
        <f>O35*0.004047</f>
        <v>0.1112925</v>
      </c>
      <c r="Q35" s="1">
        <f>O35*0.404685642</f>
        <v>11.128855155</v>
      </c>
      <c r="R35" s="1">
        <f t="shared" si="14"/>
        <v>5.3832415231636732</v>
      </c>
      <c r="S35" s="25">
        <f>E35/1000/P35</f>
        <v>45.901082779425714</v>
      </c>
      <c r="T35" s="1">
        <v>0.45100000000000001</v>
      </c>
      <c r="U35" s="1">
        <f>1/T35</f>
        <v>2.2172949002217295</v>
      </c>
      <c r="V35" s="1">
        <f>T35*R35</f>
        <v>2.4278419269468166</v>
      </c>
      <c r="W35">
        <v>38.608604999999997</v>
      </c>
      <c r="X35">
        <v>-121.16918</v>
      </c>
      <c r="Y35" t="s">
        <v>21</v>
      </c>
      <c r="Z35" t="s">
        <v>776</v>
      </c>
      <c r="AA35" t="s">
        <v>95</v>
      </c>
      <c r="AB35" s="15"/>
      <c r="AC35" s="15" t="s">
        <v>399</v>
      </c>
      <c r="AD35" s="15" t="s">
        <v>299</v>
      </c>
      <c r="AE35" t="s">
        <v>29</v>
      </c>
      <c r="AF35" t="s">
        <v>125</v>
      </c>
      <c r="AG35" s="15" t="s">
        <v>252</v>
      </c>
      <c r="AI35">
        <v>1</v>
      </c>
      <c r="AL35">
        <v>2209.9</v>
      </c>
      <c r="AM35">
        <f t="shared" si="15"/>
        <v>3.5432234437024617</v>
      </c>
      <c r="AN35">
        <f t="shared" si="11"/>
        <v>2.4359661175454428</v>
      </c>
      <c r="AO35">
        <v>2672.06</v>
      </c>
      <c r="AP35">
        <f t="shared" ref="AP35:AP57" si="20">1/(AO35/$M35/1000)</f>
        <v>2.9303868506837687</v>
      </c>
      <c r="AQ35">
        <v>1469.39</v>
      </c>
      <c r="AR35">
        <f t="shared" ref="AR35:AR66" si="21">1/(AQ35/$M35/1000)</f>
        <v>5.328857204852401</v>
      </c>
    </row>
    <row r="36" spans="1:44" x14ac:dyDescent="0.3">
      <c r="A36" s="351" t="s">
        <v>3</v>
      </c>
      <c r="B36" s="11" t="s">
        <v>422</v>
      </c>
      <c r="C36" s="11"/>
      <c r="D36">
        <v>2011</v>
      </c>
      <c r="E36" s="18">
        <f t="shared" si="16"/>
        <v>5108.4462552292371</v>
      </c>
      <c r="F36" s="18">
        <v>6000</v>
      </c>
      <c r="H36">
        <v>18888</v>
      </c>
      <c r="I36" t="s">
        <v>389</v>
      </c>
      <c r="J36" s="74">
        <v>43</v>
      </c>
      <c r="K36" s="9">
        <f t="shared" si="17"/>
        <v>0.17402100000000001</v>
      </c>
      <c r="L36" s="9">
        <f t="shared" si="18"/>
        <v>17.401482606000002</v>
      </c>
      <c r="M36" s="1">
        <f t="shared" si="8"/>
        <v>8.4174321998559254</v>
      </c>
      <c r="N36" s="1">
        <f t="shared" si="19"/>
        <v>29.355343638004818</v>
      </c>
      <c r="O36">
        <v>26.75</v>
      </c>
      <c r="P36" s="1">
        <f>O36*0.004047</f>
        <v>0.10825725000000001</v>
      </c>
      <c r="Q36" s="1">
        <f>O36*0.404685642</f>
        <v>10.825340923500001</v>
      </c>
      <c r="R36" s="1">
        <f t="shared" si="14"/>
        <v>5.2364258452592098</v>
      </c>
      <c r="S36" s="1">
        <f>E36/1000/P36</f>
        <v>47.188029025577833</v>
      </c>
      <c r="T36" s="1">
        <v>0.28499999999999998</v>
      </c>
      <c r="U36" s="1">
        <f>1/T36</f>
        <v>3.5087719298245617</v>
      </c>
      <c r="V36" s="1">
        <f>T36*R36</f>
        <v>1.4923813658988747</v>
      </c>
      <c r="W36">
        <v>38.956650000000003</v>
      </c>
      <c r="X36">
        <v>-104.80674</v>
      </c>
      <c r="Y36" t="s">
        <v>21</v>
      </c>
      <c r="Z36" t="s">
        <v>776</v>
      </c>
      <c r="AA36" s="11" t="s">
        <v>96</v>
      </c>
      <c r="AB36" s="111"/>
      <c r="AE36" t="s">
        <v>29</v>
      </c>
      <c r="AG36" s="15"/>
      <c r="AI36">
        <v>1</v>
      </c>
      <c r="AL36">
        <v>2323.52</v>
      </c>
      <c r="AM36">
        <f t="shared" si="15"/>
        <v>3.6227070134347565</v>
      </c>
      <c r="AN36">
        <f t="shared" si="11"/>
        <v>2.2536607583576682</v>
      </c>
      <c r="AO36">
        <v>2672.06</v>
      </c>
      <c r="AP36">
        <f t="shared" si="20"/>
        <v>3.150165864485051</v>
      </c>
      <c r="AQ36">
        <v>1469.39</v>
      </c>
      <c r="AR36">
        <f t="shared" si="21"/>
        <v>5.7285214952163308</v>
      </c>
    </row>
    <row r="37" spans="1:44" x14ac:dyDescent="0.3">
      <c r="A37" s="353" t="s">
        <v>171</v>
      </c>
      <c r="B37" t="s">
        <v>618</v>
      </c>
      <c r="D37">
        <v>2012</v>
      </c>
      <c r="E37" s="18">
        <f t="shared" si="16"/>
        <v>5193.5870261497248</v>
      </c>
      <c r="F37">
        <v>6100</v>
      </c>
      <c r="H37">
        <v>24000</v>
      </c>
      <c r="I37" t="s">
        <v>619</v>
      </c>
      <c r="J37">
        <v>30</v>
      </c>
      <c r="K37" s="9">
        <f t="shared" si="17"/>
        <v>0.12141</v>
      </c>
      <c r="L37" s="9">
        <f t="shared" si="18"/>
        <v>12.140569259999999</v>
      </c>
      <c r="M37" s="1">
        <f t="shared" si="8"/>
        <v>5.7763545405034931</v>
      </c>
      <c r="N37" s="1">
        <f t="shared" si="19"/>
        <v>42.777259090270363</v>
      </c>
      <c r="W37">
        <v>40.300800000000002</v>
      </c>
      <c r="X37">
        <v>-74.719300000000004</v>
      </c>
      <c r="Y37" t="s">
        <v>21</v>
      </c>
      <c r="AB37" s="15">
        <v>0.14610000000000001</v>
      </c>
      <c r="AD37" t="s">
        <v>620</v>
      </c>
      <c r="AE37" t="s">
        <v>29</v>
      </c>
      <c r="AF37" t="s">
        <v>611</v>
      </c>
      <c r="AG37" t="s">
        <v>380</v>
      </c>
      <c r="AI37">
        <v>1</v>
      </c>
      <c r="AL37">
        <v>1786.88</v>
      </c>
      <c r="AM37">
        <f t="shared" si="15"/>
        <v>3.2326482698913708</v>
      </c>
      <c r="AO37">
        <v>2672.06</v>
      </c>
      <c r="AP37">
        <f t="shared" si="20"/>
        <v>2.1617607914880255</v>
      </c>
      <c r="AQ37">
        <v>1469.39</v>
      </c>
      <c r="AR37">
        <f t="shared" si="21"/>
        <v>3.9311241675140653</v>
      </c>
    </row>
    <row r="38" spans="1:44" x14ac:dyDescent="0.3">
      <c r="A38" s="351" t="s">
        <v>3</v>
      </c>
      <c r="B38" s="10" t="s">
        <v>41</v>
      </c>
      <c r="C38" s="10"/>
      <c r="D38">
        <v>2007</v>
      </c>
      <c r="E38" s="18">
        <f t="shared" si="16"/>
        <v>5623.5479192981848</v>
      </c>
      <c r="F38" s="18">
        <v>6605</v>
      </c>
      <c r="H38">
        <v>24384</v>
      </c>
      <c r="I38" t="s">
        <v>8</v>
      </c>
      <c r="J38">
        <v>63.1</v>
      </c>
      <c r="K38" s="9">
        <f t="shared" si="17"/>
        <v>0.25536570000000003</v>
      </c>
      <c r="L38" s="9">
        <f t="shared" si="18"/>
        <v>25.535664010200001</v>
      </c>
      <c r="M38" s="1">
        <f t="shared" si="8"/>
        <v>11.22067436883775</v>
      </c>
      <c r="N38" s="1">
        <f t="shared" si="19"/>
        <v>22.02154760525076</v>
      </c>
      <c r="O38">
        <v>32.770000000000003</v>
      </c>
      <c r="P38" s="1">
        <f>O38*0.004047</f>
        <v>0.13262019000000003</v>
      </c>
      <c r="Q38" s="1">
        <f>O38*0.4047</f>
        <v>13.262019000000002</v>
      </c>
      <c r="R38" s="1">
        <f t="shared" ref="R38" si="22">O38/(E38/1000)</f>
        <v>5.8272820771285758</v>
      </c>
      <c r="S38" s="1">
        <f>E38/1000/P38</f>
        <v>42.403407198392514</v>
      </c>
      <c r="T38" s="1">
        <f>0.34396/0.88635</f>
        <v>0.38806340610368367</v>
      </c>
      <c r="U38" s="1">
        <f>1/T38</f>
        <v>2.5768984765670426</v>
      </c>
      <c r="V38" s="1">
        <f>T38*R38</f>
        <v>2.2613549311774639</v>
      </c>
      <c r="W38">
        <v>37.688524000000001</v>
      </c>
      <c r="X38">
        <v>-105.87646700000001</v>
      </c>
      <c r="Y38" t="s">
        <v>21</v>
      </c>
      <c r="Z38" t="s">
        <v>776</v>
      </c>
      <c r="AA38" t="s">
        <v>96</v>
      </c>
      <c r="AB38" s="15">
        <v>0.13919999999999999</v>
      </c>
      <c r="AC38" s="15" t="s">
        <v>399</v>
      </c>
      <c r="AD38" s="15" t="s">
        <v>71</v>
      </c>
      <c r="AE38" t="s">
        <v>29</v>
      </c>
      <c r="AF38" t="s">
        <v>19</v>
      </c>
      <c r="AG38" s="15" t="s">
        <v>353</v>
      </c>
      <c r="AI38">
        <v>1</v>
      </c>
      <c r="AL38">
        <v>2582.9699999999998</v>
      </c>
      <c r="AM38">
        <f t="shared" si="15"/>
        <v>4.3440978287931147</v>
      </c>
      <c r="AN38">
        <f t="shared" si="11"/>
        <v>2.2560393953969951</v>
      </c>
      <c r="AO38">
        <v>2672.06</v>
      </c>
      <c r="AP38">
        <f t="shared" si="20"/>
        <v>4.199259885196347</v>
      </c>
      <c r="AQ38">
        <v>1469.39</v>
      </c>
      <c r="AR38">
        <f t="shared" si="21"/>
        <v>7.6362806122525342</v>
      </c>
    </row>
    <row r="39" spans="1:44" x14ac:dyDescent="0.3">
      <c r="A39" s="353" t="s">
        <v>26</v>
      </c>
      <c r="B39" t="s">
        <v>628</v>
      </c>
      <c r="D39">
        <v>2013</v>
      </c>
      <c r="E39" s="18">
        <f t="shared" si="16"/>
        <v>6811.2616736389828</v>
      </c>
      <c r="F39" s="98">
        <v>8000</v>
      </c>
      <c r="H39">
        <v>33880</v>
      </c>
      <c r="I39" t="s">
        <v>629</v>
      </c>
      <c r="J39">
        <v>36.5</v>
      </c>
      <c r="K39" s="9">
        <f t="shared" si="17"/>
        <v>0.1477155</v>
      </c>
      <c r="L39" s="9">
        <f t="shared" si="18"/>
        <v>14.771025933000001</v>
      </c>
      <c r="M39" s="1">
        <f t="shared" si="8"/>
        <v>5.358772243512929</v>
      </c>
      <c r="N39" s="9">
        <f t="shared" si="19"/>
        <v>46.110676764719905</v>
      </c>
      <c r="W39">
        <v>33.885300000000001</v>
      </c>
      <c r="X39">
        <v>-116.5189</v>
      </c>
      <c r="Y39" t="s">
        <v>21</v>
      </c>
      <c r="AB39" s="15">
        <v>0.14400000000000002</v>
      </c>
      <c r="AD39" t="s">
        <v>630</v>
      </c>
      <c r="AE39" t="s">
        <v>109</v>
      </c>
      <c r="AF39" t="s">
        <v>611</v>
      </c>
      <c r="AG39" t="s">
        <v>380</v>
      </c>
      <c r="AI39">
        <v>1</v>
      </c>
      <c r="AL39">
        <v>2570.67</v>
      </c>
      <c r="AM39">
        <f t="shared" si="15"/>
        <v>2.0845819352592625</v>
      </c>
      <c r="AO39">
        <v>2672.06</v>
      </c>
      <c r="AP39">
        <f t="shared" si="20"/>
        <v>2.005483500936704</v>
      </c>
      <c r="AQ39">
        <v>1469.39</v>
      </c>
      <c r="AR39">
        <f t="shared" si="21"/>
        <v>3.6469366495708613</v>
      </c>
    </row>
    <row r="40" spans="1:44" x14ac:dyDescent="0.3">
      <c r="A40" s="353" t="s">
        <v>196</v>
      </c>
      <c r="B40" t="s">
        <v>622</v>
      </c>
      <c r="D40">
        <v>2012</v>
      </c>
      <c r="E40" s="18">
        <f t="shared" si="16"/>
        <v>8343.7955502077548</v>
      </c>
      <c r="F40">
        <v>9800</v>
      </c>
      <c r="G40">
        <v>21.6</v>
      </c>
      <c r="H40">
        <v>24000</v>
      </c>
      <c r="I40" t="s">
        <v>623</v>
      </c>
      <c r="J40">
        <v>60</v>
      </c>
      <c r="K40" s="9">
        <f t="shared" si="17"/>
        <v>0.24282000000000001</v>
      </c>
      <c r="L40" s="9">
        <f t="shared" si="18"/>
        <v>24.281138519999999</v>
      </c>
      <c r="M40" s="1">
        <f t="shared" si="8"/>
        <v>7.1909719789941446</v>
      </c>
      <c r="N40" s="9">
        <f t="shared" si="19"/>
        <v>34.362060580708977</v>
      </c>
      <c r="W40">
        <v>41.395600000000002</v>
      </c>
      <c r="X40">
        <v>-84.108149999999995</v>
      </c>
      <c r="Y40" t="s">
        <v>21</v>
      </c>
      <c r="Z40" s="100" t="s">
        <v>426</v>
      </c>
      <c r="AB40" s="15">
        <v>0.185</v>
      </c>
      <c r="AC40" t="s">
        <v>391</v>
      </c>
      <c r="AD40" t="s">
        <v>624</v>
      </c>
      <c r="AE40" t="s">
        <v>109</v>
      </c>
      <c r="AF40" t="s">
        <v>611</v>
      </c>
      <c r="AG40" t="s">
        <v>380</v>
      </c>
      <c r="AI40">
        <v>1</v>
      </c>
      <c r="AK40">
        <v>1426</v>
      </c>
      <c r="AL40">
        <v>1842.43</v>
      </c>
      <c r="AM40">
        <f t="shared" si="15"/>
        <v>3.9029824628312308</v>
      </c>
      <c r="AO40">
        <v>2891.1</v>
      </c>
      <c r="AP40">
        <f t="shared" si="20"/>
        <v>2.4872788831220451</v>
      </c>
      <c r="AQ40">
        <v>1587.88</v>
      </c>
      <c r="AR40">
        <f t="shared" si="21"/>
        <v>4.5286621022962343</v>
      </c>
    </row>
    <row r="41" spans="1:44" x14ac:dyDescent="0.3">
      <c r="A41" s="351" t="s">
        <v>180</v>
      </c>
      <c r="B41" s="11" t="s">
        <v>181</v>
      </c>
      <c r="C41" s="11"/>
      <c r="D41">
        <v>2010</v>
      </c>
      <c r="E41" s="18">
        <f t="shared" si="16"/>
        <v>8514.0770920487284</v>
      </c>
      <c r="F41" s="94">
        <v>10000</v>
      </c>
      <c r="G41">
        <v>62</v>
      </c>
      <c r="H41">
        <v>32292</v>
      </c>
      <c r="I41" t="s">
        <v>362</v>
      </c>
      <c r="J41">
        <v>41</v>
      </c>
      <c r="K41" s="9">
        <f t="shared" si="17"/>
        <v>0.16592700000000002</v>
      </c>
      <c r="L41" s="9">
        <f t="shared" si="18"/>
        <v>16.592111322000001</v>
      </c>
      <c r="M41" s="1">
        <f t="shared" si="8"/>
        <v>4.8155542352664131</v>
      </c>
      <c r="N41" s="1">
        <f t="shared" si="19"/>
        <v>51.312186033910862</v>
      </c>
      <c r="O41">
        <v>32</v>
      </c>
      <c r="P41" s="1">
        <f>O41*0.004047</f>
        <v>0.12950400000000001</v>
      </c>
      <c r="Q41" s="1">
        <f>O41*0.4047</f>
        <v>12.9504</v>
      </c>
      <c r="R41" s="1">
        <f t="shared" ref="R41" si="23">O41/(E41/1000)</f>
        <v>3.7584813543542737</v>
      </c>
      <c r="S41" s="1">
        <f>E41/1000/P41</f>
        <v>65.743738355948295</v>
      </c>
      <c r="T41" s="1">
        <v>0.51359999999999995</v>
      </c>
      <c r="U41" s="1">
        <f>1/T41</f>
        <v>1.9470404984423677</v>
      </c>
      <c r="V41" s="1">
        <f>T41*R41</f>
        <v>1.9303560235963548</v>
      </c>
      <c r="W41">
        <v>41.674954999999997</v>
      </c>
      <c r="X41">
        <v>-87.650760000000005</v>
      </c>
      <c r="Y41" t="s">
        <v>21</v>
      </c>
      <c r="Z41" t="s">
        <v>776</v>
      </c>
      <c r="AA41" t="s">
        <v>94</v>
      </c>
      <c r="AB41" s="15"/>
      <c r="AC41" s="15"/>
      <c r="AD41" s="15"/>
      <c r="AE41" t="s">
        <v>29</v>
      </c>
      <c r="AF41" t="s">
        <v>110</v>
      </c>
      <c r="AG41" s="15" t="s">
        <v>252</v>
      </c>
      <c r="AI41">
        <v>1</v>
      </c>
      <c r="AL41">
        <v>1727.11</v>
      </c>
      <c r="AM41">
        <f t="shared" si="15"/>
        <v>2.7882151312113379</v>
      </c>
      <c r="AN41">
        <f t="shared" si="11"/>
        <v>2.176167907286898</v>
      </c>
      <c r="AO41">
        <v>2672.06</v>
      </c>
      <c r="AP41">
        <f t="shared" si="20"/>
        <v>1.8021879131705176</v>
      </c>
      <c r="AQ41">
        <v>1469.39</v>
      </c>
      <c r="AR41">
        <f t="shared" si="21"/>
        <v>3.2772471809842272</v>
      </c>
    </row>
    <row r="42" spans="1:44" x14ac:dyDescent="0.3">
      <c r="A42" s="351" t="s">
        <v>35</v>
      </c>
      <c r="B42" s="11" t="s">
        <v>592</v>
      </c>
      <c r="C42" s="11"/>
      <c r="D42">
        <v>2012</v>
      </c>
      <c r="E42" s="18">
        <f t="shared" si="16"/>
        <v>8514.0770920487284</v>
      </c>
      <c r="F42" s="94">
        <v>10000</v>
      </c>
      <c r="H42">
        <v>40000</v>
      </c>
      <c r="I42" t="s">
        <v>593</v>
      </c>
      <c r="J42" s="74">
        <v>60</v>
      </c>
      <c r="K42" s="9">
        <f t="shared" si="17"/>
        <v>0.24282000000000001</v>
      </c>
      <c r="L42" s="9">
        <f t="shared" si="18"/>
        <v>24.281138519999999</v>
      </c>
      <c r="M42" s="1">
        <f t="shared" si="8"/>
        <v>7.0471525394142631</v>
      </c>
      <c r="N42" s="1">
        <f t="shared" si="19"/>
        <v>35.063327123172421</v>
      </c>
      <c r="O42" s="24" t="s">
        <v>598</v>
      </c>
      <c r="P42" s="88"/>
      <c r="Q42" s="88"/>
      <c r="R42" s="88"/>
      <c r="S42" s="88"/>
      <c r="T42" s="11"/>
      <c r="U42" s="11"/>
      <c r="V42" s="11"/>
      <c r="W42">
        <v>35.177590000000002</v>
      </c>
      <c r="X42">
        <v>-113.97976</v>
      </c>
      <c r="Y42" t="s">
        <v>21</v>
      </c>
      <c r="AA42" s="11"/>
      <c r="AB42" s="15">
        <v>0.14299999999999999</v>
      </c>
      <c r="AC42" s="11" t="s">
        <v>399</v>
      </c>
      <c r="AD42" s="11" t="s">
        <v>593</v>
      </c>
      <c r="AE42" t="s">
        <v>109</v>
      </c>
      <c r="AI42">
        <v>1</v>
      </c>
      <c r="AJ42">
        <v>200</v>
      </c>
      <c r="AL42">
        <v>2757.95</v>
      </c>
      <c r="AM42">
        <f t="shared" si="15"/>
        <v>2.5552140319491881</v>
      </c>
      <c r="AO42">
        <v>2672.06</v>
      </c>
      <c r="AP42">
        <f t="shared" si="20"/>
        <v>2.6373481656153919</v>
      </c>
      <c r="AQ42">
        <v>1469.39</v>
      </c>
      <c r="AR42">
        <f t="shared" si="21"/>
        <v>4.7959714843671604</v>
      </c>
    </row>
    <row r="43" spans="1:44" ht="15.6" x14ac:dyDescent="0.3">
      <c r="A43" s="351" t="s">
        <v>160</v>
      </c>
      <c r="B43" s="11" t="s">
        <v>458</v>
      </c>
      <c r="C43" s="11"/>
      <c r="D43">
        <v>2011</v>
      </c>
      <c r="E43" s="18">
        <f t="shared" si="16"/>
        <v>9110.0624884921399</v>
      </c>
      <c r="F43" s="18">
        <v>10700</v>
      </c>
      <c r="H43">
        <f>192640*F43/53500</f>
        <v>38528</v>
      </c>
      <c r="I43" t="s">
        <v>8</v>
      </c>
      <c r="J43" s="74">
        <v>100</v>
      </c>
      <c r="K43" s="9">
        <f t="shared" si="17"/>
        <v>0.4047</v>
      </c>
      <c r="L43" s="9">
        <f t="shared" si="18"/>
        <v>40.468564200000003</v>
      </c>
      <c r="M43" s="1">
        <f t="shared" si="8"/>
        <v>10.976873114352433</v>
      </c>
      <c r="N43" s="1">
        <f t="shared" si="19"/>
        <v>22.510656013076698</v>
      </c>
      <c r="O43" s="11">
        <v>73.599999999999994</v>
      </c>
      <c r="P43" s="1">
        <f>O43*0.004047</f>
        <v>0.29785919999999999</v>
      </c>
      <c r="Q43" s="1">
        <f>O43*0.4047</f>
        <v>29.785919999999997</v>
      </c>
      <c r="R43" s="1">
        <f t="shared" ref="R43:R45" si="24">O43/(E43/1000)</f>
        <v>8.0789786121633913</v>
      </c>
      <c r="S43" s="1">
        <f>E43/1000/P43</f>
        <v>30.585130452549866</v>
      </c>
      <c r="T43">
        <v>0.32450000000000001</v>
      </c>
      <c r="U43" s="1">
        <f>1/T43</f>
        <v>3.0816640986132509</v>
      </c>
      <c r="V43" s="1">
        <f>T43*R43</f>
        <v>2.6216285596470206</v>
      </c>
      <c r="W43">
        <v>32.195472717285199</v>
      </c>
      <c r="X43">
        <v>-103.191032409668</v>
      </c>
      <c r="Y43" t="s">
        <v>21</v>
      </c>
      <c r="Z43" t="s">
        <v>776</v>
      </c>
      <c r="AA43" s="11"/>
      <c r="AD43" s="80" t="s">
        <v>464</v>
      </c>
      <c r="AE43" t="s">
        <v>29</v>
      </c>
      <c r="AF43" t="s">
        <v>157</v>
      </c>
      <c r="AG43" s="15" t="s">
        <v>444</v>
      </c>
      <c r="AI43">
        <v>1</v>
      </c>
      <c r="AL43">
        <v>2457.39</v>
      </c>
      <c r="AM43">
        <f t="shared" si="15"/>
        <v>4.4668827961180089</v>
      </c>
      <c r="AN43">
        <f t="shared" si="11"/>
        <v>3.2876257379428546</v>
      </c>
      <c r="AO43">
        <v>2672.06</v>
      </c>
      <c r="AP43">
        <f t="shared" si="20"/>
        <v>4.1080189495566835</v>
      </c>
      <c r="AQ43">
        <v>1469.39</v>
      </c>
      <c r="AR43">
        <f t="shared" si="21"/>
        <v>7.4703605675500935</v>
      </c>
    </row>
    <row r="44" spans="1:44" ht="15.6" x14ac:dyDescent="0.3">
      <c r="A44" s="351" t="s">
        <v>160</v>
      </c>
      <c r="B44" s="11" t="s">
        <v>456</v>
      </c>
      <c r="C44" s="11"/>
      <c r="D44">
        <v>2011</v>
      </c>
      <c r="E44" s="18">
        <f t="shared" si="16"/>
        <v>9195.2032594126267</v>
      </c>
      <c r="F44" s="18">
        <v>10800</v>
      </c>
      <c r="H44">
        <f>192640*F44/53500</f>
        <v>38888.074766355137</v>
      </c>
      <c r="I44" t="s">
        <v>8</v>
      </c>
      <c r="J44" s="74">
        <v>85.71</v>
      </c>
      <c r="K44" s="9">
        <f t="shared" si="17"/>
        <v>0.34686836999999998</v>
      </c>
      <c r="L44" s="9">
        <f t="shared" si="18"/>
        <v>34.685606375820001</v>
      </c>
      <c r="M44" s="1">
        <f t="shared" si="8"/>
        <v>9.3211642616234034</v>
      </c>
      <c r="N44" s="1">
        <f t="shared" si="19"/>
        <v>26.50920076515661</v>
      </c>
      <c r="O44" s="11">
        <v>76.900000000000006</v>
      </c>
      <c r="P44" s="1">
        <f>O44*0.004047</f>
        <v>0.31121430000000005</v>
      </c>
      <c r="Q44" s="1">
        <f>O44*0.4047</f>
        <v>31.121430000000004</v>
      </c>
      <c r="R44" s="1">
        <f t="shared" si="24"/>
        <v>8.3630560228542734</v>
      </c>
      <c r="S44" s="1">
        <f>E44/1000/P44</f>
        <v>29.546210631749968</v>
      </c>
      <c r="T44">
        <v>0.32679999999999998</v>
      </c>
      <c r="U44" s="1">
        <f>1/T44</f>
        <v>3.0599755201958385</v>
      </c>
      <c r="V44" s="1">
        <f>T44*R44</f>
        <v>2.7330467082687764</v>
      </c>
      <c r="W44">
        <v>32.341262817382798</v>
      </c>
      <c r="X44">
        <v>-104.23040008544901</v>
      </c>
      <c r="Y44" t="s">
        <v>21</v>
      </c>
      <c r="Z44" t="s">
        <v>776</v>
      </c>
      <c r="AA44" s="11"/>
      <c r="AB44" s="111"/>
      <c r="AD44" s="80" t="s">
        <v>464</v>
      </c>
      <c r="AE44" t="s">
        <v>29</v>
      </c>
      <c r="AF44" t="s">
        <v>157</v>
      </c>
      <c r="AG44" s="15" t="s">
        <v>444</v>
      </c>
      <c r="AI44">
        <v>1</v>
      </c>
      <c r="AL44">
        <v>2453.5700000000002</v>
      </c>
      <c r="AM44">
        <f t="shared" si="15"/>
        <v>3.799021124982537</v>
      </c>
      <c r="AN44">
        <f t="shared" si="11"/>
        <v>3.4085255455741112</v>
      </c>
      <c r="AO44">
        <v>2672.06</v>
      </c>
      <c r="AP44">
        <f t="shared" si="20"/>
        <v>3.4883813468348026</v>
      </c>
      <c r="AQ44">
        <v>1469.39</v>
      </c>
      <c r="AR44">
        <f t="shared" si="21"/>
        <v>6.3435604309430467</v>
      </c>
    </row>
    <row r="45" spans="1:44" x14ac:dyDescent="0.3">
      <c r="A45" s="353" t="s">
        <v>26</v>
      </c>
      <c r="B45" t="s">
        <v>652</v>
      </c>
      <c r="D45">
        <v>2011</v>
      </c>
      <c r="E45" s="108">
        <v>9400</v>
      </c>
      <c r="F45" s="98">
        <v>12000</v>
      </c>
      <c r="I45" t="s">
        <v>167</v>
      </c>
      <c r="J45">
        <v>73.849999999999994</v>
      </c>
      <c r="K45" s="9">
        <f t="shared" si="17"/>
        <v>0.29887094999999997</v>
      </c>
      <c r="L45" s="9">
        <f t="shared" si="18"/>
        <v>29.886034661699998</v>
      </c>
      <c r="M45" s="1">
        <f t="shared" si="8"/>
        <v>7.8563829787234036</v>
      </c>
      <c r="N45" s="9">
        <f t="shared" si="19"/>
        <v>31.451701813106965</v>
      </c>
      <c r="O45">
        <v>55.127000000000002</v>
      </c>
      <c r="P45" s="1">
        <f>O45*0.004047</f>
        <v>0.22309896900000004</v>
      </c>
      <c r="Q45" s="1">
        <f>O45*0.4047</f>
        <v>22.309896900000002</v>
      </c>
      <c r="R45" s="1">
        <f t="shared" si="24"/>
        <v>5.8645744680851069</v>
      </c>
      <c r="S45" s="1">
        <f>E45/1000/P45</f>
        <v>42.133767099569155</v>
      </c>
      <c r="T45">
        <v>0.45944000000000002</v>
      </c>
      <c r="U45" s="1">
        <f>1/T45</f>
        <v>2.1765627720703464</v>
      </c>
      <c r="V45" s="1">
        <f>T45*R45</f>
        <v>2.6944200936170217</v>
      </c>
      <c r="W45">
        <v>38.464930000000003</v>
      </c>
      <c r="X45">
        <v>-121.17901000000001</v>
      </c>
      <c r="Y45" t="s">
        <v>21</v>
      </c>
      <c r="Z45" t="s">
        <v>776</v>
      </c>
      <c r="AA45" t="s">
        <v>95</v>
      </c>
      <c r="AB45" s="15">
        <v>0.14699999999999999</v>
      </c>
      <c r="AC45" t="s">
        <v>399</v>
      </c>
      <c r="AD45" t="s">
        <v>649</v>
      </c>
      <c r="AE45" t="s">
        <v>29</v>
      </c>
      <c r="AF45" t="s">
        <v>475</v>
      </c>
      <c r="AG45" t="s">
        <v>252</v>
      </c>
      <c r="AI45">
        <v>1</v>
      </c>
      <c r="AL45">
        <v>2210.9699999999998</v>
      </c>
      <c r="AM45">
        <f t="shared" si="15"/>
        <v>3.5533648031060592</v>
      </c>
      <c r="AN45">
        <f t="shared" si="11"/>
        <v>2.6524893906679452</v>
      </c>
      <c r="AO45">
        <v>2672.23</v>
      </c>
      <c r="AP45">
        <f t="shared" si="20"/>
        <v>2.9400100211147255</v>
      </c>
      <c r="AQ45">
        <v>1465.41</v>
      </c>
      <c r="AR45">
        <f t="shared" si="21"/>
        <v>5.3612183475774042</v>
      </c>
    </row>
    <row r="46" spans="1:44" x14ac:dyDescent="0.3">
      <c r="A46" s="353" t="s">
        <v>35</v>
      </c>
      <c r="B46" t="s">
        <v>633</v>
      </c>
      <c r="D46">
        <v>2006</v>
      </c>
      <c r="E46" s="108">
        <v>10000</v>
      </c>
      <c r="F46" s="98">
        <v>11750</v>
      </c>
      <c r="H46">
        <v>43000</v>
      </c>
      <c r="I46" t="s">
        <v>639</v>
      </c>
      <c r="J46">
        <v>80</v>
      </c>
      <c r="K46" s="9">
        <f t="shared" si="17"/>
        <v>0.32376000000000005</v>
      </c>
      <c r="L46" s="9">
        <f t="shared" si="18"/>
        <v>32.374851360000001</v>
      </c>
      <c r="M46" s="1">
        <f t="shared" si="8"/>
        <v>8</v>
      </c>
      <c r="N46" s="9">
        <f t="shared" si="19"/>
        <v>30.88707684704719</v>
      </c>
      <c r="W46">
        <v>34.690739999999998</v>
      </c>
      <c r="X46">
        <v>-112.40475000000001</v>
      </c>
      <c r="Y46" t="s">
        <v>21</v>
      </c>
      <c r="AB46" s="111"/>
      <c r="AE46" t="s">
        <v>109</v>
      </c>
      <c r="AI46">
        <v>1</v>
      </c>
      <c r="AL46">
        <v>2669.99</v>
      </c>
      <c r="AM46">
        <f t="shared" si="15"/>
        <v>2.9962659036176169</v>
      </c>
      <c r="AO46">
        <v>2672.06</v>
      </c>
      <c r="AP46">
        <f t="shared" si="20"/>
        <v>2.9939447467496985</v>
      </c>
      <c r="AQ46">
        <v>1469.37</v>
      </c>
      <c r="AR46">
        <f t="shared" si="21"/>
        <v>5.4445102322764187</v>
      </c>
    </row>
    <row r="47" spans="1:44" x14ac:dyDescent="0.3">
      <c r="A47" s="351" t="s">
        <v>429</v>
      </c>
      <c r="B47" s="11" t="s">
        <v>430</v>
      </c>
      <c r="C47" s="11"/>
      <c r="D47">
        <v>2011</v>
      </c>
      <c r="E47" s="94">
        <v>10000</v>
      </c>
      <c r="F47" s="18">
        <f>E47/$F$289</f>
        <v>11745.254232357105</v>
      </c>
      <c r="G47">
        <v>50</v>
      </c>
      <c r="H47">
        <v>34258</v>
      </c>
      <c r="I47" t="s">
        <v>432</v>
      </c>
      <c r="J47" s="74">
        <v>103</v>
      </c>
      <c r="K47" s="9">
        <f t="shared" si="17"/>
        <v>0.41684100000000002</v>
      </c>
      <c r="L47" s="9">
        <f t="shared" si="18"/>
        <v>41.682621126000001</v>
      </c>
      <c r="M47" s="1">
        <f t="shared" si="8"/>
        <v>10.3</v>
      </c>
      <c r="N47" s="1">
        <f t="shared" si="19"/>
        <v>23.989962599648305</v>
      </c>
      <c r="O47">
        <v>50.33</v>
      </c>
      <c r="P47" s="1">
        <f>O47*0.004047</f>
        <v>0.20368551000000001</v>
      </c>
      <c r="Q47" s="1">
        <f>O47*0.4047</f>
        <v>20.368551</v>
      </c>
      <c r="R47" s="1">
        <f>O47/(E47/1000)</f>
        <v>5.0329999999999995</v>
      </c>
      <c r="S47" s="1">
        <f>E47/1000/P47</f>
        <v>49.095294014777977</v>
      </c>
      <c r="W47">
        <v>39.184851000000002</v>
      </c>
      <c r="X47">
        <v>-75.502167</v>
      </c>
      <c r="Y47" t="s">
        <v>21</v>
      </c>
      <c r="Z47" t="s">
        <v>776</v>
      </c>
      <c r="AA47" s="11" t="s">
        <v>96</v>
      </c>
      <c r="AB47" s="111">
        <v>0.20100000000000001</v>
      </c>
      <c r="AC47" t="s">
        <v>391</v>
      </c>
      <c r="AD47" t="s">
        <v>431</v>
      </c>
      <c r="AE47" t="s">
        <v>29</v>
      </c>
      <c r="AF47" t="s">
        <v>433</v>
      </c>
      <c r="AG47" s="15" t="s">
        <v>380</v>
      </c>
      <c r="AI47">
        <v>1</v>
      </c>
      <c r="AK47">
        <v>1530</v>
      </c>
      <c r="AL47">
        <v>1832.59</v>
      </c>
      <c r="AM47">
        <f t="shared" si="15"/>
        <v>5.6204606595037623</v>
      </c>
      <c r="AN47">
        <f t="shared" si="11"/>
        <v>2.7463862620662556</v>
      </c>
      <c r="AO47">
        <v>2672.06</v>
      </c>
      <c r="AP47">
        <f t="shared" si="20"/>
        <v>3.854703861440238</v>
      </c>
      <c r="AQ47">
        <v>1469.39</v>
      </c>
      <c r="AR47">
        <f t="shared" si="21"/>
        <v>7.0097115129407443</v>
      </c>
    </row>
    <row r="48" spans="1:44" x14ac:dyDescent="0.3">
      <c r="A48" s="353" t="s">
        <v>26</v>
      </c>
      <c r="B48" t="s">
        <v>704</v>
      </c>
      <c r="D48">
        <v>2012</v>
      </c>
      <c r="E48" s="18">
        <f>F48*$F$289</f>
        <v>11732.398232843148</v>
      </c>
      <c r="F48" s="98">
        <v>13780</v>
      </c>
      <c r="H48">
        <v>31680</v>
      </c>
      <c r="I48" t="s">
        <v>389</v>
      </c>
      <c r="J48">
        <v>118</v>
      </c>
      <c r="K48" s="9">
        <f t="shared" si="17"/>
        <v>0.47754600000000003</v>
      </c>
      <c r="L48" s="9">
        <f t="shared" si="18"/>
        <v>47.752905756000004</v>
      </c>
      <c r="M48" s="1">
        <f t="shared" si="8"/>
        <v>10.057619734529306</v>
      </c>
      <c r="N48" s="9">
        <f t="shared" si="19"/>
        <v>24.568100733422849</v>
      </c>
      <c r="W48">
        <v>35.684399999999997</v>
      </c>
      <c r="X48">
        <v>-117.6878</v>
      </c>
      <c r="Y48" t="s">
        <v>21</v>
      </c>
      <c r="Z48" t="s">
        <v>776</v>
      </c>
      <c r="AB48" s="15">
        <v>0.20100000000000001</v>
      </c>
      <c r="AC48" t="s">
        <v>705</v>
      </c>
      <c r="AD48" t="s">
        <v>706</v>
      </c>
      <c r="AE48" t="s">
        <v>109</v>
      </c>
      <c r="AF48" t="s">
        <v>611</v>
      </c>
      <c r="AG48" t="s">
        <v>380</v>
      </c>
      <c r="AI48">
        <v>1</v>
      </c>
      <c r="AL48">
        <v>2744.65</v>
      </c>
      <c r="AM48">
        <f t="shared" si="15"/>
        <v>3.6644452788258262</v>
      </c>
      <c r="AO48">
        <v>2672.06</v>
      </c>
      <c r="AP48">
        <f t="shared" si="20"/>
        <v>3.7639947211250142</v>
      </c>
      <c r="AQ48">
        <v>1469.39</v>
      </c>
      <c r="AR48">
        <f t="shared" si="21"/>
        <v>6.8447585287291357</v>
      </c>
    </row>
    <row r="49" spans="1:44" x14ac:dyDescent="0.3">
      <c r="A49" s="354" t="s">
        <v>171</v>
      </c>
      <c r="B49" s="11" t="s">
        <v>172</v>
      </c>
      <c r="C49" s="11"/>
      <c r="D49">
        <v>2014</v>
      </c>
      <c r="E49" s="18">
        <f>F49*$F$289</f>
        <v>12260.271012550169</v>
      </c>
      <c r="F49" s="18">
        <v>14400</v>
      </c>
      <c r="I49" t="s">
        <v>374</v>
      </c>
      <c r="J49">
        <v>90</v>
      </c>
      <c r="K49" s="9">
        <f t="shared" si="17"/>
        <v>0.36423</v>
      </c>
      <c r="L49" s="9">
        <f t="shared" si="18"/>
        <v>36.421707779999998</v>
      </c>
      <c r="M49" s="1">
        <f t="shared" si="8"/>
        <v>7.3407838952231907</v>
      </c>
      <c r="N49" s="9">
        <f t="shared" si="19"/>
        <v>33.660794038245527</v>
      </c>
      <c r="O49" s="24" t="s">
        <v>598</v>
      </c>
      <c r="P49" s="88"/>
      <c r="Q49" s="88"/>
      <c r="R49" s="88"/>
      <c r="S49" s="88"/>
      <c r="T49" s="1"/>
      <c r="U49" s="1"/>
      <c r="V49" s="1"/>
      <c r="W49">
        <v>39.605580000000003</v>
      </c>
      <c r="X49">
        <v>-75.1999</v>
      </c>
      <c r="Y49" t="s">
        <v>21</v>
      </c>
      <c r="AA49" s="10" t="s">
        <v>96</v>
      </c>
      <c r="AB49" s="15"/>
      <c r="AC49" s="15"/>
      <c r="AD49" s="15"/>
      <c r="AE49" s="11" t="s">
        <v>24</v>
      </c>
      <c r="AF49" t="s">
        <v>157</v>
      </c>
      <c r="AG49" s="15" t="s">
        <v>352</v>
      </c>
      <c r="AI49">
        <v>1</v>
      </c>
      <c r="AO49">
        <v>2672.06</v>
      </c>
      <c r="AP49">
        <f t="shared" si="20"/>
        <v>2.7472376725160328</v>
      </c>
      <c r="AQ49">
        <v>1469.39</v>
      </c>
      <c r="AR49">
        <f t="shared" si="21"/>
        <v>4.9958036295491253</v>
      </c>
    </row>
    <row r="50" spans="1:44" ht="14.25" customHeight="1" x14ac:dyDescent="0.3">
      <c r="A50" s="351" t="s">
        <v>107</v>
      </c>
      <c r="B50" s="11" t="s">
        <v>141</v>
      </c>
      <c r="C50" s="11"/>
      <c r="D50">
        <v>2007</v>
      </c>
      <c r="E50" s="42">
        <v>13500</v>
      </c>
      <c r="F50" s="94">
        <v>18000</v>
      </c>
      <c r="H50">
        <v>72416</v>
      </c>
      <c r="J50">
        <v>140</v>
      </c>
      <c r="K50" s="9">
        <f t="shared" si="17"/>
        <v>0.56658000000000008</v>
      </c>
      <c r="L50" s="9">
        <f t="shared" si="18"/>
        <v>56.65598988</v>
      </c>
      <c r="M50" s="1">
        <f t="shared" si="8"/>
        <v>10.37037037037037</v>
      </c>
      <c r="N50" s="1">
        <f t="shared" si="19"/>
        <v>23.82717356772212</v>
      </c>
      <c r="O50">
        <v>111</v>
      </c>
      <c r="P50" s="1">
        <f>O50*0.004047</f>
        <v>0.44921700000000003</v>
      </c>
      <c r="Q50" s="1">
        <f>O50*0.4047</f>
        <v>44.921700000000001</v>
      </c>
      <c r="R50" s="1">
        <f>O50/(E50/1000)</f>
        <v>8.2222222222222214</v>
      </c>
      <c r="S50" s="1">
        <f>E50/1000/P50</f>
        <v>30.052290986316187</v>
      </c>
      <c r="T50" s="105">
        <v>0.20730499999999999</v>
      </c>
      <c r="U50" s="1">
        <f>1/T50</f>
        <v>4.8238103277779123</v>
      </c>
      <c r="V50" s="1">
        <f>T50*R50</f>
        <v>1.7045077777777775</v>
      </c>
      <c r="W50">
        <v>36.256827000000001</v>
      </c>
      <c r="X50">
        <v>-115.05431</v>
      </c>
      <c r="Y50" t="s">
        <v>21</v>
      </c>
      <c r="Z50" s="100" t="s">
        <v>898</v>
      </c>
      <c r="AA50" t="s">
        <v>95</v>
      </c>
      <c r="AB50" s="15"/>
      <c r="AC50" s="15"/>
      <c r="AD50" s="15"/>
      <c r="AE50" t="s">
        <v>29</v>
      </c>
      <c r="AF50" t="s">
        <v>34</v>
      </c>
      <c r="AG50" s="15" t="s">
        <v>353</v>
      </c>
      <c r="AI50">
        <v>1</v>
      </c>
      <c r="AK50">
        <v>2064</v>
      </c>
      <c r="AL50">
        <v>2714.5</v>
      </c>
      <c r="AM50">
        <f t="shared" si="15"/>
        <v>3.8203611605711441</v>
      </c>
      <c r="AN50">
        <f t="shared" si="11"/>
        <v>3.0290006344528355</v>
      </c>
      <c r="AO50">
        <v>2893.82</v>
      </c>
      <c r="AP50">
        <f t="shared" si="20"/>
        <v>3.5836266147757536</v>
      </c>
      <c r="AQ50">
        <v>1582.72</v>
      </c>
      <c r="AR50">
        <f t="shared" si="21"/>
        <v>6.5522457354240613</v>
      </c>
    </row>
    <row r="51" spans="1:44" ht="14.25" customHeight="1" x14ac:dyDescent="0.3">
      <c r="A51" s="353" t="s">
        <v>35</v>
      </c>
      <c r="B51" t="s">
        <v>638</v>
      </c>
      <c r="D51">
        <v>2012</v>
      </c>
      <c r="E51" s="98">
        <v>14000</v>
      </c>
      <c r="F51" s="98">
        <v>15000</v>
      </c>
      <c r="G51">
        <v>68</v>
      </c>
      <c r="H51">
        <v>52000</v>
      </c>
      <c r="I51" t="s">
        <v>389</v>
      </c>
      <c r="J51">
        <v>100</v>
      </c>
      <c r="K51" s="9">
        <f t="shared" si="17"/>
        <v>0.4047</v>
      </c>
      <c r="L51" s="9">
        <f t="shared" si="18"/>
        <v>40.468564200000003</v>
      </c>
      <c r="M51" s="1">
        <f t="shared" si="8"/>
        <v>7.1428571428571432</v>
      </c>
      <c r="N51" s="9">
        <f t="shared" si="19"/>
        <v>34.59352606869286</v>
      </c>
      <c r="W51">
        <v>33.517000000000003</v>
      </c>
      <c r="X51">
        <v>-112.36750000000001</v>
      </c>
      <c r="Y51" t="s">
        <v>21</v>
      </c>
      <c r="AB51" s="15">
        <v>0.185</v>
      </c>
      <c r="AC51" t="s">
        <v>391</v>
      </c>
      <c r="AD51" t="s">
        <v>389</v>
      </c>
      <c r="AE51" t="s">
        <v>29</v>
      </c>
      <c r="AF51" t="s">
        <v>645</v>
      </c>
      <c r="AG51" t="s">
        <v>380</v>
      </c>
      <c r="AI51">
        <v>1</v>
      </c>
      <c r="AK51">
        <v>2161</v>
      </c>
      <c r="AL51">
        <v>2585.8200000000002</v>
      </c>
      <c r="AM51">
        <f t="shared" si="15"/>
        <v>2.7623180046782618</v>
      </c>
      <c r="AO51">
        <v>2670.31</v>
      </c>
      <c r="AP51">
        <f t="shared" si="20"/>
        <v>2.6749168234613747</v>
      </c>
      <c r="AQ51">
        <v>1472.6</v>
      </c>
      <c r="AR51">
        <f t="shared" si="21"/>
        <v>4.8505073630701778</v>
      </c>
    </row>
    <row r="52" spans="1:44" ht="14.25" customHeight="1" x14ac:dyDescent="0.3">
      <c r="A52" s="353" t="s">
        <v>35</v>
      </c>
      <c r="B52" t="s">
        <v>636</v>
      </c>
      <c r="D52">
        <v>2013</v>
      </c>
      <c r="E52" s="18">
        <f>F52*$F$289</f>
        <v>14473.931056482839</v>
      </c>
      <c r="F52">
        <v>17000</v>
      </c>
      <c r="I52" t="s">
        <v>8</v>
      </c>
      <c r="J52">
        <v>130</v>
      </c>
      <c r="K52" s="9">
        <f t="shared" si="17"/>
        <v>0.52611000000000008</v>
      </c>
      <c r="L52" s="9">
        <f t="shared" si="18"/>
        <v>52.609133460000002</v>
      </c>
      <c r="M52" s="1">
        <f t="shared" si="8"/>
        <v>8.9816650012142549</v>
      </c>
      <c r="N52" s="9">
        <f t="shared" si="19"/>
        <v>27.51122589664298</v>
      </c>
      <c r="W52">
        <v>32.841700000000003</v>
      </c>
      <c r="X52">
        <v>-113.4362</v>
      </c>
      <c r="Y52" t="s">
        <v>21</v>
      </c>
      <c r="AB52" s="15">
        <v>0.14000000000000001</v>
      </c>
      <c r="AC52" t="s">
        <v>399</v>
      </c>
      <c r="AD52" t="s">
        <v>640</v>
      </c>
      <c r="AE52" t="s">
        <v>109</v>
      </c>
      <c r="AF52" t="s">
        <v>645</v>
      </c>
      <c r="AG52" t="s">
        <v>380</v>
      </c>
      <c r="AI52">
        <v>1</v>
      </c>
      <c r="AL52">
        <v>2602.4699999999998</v>
      </c>
      <c r="AM52">
        <f t="shared" si="15"/>
        <v>3.4512078914316997</v>
      </c>
      <c r="AO52">
        <v>2672.06</v>
      </c>
      <c r="AP52">
        <f t="shared" si="20"/>
        <v>3.3613260934313809</v>
      </c>
      <c r="AQ52">
        <v>1469.39</v>
      </c>
      <c r="AR52">
        <f t="shared" si="21"/>
        <v>6.112512676154223</v>
      </c>
    </row>
    <row r="53" spans="1:44" ht="14.25" customHeight="1" x14ac:dyDescent="0.3">
      <c r="A53" s="353" t="s">
        <v>26</v>
      </c>
      <c r="B53" t="s">
        <v>646</v>
      </c>
      <c r="D53">
        <v>2011</v>
      </c>
      <c r="E53" s="108">
        <v>15000</v>
      </c>
      <c r="F53" s="98">
        <v>16438.8</v>
      </c>
      <c r="H53">
        <v>58710</v>
      </c>
      <c r="I53" t="s">
        <v>167</v>
      </c>
      <c r="J53">
        <v>119.67</v>
      </c>
      <c r="K53">
        <f t="shared" si="17"/>
        <v>0.48430449000000003</v>
      </c>
      <c r="L53" s="9">
        <f t="shared" si="18"/>
        <v>48.42873077814</v>
      </c>
      <c r="M53" s="1">
        <f t="shared" si="8"/>
        <v>7.9779999999999998</v>
      </c>
      <c r="N53">
        <f t="shared" si="19"/>
        <v>30.972250536021253</v>
      </c>
      <c r="O53">
        <v>84.744</v>
      </c>
      <c r="P53" s="1">
        <f>O53*0.004047</f>
        <v>0.34295896800000003</v>
      </c>
      <c r="Q53" s="1">
        <f>O53*0.4047</f>
        <v>34.295896800000001</v>
      </c>
      <c r="R53" s="1">
        <f>O53/(E53/1000)</f>
        <v>5.6496000000000004</v>
      </c>
      <c r="S53" s="1">
        <f>E53/1000/P53</f>
        <v>43.737010545238164</v>
      </c>
      <c r="T53">
        <v>0.35339999999999999</v>
      </c>
      <c r="U53" s="1">
        <f>1/T53</f>
        <v>2.8296547821165818</v>
      </c>
      <c r="V53" s="1">
        <f>T53*R53</f>
        <v>1.99656864</v>
      </c>
      <c r="W53">
        <v>38.347709999999999</v>
      </c>
      <c r="X53">
        <v>-121.41285000000001</v>
      </c>
      <c r="Y53" t="s">
        <v>21</v>
      </c>
      <c r="Z53" t="s">
        <v>776</v>
      </c>
      <c r="AA53" t="s">
        <v>94</v>
      </c>
      <c r="AB53" s="15">
        <v>0.14699999999999999</v>
      </c>
      <c r="AC53" t="s">
        <v>399</v>
      </c>
      <c r="AD53" t="s">
        <v>649</v>
      </c>
      <c r="AE53" t="s">
        <v>29</v>
      </c>
      <c r="AF53" t="s">
        <v>641</v>
      </c>
      <c r="AG53" t="s">
        <v>647</v>
      </c>
      <c r="AI53">
        <v>1</v>
      </c>
      <c r="AL53">
        <v>2229.83</v>
      </c>
      <c r="AM53">
        <f t="shared" si="15"/>
        <v>3.5778512263266706</v>
      </c>
      <c r="AN53">
        <f t="shared" si="11"/>
        <v>2.533646062704332</v>
      </c>
      <c r="AO53">
        <v>2670.84</v>
      </c>
      <c r="AP53">
        <f t="shared" si="20"/>
        <v>2.9870752272693228</v>
      </c>
      <c r="AQ53">
        <v>1471.91</v>
      </c>
      <c r="AR53">
        <f t="shared" si="21"/>
        <v>5.4201683526846063</v>
      </c>
    </row>
    <row r="54" spans="1:44" ht="14.25" customHeight="1" x14ac:dyDescent="0.3">
      <c r="A54" s="353" t="s">
        <v>26</v>
      </c>
      <c r="B54" t="s">
        <v>651</v>
      </c>
      <c r="D54">
        <v>2011</v>
      </c>
      <c r="E54" s="108">
        <v>15000</v>
      </c>
      <c r="F54" s="98">
        <v>16609</v>
      </c>
      <c r="H54">
        <v>59318</v>
      </c>
      <c r="I54" t="s">
        <v>167</v>
      </c>
      <c r="J54">
        <v>116.61</v>
      </c>
      <c r="K54" s="9">
        <f t="shared" si="17"/>
        <v>0.47192067000000004</v>
      </c>
      <c r="L54" s="9">
        <f t="shared" si="18"/>
        <v>47.19039271362</v>
      </c>
      <c r="M54" s="1">
        <f t="shared" si="8"/>
        <v>7.774</v>
      </c>
      <c r="N54" s="9">
        <f t="shared" si="19"/>
        <v>31.785003187082268</v>
      </c>
      <c r="O54">
        <v>100.38</v>
      </c>
      <c r="P54" s="1">
        <f>O54*0.004047</f>
        <v>0.40623786000000001</v>
      </c>
      <c r="Q54" s="1">
        <f>O54*0.4047</f>
        <v>40.623785999999996</v>
      </c>
      <c r="R54" s="1">
        <f>O54/(E54/1000)</f>
        <v>6.6919999999999993</v>
      </c>
      <c r="S54" s="1">
        <f>E54/1000/P54</f>
        <v>36.92418033119808</v>
      </c>
      <c r="T54">
        <v>0.50570000000000004</v>
      </c>
      <c r="U54" s="1">
        <f>1/T54</f>
        <v>1.9774569903104606</v>
      </c>
      <c r="V54" s="1">
        <f>T54*R54</f>
        <v>3.3841443999999998</v>
      </c>
      <c r="W54">
        <v>38.365569999999998</v>
      </c>
      <c r="X54">
        <v>-121.41294000000001</v>
      </c>
      <c r="Y54" t="s">
        <v>21</v>
      </c>
      <c r="Z54" t="s">
        <v>899</v>
      </c>
      <c r="AA54" t="s">
        <v>96</v>
      </c>
      <c r="AB54" s="15">
        <v>0.14699999999999999</v>
      </c>
      <c r="AC54" t="s">
        <v>399</v>
      </c>
      <c r="AD54" t="s">
        <v>649</v>
      </c>
      <c r="AE54" t="s">
        <v>29</v>
      </c>
      <c r="AF54" t="s">
        <v>641</v>
      </c>
      <c r="AG54" t="s">
        <v>647</v>
      </c>
      <c r="AI54">
        <v>1</v>
      </c>
      <c r="AL54">
        <v>2229.89</v>
      </c>
      <c r="AM54">
        <f t="shared" si="15"/>
        <v>3.4862706232145988</v>
      </c>
      <c r="AN54">
        <f t="shared" si="11"/>
        <v>3.0010448945912129</v>
      </c>
      <c r="AO54">
        <v>2671.07</v>
      </c>
      <c r="AP54">
        <f t="shared" si="20"/>
        <v>2.9104441291317706</v>
      </c>
      <c r="AQ54">
        <v>1471.58</v>
      </c>
      <c r="AR54">
        <f t="shared" si="21"/>
        <v>5.282757308471167</v>
      </c>
    </row>
    <row r="55" spans="1:44" ht="14.25" customHeight="1" x14ac:dyDescent="0.3">
      <c r="A55" s="354" t="s">
        <v>47</v>
      </c>
      <c r="B55" s="11" t="s">
        <v>188</v>
      </c>
      <c r="C55" s="11"/>
      <c r="D55">
        <v>2011</v>
      </c>
      <c r="E55" s="28">
        <v>15500</v>
      </c>
      <c r="F55" s="94">
        <v>17200</v>
      </c>
      <c r="G55">
        <v>173</v>
      </c>
      <c r="H55">
        <v>64000</v>
      </c>
      <c r="I55" t="s">
        <v>189</v>
      </c>
      <c r="J55">
        <v>200</v>
      </c>
      <c r="K55" s="9">
        <f t="shared" si="17"/>
        <v>0.80940000000000001</v>
      </c>
      <c r="L55" s="9">
        <f t="shared" si="18"/>
        <v>80.937128400000006</v>
      </c>
      <c r="M55" s="1">
        <f t="shared" si="8"/>
        <v>12.903225806451612</v>
      </c>
      <c r="N55" s="9">
        <f t="shared" si="19"/>
        <v>19.149987645169261</v>
      </c>
      <c r="O55">
        <v>116.5</v>
      </c>
      <c r="P55" s="1">
        <f>O55*0.004047</f>
        <v>0.47147550000000005</v>
      </c>
      <c r="Q55" s="1">
        <f>O55*0.4047</f>
        <v>47.147550000000003</v>
      </c>
      <c r="R55" s="1">
        <f>O55/(E55/1000)</f>
        <v>7.5161290322580649</v>
      </c>
      <c r="S55" s="1">
        <f>E55/1000/P55</f>
        <v>32.875515270676843</v>
      </c>
      <c r="T55">
        <v>0.34799999999999998</v>
      </c>
      <c r="U55" s="1">
        <f>1/T55</f>
        <v>2.8735632183908049</v>
      </c>
      <c r="V55" s="1">
        <f>T55*R55</f>
        <v>2.6156129032258066</v>
      </c>
      <c r="W55">
        <v>35.749160000000003</v>
      </c>
      <c r="X55">
        <v>-80.292460000000005</v>
      </c>
      <c r="Y55" t="s">
        <v>21</v>
      </c>
      <c r="Z55" t="s">
        <v>777</v>
      </c>
      <c r="AA55" s="11" t="s">
        <v>96</v>
      </c>
      <c r="AB55" s="15"/>
      <c r="AC55" s="15"/>
      <c r="AD55" s="15"/>
      <c r="AE55" t="s">
        <v>29</v>
      </c>
      <c r="AF55" t="s">
        <v>110</v>
      </c>
      <c r="AG55" s="15" t="s">
        <v>252</v>
      </c>
      <c r="AI55">
        <v>1</v>
      </c>
      <c r="AL55">
        <v>1952.83</v>
      </c>
      <c r="AM55">
        <f t="shared" si="15"/>
        <v>6.6074496020911253</v>
      </c>
      <c r="AN55">
        <f t="shared" si="11"/>
        <v>3.8488393932180811</v>
      </c>
      <c r="AO55">
        <v>2671.11</v>
      </c>
      <c r="AP55">
        <f t="shared" si="20"/>
        <v>4.8306605892125791</v>
      </c>
      <c r="AQ55">
        <v>1471.5</v>
      </c>
      <c r="AR55">
        <f t="shared" si="21"/>
        <v>8.768756919097255</v>
      </c>
    </row>
    <row r="56" spans="1:44" ht="14.25" customHeight="1" x14ac:dyDescent="0.3">
      <c r="A56" s="353" t="s">
        <v>107</v>
      </c>
      <c r="B56" t="s">
        <v>654</v>
      </c>
      <c r="D56">
        <v>2012</v>
      </c>
      <c r="E56" s="108">
        <v>17500</v>
      </c>
      <c r="F56" s="98">
        <v>20000</v>
      </c>
      <c r="I56" t="s">
        <v>655</v>
      </c>
      <c r="J56">
        <v>212</v>
      </c>
      <c r="K56" s="9">
        <f t="shared" si="17"/>
        <v>0.85796400000000006</v>
      </c>
      <c r="L56" s="9">
        <f t="shared" si="18"/>
        <v>85.793356103999997</v>
      </c>
      <c r="M56" s="1">
        <f t="shared" si="8"/>
        <v>12.114285714285714</v>
      </c>
      <c r="N56" s="9">
        <f t="shared" si="19"/>
        <v>20.397126219748145</v>
      </c>
      <c r="W56">
        <v>35.484279999999998</v>
      </c>
      <c r="X56">
        <v>-114.93731</v>
      </c>
      <c r="Y56" t="s">
        <v>21</v>
      </c>
      <c r="AB56" s="111"/>
      <c r="AE56" t="s">
        <v>29</v>
      </c>
      <c r="AF56" t="s">
        <v>611</v>
      </c>
      <c r="AG56" t="s">
        <v>380</v>
      </c>
      <c r="AI56">
        <v>1</v>
      </c>
      <c r="AL56">
        <v>2693.61</v>
      </c>
      <c r="AM56">
        <f t="shared" si="15"/>
        <v>4.4974163721866613</v>
      </c>
      <c r="AO56">
        <v>2671.66</v>
      </c>
      <c r="AP56">
        <f t="shared" si="20"/>
        <v>4.5343665415081684</v>
      </c>
      <c r="AQ56">
        <v>1470.46</v>
      </c>
      <c r="AR56">
        <f t="shared" si="21"/>
        <v>8.2384326770437237</v>
      </c>
    </row>
    <row r="57" spans="1:44" ht="14.25" customHeight="1" thickBot="1" x14ac:dyDescent="0.35">
      <c r="A57" s="355" t="s">
        <v>35</v>
      </c>
      <c r="B57" t="s">
        <v>637</v>
      </c>
      <c r="D57">
        <v>2011</v>
      </c>
      <c r="E57" s="108">
        <v>18000</v>
      </c>
      <c r="F57" s="98">
        <v>21000</v>
      </c>
      <c r="H57">
        <v>75168</v>
      </c>
      <c r="I57" t="s">
        <v>643</v>
      </c>
      <c r="J57">
        <v>145</v>
      </c>
      <c r="K57" s="9">
        <f t="shared" si="17"/>
        <v>0.58681500000000009</v>
      </c>
      <c r="L57" s="9">
        <f t="shared" si="18"/>
        <v>58.679418089999999</v>
      </c>
      <c r="M57" s="1">
        <f t="shared" si="8"/>
        <v>8.0555555555555554</v>
      </c>
      <c r="N57" s="9">
        <f t="shared" si="19"/>
        <v>30.674062523964107</v>
      </c>
      <c r="W57">
        <v>33.031500000000001</v>
      </c>
      <c r="X57">
        <v>-112.6606</v>
      </c>
      <c r="Y57" t="s">
        <v>21</v>
      </c>
      <c r="AB57" s="15"/>
      <c r="AD57" t="s">
        <v>593</v>
      </c>
      <c r="AE57" t="s">
        <v>29</v>
      </c>
      <c r="AF57" t="s">
        <v>645</v>
      </c>
      <c r="AG57" t="s">
        <v>380</v>
      </c>
      <c r="AI57">
        <v>1</v>
      </c>
      <c r="AL57">
        <v>2591.2800000000002</v>
      </c>
      <c r="AM57">
        <f t="shared" si="15"/>
        <v>3.108716756026193</v>
      </c>
      <c r="AO57">
        <v>2671.97</v>
      </c>
      <c r="AP57">
        <f t="shared" si="20"/>
        <v>3.0148375751058416</v>
      </c>
      <c r="AQ57">
        <v>1469.66</v>
      </c>
      <c r="AR57">
        <f t="shared" si="21"/>
        <v>5.4812375349098126</v>
      </c>
    </row>
    <row r="58" spans="1:44" ht="14.25" customHeight="1" x14ac:dyDescent="0.3">
      <c r="A58" s="347" t="s">
        <v>26</v>
      </c>
      <c r="B58" s="11" t="s">
        <v>502</v>
      </c>
      <c r="C58" s="11"/>
      <c r="D58">
        <v>2008</v>
      </c>
      <c r="E58" s="18">
        <f t="shared" ref="E58:E63" si="25">F58*$F$289</f>
        <v>863.32741713374105</v>
      </c>
      <c r="F58" s="94">
        <v>1014</v>
      </c>
      <c r="G58">
        <v>8.3000000000000007</v>
      </c>
      <c r="H58">
        <v>4984</v>
      </c>
      <c r="I58" t="s">
        <v>503</v>
      </c>
      <c r="J58" s="74">
        <v>10</v>
      </c>
      <c r="K58" s="9">
        <f t="shared" ref="K58:K65" si="26">J58*0.004047</f>
        <v>4.0470000000000006E-2</v>
      </c>
      <c r="L58" s="9">
        <f t="shared" ref="L58:L65" si="27">J58*0.404685642</f>
        <v>4.0468564200000001</v>
      </c>
      <c r="M58" s="1">
        <f t="shared" ref="M58:M65" si="28">J58/(E58/1000)</f>
        <v>11.583090958932056</v>
      </c>
      <c r="N58" s="1">
        <f t="shared" ref="N58:N65" si="29">E58/1000/K58</f>
        <v>21.332528221738102</v>
      </c>
      <c r="O58" s="11">
        <v>5.9</v>
      </c>
      <c r="P58" s="1">
        <f t="shared" ref="P58:P65" si="30">O58*0.004047</f>
        <v>2.3877300000000004E-2</v>
      </c>
      <c r="Q58" s="1">
        <f t="shared" ref="Q58:Q65" si="31">O58*0.4047</f>
        <v>2.3877300000000004</v>
      </c>
      <c r="R58" s="1">
        <f t="shared" ref="R58:R65" si="32">O58/(E58/1000)</f>
        <v>6.8340236657699132</v>
      </c>
      <c r="S58" s="1">
        <f t="shared" ref="S58:S65" si="33">E58/1000/P58</f>
        <v>36.156827494471358</v>
      </c>
      <c r="T58">
        <v>0.23130000000000001</v>
      </c>
      <c r="U58" s="1">
        <f t="shared" ref="U58:U65" si="34">1/T58</f>
        <v>4.3233895373973192</v>
      </c>
      <c r="V58" s="1">
        <f t="shared" ref="V58:V65" si="35">T58*R58</f>
        <v>1.580709673892581</v>
      </c>
      <c r="W58">
        <v>37.966814999999997</v>
      </c>
      <c r="X58">
        <v>-122.379823</v>
      </c>
      <c r="Y58" t="s">
        <v>139</v>
      </c>
      <c r="Z58" t="s">
        <v>504</v>
      </c>
      <c r="AA58" s="11" t="s">
        <v>371</v>
      </c>
      <c r="AB58" s="15">
        <v>0.14399999999999999</v>
      </c>
      <c r="AC58" s="11" t="s">
        <v>399</v>
      </c>
      <c r="AD58" s="260" t="s">
        <v>505</v>
      </c>
      <c r="AE58" t="s">
        <v>29</v>
      </c>
      <c r="AF58" t="s">
        <v>506</v>
      </c>
      <c r="AG58" s="15" t="s">
        <v>385</v>
      </c>
      <c r="AI58">
        <v>1</v>
      </c>
      <c r="AK58">
        <v>2030</v>
      </c>
      <c r="AL58">
        <v>2430.54</v>
      </c>
      <c r="AM58">
        <f t="shared" ref="AM58:AM65" si="36">1/(AL58/$M58/1000)</f>
        <v>4.7656450660890401</v>
      </c>
      <c r="AN58">
        <f t="shared" ref="AN58:AN65" si="37">1/(AL58/$R58/1000)</f>
        <v>2.8117305889925341</v>
      </c>
      <c r="AO58">
        <v>3150.65</v>
      </c>
      <c r="AP58">
        <f>1/(AO58/$M58/1000)</f>
        <v>3.6764131080672415</v>
      </c>
      <c r="AQ58">
        <v>1682.24</v>
      </c>
      <c r="AR58">
        <f t="shared" ref="AR58:AR65" si="38">1/(AQ58/$M58/1000)</f>
        <v>6.8855163109497193</v>
      </c>
    </row>
    <row r="59" spans="1:44" ht="14.25" customHeight="1" x14ac:dyDescent="0.3">
      <c r="A59" s="347" t="s">
        <v>3</v>
      </c>
      <c r="B59" s="10" t="s">
        <v>42</v>
      </c>
      <c r="C59" s="10"/>
      <c r="D59">
        <v>2007</v>
      </c>
      <c r="E59" s="18">
        <f t="shared" si="25"/>
        <v>882.90979444545314</v>
      </c>
      <c r="F59" s="18">
        <v>1037</v>
      </c>
      <c r="H59">
        <v>72</v>
      </c>
      <c r="I59" t="s">
        <v>8</v>
      </c>
      <c r="J59" s="260">
        <f>O59*1.926</f>
        <v>11.920014</v>
      </c>
      <c r="K59" s="9">
        <f t="shared" si="26"/>
        <v>4.8240296658000004E-2</v>
      </c>
      <c r="L59" s="9">
        <f t="shared" si="27"/>
        <v>4.8238585182389881</v>
      </c>
      <c r="M59" s="1">
        <f t="shared" si="28"/>
        <v>13.500828821914748</v>
      </c>
      <c r="N59" s="1">
        <f t="shared" si="29"/>
        <v>18.302329289242348</v>
      </c>
      <c r="O59" s="260">
        <v>6.1890000000000001</v>
      </c>
      <c r="P59" s="1">
        <f t="shared" si="30"/>
        <v>2.5046883000000002E-2</v>
      </c>
      <c r="Q59" s="1">
        <f t="shared" si="31"/>
        <v>2.5046883000000002</v>
      </c>
      <c r="R59" s="1">
        <f t="shared" si="32"/>
        <v>7.0097761276815929</v>
      </c>
      <c r="S59" s="1">
        <f t="shared" si="33"/>
        <v>35.250286211080756</v>
      </c>
      <c r="T59">
        <v>0.22</v>
      </c>
      <c r="U59" s="1">
        <f t="shared" si="34"/>
        <v>4.5454545454545459</v>
      </c>
      <c r="V59" s="1">
        <f t="shared" si="35"/>
        <v>1.5421507480899503</v>
      </c>
      <c r="W59">
        <v>37.688524000000001</v>
      </c>
      <c r="X59">
        <v>-105.87646700000001</v>
      </c>
      <c r="Y59" t="s">
        <v>139</v>
      </c>
      <c r="AA59" s="260" t="s">
        <v>96</v>
      </c>
      <c r="AB59" s="15">
        <v>0.14280000000000001</v>
      </c>
      <c r="AC59" s="15" t="s">
        <v>391</v>
      </c>
      <c r="AD59" s="15" t="s">
        <v>72</v>
      </c>
      <c r="AE59" t="s">
        <v>29</v>
      </c>
      <c r="AF59" t="s">
        <v>19</v>
      </c>
      <c r="AG59" s="15" t="s">
        <v>353</v>
      </c>
      <c r="AI59">
        <v>1</v>
      </c>
      <c r="AK59">
        <v>2528</v>
      </c>
      <c r="AL59">
        <v>3026.33</v>
      </c>
      <c r="AM59">
        <f t="shared" si="36"/>
        <v>4.4611224889270993</v>
      </c>
      <c r="AN59">
        <f t="shared" si="37"/>
        <v>2.3162629745208201</v>
      </c>
      <c r="AO59">
        <v>3150.65</v>
      </c>
      <c r="AP59">
        <f>1/(AO59/$M59/1000)</f>
        <v>4.2850931782060044</v>
      </c>
      <c r="AQ59">
        <v>1682.24</v>
      </c>
      <c r="AR59">
        <f t="shared" si="38"/>
        <v>8.0255069561505774</v>
      </c>
    </row>
    <row r="60" spans="1:44" ht="14.25" customHeight="1" x14ac:dyDescent="0.3">
      <c r="A60" s="347" t="s">
        <v>160</v>
      </c>
      <c r="B60" s="11" t="s">
        <v>467</v>
      </c>
      <c r="C60" s="11"/>
      <c r="D60">
        <v>2010</v>
      </c>
      <c r="E60" s="18">
        <f t="shared" si="25"/>
        <v>986.78153496844766</v>
      </c>
      <c r="F60" s="18">
        <v>1159</v>
      </c>
      <c r="H60">
        <v>5367</v>
      </c>
      <c r="I60" t="s">
        <v>8</v>
      </c>
      <c r="J60">
        <v>9.5</v>
      </c>
      <c r="K60" s="9">
        <f t="shared" si="26"/>
        <v>3.8446500000000002E-2</v>
      </c>
      <c r="L60" s="9">
        <f t="shared" si="27"/>
        <v>3.8445135989999999</v>
      </c>
      <c r="M60" s="1">
        <f t="shared" si="28"/>
        <v>9.6272575675058238</v>
      </c>
      <c r="N60" s="1">
        <f t="shared" si="29"/>
        <v>25.666355454162215</v>
      </c>
      <c r="O60" s="11">
        <v>9</v>
      </c>
      <c r="P60" s="1">
        <f t="shared" si="30"/>
        <v>3.6423000000000004E-2</v>
      </c>
      <c r="Q60" s="1">
        <f t="shared" si="31"/>
        <v>3.6423000000000001</v>
      </c>
      <c r="R60" s="1">
        <f t="shared" si="32"/>
        <v>9.1205598007949913</v>
      </c>
      <c r="S60" s="1">
        <f t="shared" si="33"/>
        <v>27.09226409050456</v>
      </c>
      <c r="T60">
        <v>0.21</v>
      </c>
      <c r="U60" s="1">
        <f t="shared" si="34"/>
        <v>4.7619047619047619</v>
      </c>
      <c r="V60" s="1">
        <f t="shared" si="35"/>
        <v>1.9153175581669482</v>
      </c>
      <c r="W60">
        <v>36.942748999999999</v>
      </c>
      <c r="X60">
        <v>-120.158908</v>
      </c>
      <c r="Y60" t="s">
        <v>139</v>
      </c>
      <c r="AA60" s="11" t="s">
        <v>95</v>
      </c>
      <c r="AB60" s="15">
        <v>0.14000000000000001</v>
      </c>
      <c r="AC60" s="260" t="s">
        <v>399</v>
      </c>
      <c r="AD60" s="260" t="s">
        <v>468</v>
      </c>
      <c r="AE60" t="s">
        <v>29</v>
      </c>
      <c r="AF60" t="s">
        <v>157</v>
      </c>
      <c r="AG60" s="15" t="s">
        <v>385</v>
      </c>
      <c r="AI60">
        <v>1</v>
      </c>
      <c r="AK60">
        <v>2117</v>
      </c>
      <c r="AL60">
        <v>2534.3200000000002</v>
      </c>
      <c r="AM60">
        <f t="shared" si="36"/>
        <v>3.7987537357183871</v>
      </c>
      <c r="AN60">
        <f t="shared" si="37"/>
        <v>3.5988193285753147</v>
      </c>
      <c r="AO60">
        <v>3150.65</v>
      </c>
      <c r="AP60">
        <f>1/(AO60/$M60/1000)</f>
        <v>3.0556417144099863</v>
      </c>
      <c r="AQ60">
        <v>1682.24</v>
      </c>
      <c r="AR60">
        <f t="shared" si="38"/>
        <v>5.722879950248374</v>
      </c>
    </row>
    <row r="61" spans="1:44" ht="14.25" customHeight="1" thickBot="1" x14ac:dyDescent="0.35">
      <c r="A61" s="348" t="s">
        <v>529</v>
      </c>
      <c r="B61" s="11" t="s">
        <v>528</v>
      </c>
      <c r="C61" s="11"/>
      <c r="D61">
        <v>2011</v>
      </c>
      <c r="E61" s="18">
        <f t="shared" si="25"/>
        <v>1873.0969602507203</v>
      </c>
      <c r="F61" s="75">
        <v>2200</v>
      </c>
      <c r="G61">
        <v>12</v>
      </c>
      <c r="H61">
        <v>9000</v>
      </c>
      <c r="I61" t="s">
        <v>530</v>
      </c>
      <c r="J61" s="74">
        <v>27</v>
      </c>
      <c r="K61" s="9">
        <f t="shared" si="26"/>
        <v>0.10926900000000001</v>
      </c>
      <c r="L61" s="9">
        <f t="shared" si="27"/>
        <v>10.926512334</v>
      </c>
      <c r="M61" s="1">
        <f t="shared" si="28"/>
        <v>14.414630194256446</v>
      </c>
      <c r="N61" s="1">
        <f t="shared" si="29"/>
        <v>17.142071037995407</v>
      </c>
      <c r="O61" s="11">
        <v>22</v>
      </c>
      <c r="P61" s="1">
        <f t="shared" si="30"/>
        <v>8.9034000000000002E-2</v>
      </c>
      <c r="Q61" s="1">
        <f t="shared" si="31"/>
        <v>8.9033999999999995</v>
      </c>
      <c r="R61" s="1">
        <f t="shared" si="32"/>
        <v>11.745254232357103</v>
      </c>
      <c r="S61" s="1">
        <f t="shared" si="33"/>
        <v>21.037996273903456</v>
      </c>
      <c r="T61">
        <v>0.22450000000000001</v>
      </c>
      <c r="U61" s="25">
        <f t="shared" si="34"/>
        <v>4.4543429844097995</v>
      </c>
      <c r="V61" s="25">
        <f t="shared" si="35"/>
        <v>2.6368095751641696</v>
      </c>
      <c r="W61">
        <v>44.435600000000001</v>
      </c>
      <c r="X61">
        <v>-73.146010000000004</v>
      </c>
      <c r="Y61" t="s">
        <v>139</v>
      </c>
      <c r="Z61" t="s">
        <v>531</v>
      </c>
      <c r="AA61" s="11" t="s">
        <v>96</v>
      </c>
      <c r="AB61" s="15"/>
      <c r="AC61" s="11"/>
      <c r="AD61" s="260" t="s">
        <v>532</v>
      </c>
      <c r="AE61" t="s">
        <v>29</v>
      </c>
      <c r="AF61" t="s">
        <v>157</v>
      </c>
      <c r="AG61" s="15" t="s">
        <v>385</v>
      </c>
      <c r="AI61">
        <v>1</v>
      </c>
      <c r="AK61">
        <v>1694</v>
      </c>
      <c r="AL61">
        <v>2028.24</v>
      </c>
      <c r="AM61">
        <f t="shared" si="36"/>
        <v>7.106964754790579</v>
      </c>
      <c r="AN61">
        <f t="shared" si="37"/>
        <v>5.7908601705701015</v>
      </c>
      <c r="AO61">
        <v>3150.65</v>
      </c>
      <c r="AP61">
        <f>1/(AO61/$M61/1000)</f>
        <v>4.5751290033029521</v>
      </c>
      <c r="AQ61">
        <v>1682.24</v>
      </c>
      <c r="AR61">
        <f t="shared" si="38"/>
        <v>8.5687120709627909</v>
      </c>
    </row>
    <row r="62" spans="1:44" ht="14.25" customHeight="1" x14ac:dyDescent="0.3">
      <c r="A62" s="345" t="s">
        <v>35</v>
      </c>
      <c r="B62" s="28" t="s">
        <v>632</v>
      </c>
      <c r="C62" s="28"/>
      <c r="D62">
        <v>2006</v>
      </c>
      <c r="E62" s="18">
        <f t="shared" si="25"/>
        <v>148.99634911085275</v>
      </c>
      <c r="F62" s="18">
        <v>175</v>
      </c>
      <c r="I62" t="s">
        <v>175</v>
      </c>
      <c r="J62" s="260">
        <v>1.635</v>
      </c>
      <c r="K62" s="9">
        <f t="shared" si="26"/>
        <v>6.6168450000000005E-3</v>
      </c>
      <c r="L62" s="9">
        <f t="shared" si="27"/>
        <v>0.66166102466999999</v>
      </c>
      <c r="M62" s="1">
        <f t="shared" si="28"/>
        <v>10.973423239945067</v>
      </c>
      <c r="N62" s="1">
        <f t="shared" si="29"/>
        <v>22.517733014881372</v>
      </c>
      <c r="O62" s="260">
        <v>0.86</v>
      </c>
      <c r="P62" s="1">
        <f t="shared" si="30"/>
        <v>3.4804200000000001E-3</v>
      </c>
      <c r="Q62" s="1">
        <f t="shared" si="31"/>
        <v>0.34804200000000002</v>
      </c>
      <c r="R62" s="1">
        <f t="shared" si="32"/>
        <v>5.7719535084726346</v>
      </c>
      <c r="S62" s="1">
        <f t="shared" si="33"/>
        <v>42.809876138757026</v>
      </c>
      <c r="T62">
        <v>0.133627</v>
      </c>
      <c r="U62" s="1">
        <f t="shared" si="34"/>
        <v>7.4835175525904196</v>
      </c>
      <c r="V62" s="1">
        <f t="shared" si="35"/>
        <v>0.77128883147667271</v>
      </c>
      <c r="W62">
        <v>34.674278000000001</v>
      </c>
      <c r="X62">
        <v>-112.406209</v>
      </c>
      <c r="Y62" t="s">
        <v>732</v>
      </c>
      <c r="AA62" s="260" t="s">
        <v>96</v>
      </c>
      <c r="AB62" s="15">
        <v>0.28999999999999998</v>
      </c>
      <c r="AC62" s="15" t="s">
        <v>177</v>
      </c>
      <c r="AD62" s="15" t="s">
        <v>176</v>
      </c>
      <c r="AE62" t="s">
        <v>29</v>
      </c>
      <c r="AF62" t="s">
        <v>157</v>
      </c>
      <c r="AG62" s="15" t="s">
        <v>352</v>
      </c>
      <c r="AI62">
        <v>1</v>
      </c>
      <c r="AL62">
        <v>3085.39</v>
      </c>
      <c r="AM62">
        <f t="shared" si="36"/>
        <v>3.5565757456739888</v>
      </c>
      <c r="AN62">
        <f t="shared" si="37"/>
        <v>1.8707370894676638</v>
      </c>
      <c r="AO62">
        <v>3150.65</v>
      </c>
      <c r="AP62">
        <f>1/(AO62/$M62/1000)</f>
        <v>3.4829077301334852</v>
      </c>
      <c r="AQ62">
        <v>1682.24</v>
      </c>
      <c r="AR62">
        <f t="shared" si="38"/>
        <v>6.5231020781488178</v>
      </c>
    </row>
    <row r="63" spans="1:44" ht="14.25" customHeight="1" x14ac:dyDescent="0.3">
      <c r="A63" s="345" t="s">
        <v>26</v>
      </c>
      <c r="B63" s="11" t="s">
        <v>445</v>
      </c>
      <c r="C63" s="11"/>
      <c r="D63">
        <v>2011</v>
      </c>
      <c r="E63" s="18">
        <f t="shared" si="25"/>
        <v>891.4238715375019</v>
      </c>
      <c r="F63" s="18">
        <v>1047</v>
      </c>
      <c r="H63">
        <v>119</v>
      </c>
      <c r="I63" t="s">
        <v>445</v>
      </c>
      <c r="J63" s="74">
        <v>6.8</v>
      </c>
      <c r="K63" s="9">
        <f t="shared" si="26"/>
        <v>2.7519600000000002E-2</v>
      </c>
      <c r="L63" s="9">
        <f t="shared" si="27"/>
        <v>2.7518623656000001</v>
      </c>
      <c r="M63" s="1">
        <f t="shared" si="28"/>
        <v>7.6282453467075744</v>
      </c>
      <c r="N63" s="1">
        <f t="shared" si="29"/>
        <v>32.392326615848411</v>
      </c>
      <c r="O63" s="260">
        <v>6.8</v>
      </c>
      <c r="P63" s="1">
        <f t="shared" si="30"/>
        <v>2.7519600000000002E-2</v>
      </c>
      <c r="Q63" s="1">
        <f t="shared" si="31"/>
        <v>2.75196</v>
      </c>
      <c r="R63" s="1">
        <f t="shared" si="32"/>
        <v>7.6282453467075744</v>
      </c>
      <c r="S63" s="1">
        <f t="shared" si="33"/>
        <v>32.392326615848411</v>
      </c>
      <c r="T63">
        <v>0.22</v>
      </c>
      <c r="U63" s="1">
        <f t="shared" si="34"/>
        <v>4.5454545454545459</v>
      </c>
      <c r="V63" s="1">
        <f t="shared" si="35"/>
        <v>1.6782139762756663</v>
      </c>
      <c r="W63">
        <v>36.271884</v>
      </c>
      <c r="X63">
        <v>-119.478266</v>
      </c>
      <c r="Y63" t="s">
        <v>732</v>
      </c>
      <c r="AA63" s="11" t="s">
        <v>94</v>
      </c>
      <c r="AB63" s="15">
        <v>0.25</v>
      </c>
      <c r="AD63" s="80" t="s">
        <v>446</v>
      </c>
      <c r="AE63" t="s">
        <v>29</v>
      </c>
      <c r="AF63" t="s">
        <v>157</v>
      </c>
      <c r="AG63" s="15" t="s">
        <v>380</v>
      </c>
      <c r="AI63">
        <v>1</v>
      </c>
      <c r="AL63">
        <v>2493.39</v>
      </c>
      <c r="AM63">
        <f t="shared" si="36"/>
        <v>3.0593871583296535</v>
      </c>
      <c r="AN63">
        <f t="shared" si="37"/>
        <v>3.0593871583296535</v>
      </c>
      <c r="AO63">
        <v>3150.65</v>
      </c>
      <c r="AQ63">
        <v>1682.24</v>
      </c>
      <c r="AR63">
        <f t="shared" si="38"/>
        <v>4.5345761286781761</v>
      </c>
    </row>
    <row r="64" spans="1:44" ht="14.25" customHeight="1" x14ac:dyDescent="0.3">
      <c r="A64" s="345" t="s">
        <v>160</v>
      </c>
      <c r="B64" s="11" t="s">
        <v>495</v>
      </c>
      <c r="C64" s="11"/>
      <c r="D64">
        <v>2011</v>
      </c>
      <c r="E64" s="94">
        <v>1000</v>
      </c>
      <c r="F64" s="18">
        <f>E64/$F$289</f>
        <v>1174.5254232357104</v>
      </c>
      <c r="G64">
        <v>10</v>
      </c>
      <c r="H64">
        <v>173</v>
      </c>
      <c r="I64" t="s">
        <v>496</v>
      </c>
      <c r="J64" s="74">
        <v>17</v>
      </c>
      <c r="K64" s="9">
        <f t="shared" si="26"/>
        <v>6.8798999999999999E-2</v>
      </c>
      <c r="L64" s="9">
        <f t="shared" si="27"/>
        <v>6.8796559140000006</v>
      </c>
      <c r="M64" s="1">
        <f t="shared" si="28"/>
        <v>17</v>
      </c>
      <c r="N64" s="1">
        <f t="shared" si="29"/>
        <v>14.535094986845738</v>
      </c>
      <c r="O64" s="11">
        <v>10.7</v>
      </c>
      <c r="P64" s="1">
        <f t="shared" si="30"/>
        <v>4.3302899999999998E-2</v>
      </c>
      <c r="Q64" s="1">
        <f t="shared" si="31"/>
        <v>4.3302899999999998</v>
      </c>
      <c r="R64" s="1">
        <f t="shared" si="32"/>
        <v>10.7</v>
      </c>
      <c r="S64" s="1">
        <f t="shared" si="33"/>
        <v>23.093141567885755</v>
      </c>
      <c r="T64">
        <v>0.18</v>
      </c>
      <c r="U64" s="1">
        <f t="shared" si="34"/>
        <v>5.5555555555555554</v>
      </c>
      <c r="V64" s="1">
        <f t="shared" si="35"/>
        <v>1.9259999999999997</v>
      </c>
      <c r="W64">
        <v>36.706257000000001</v>
      </c>
      <c r="X64">
        <v>-105.624189</v>
      </c>
      <c r="Y64" t="s">
        <v>732</v>
      </c>
      <c r="AA64" s="11" t="s">
        <v>95</v>
      </c>
      <c r="AB64" s="15">
        <v>0.25</v>
      </c>
      <c r="AC64" s="260" t="s">
        <v>501</v>
      </c>
      <c r="AD64" t="s">
        <v>497</v>
      </c>
      <c r="AE64" t="s">
        <v>29</v>
      </c>
      <c r="AG64" s="15"/>
      <c r="AI64">
        <v>1</v>
      </c>
      <c r="AJ64">
        <v>14</v>
      </c>
      <c r="AL64">
        <v>3002.75</v>
      </c>
      <c r="AM64">
        <f t="shared" si="36"/>
        <v>5.661476979435518</v>
      </c>
      <c r="AN64">
        <f t="shared" si="37"/>
        <v>3.5634002164682372</v>
      </c>
      <c r="AO64">
        <v>3150.65</v>
      </c>
      <c r="AQ64">
        <v>1682.24</v>
      </c>
      <c r="AR64">
        <f t="shared" si="38"/>
        <v>10.105573521019593</v>
      </c>
    </row>
    <row r="65" spans="1:44" ht="14.25" customHeight="1" thickBot="1" x14ac:dyDescent="0.35">
      <c r="A65" s="346" t="s">
        <v>160</v>
      </c>
      <c r="B65" s="11" t="s">
        <v>447</v>
      </c>
      <c r="C65" s="11"/>
      <c r="D65">
        <v>2011</v>
      </c>
      <c r="E65" s="94">
        <v>5040</v>
      </c>
      <c r="F65" s="94">
        <v>6468</v>
      </c>
      <c r="H65">
        <v>84</v>
      </c>
      <c r="I65" t="s">
        <v>448</v>
      </c>
      <c r="J65" s="74">
        <v>39</v>
      </c>
      <c r="K65" s="9">
        <f t="shared" si="26"/>
        <v>0.157833</v>
      </c>
      <c r="L65" s="9">
        <f t="shared" si="27"/>
        <v>15.782740038</v>
      </c>
      <c r="M65" s="1">
        <f t="shared" si="28"/>
        <v>7.7380952380952381</v>
      </c>
      <c r="N65" s="1">
        <f t="shared" si="29"/>
        <v>31.932485601870333</v>
      </c>
      <c r="O65" s="11">
        <v>30.28</v>
      </c>
      <c r="P65" s="1">
        <f t="shared" si="30"/>
        <v>0.12254316000000001</v>
      </c>
      <c r="Q65" s="1">
        <f t="shared" si="31"/>
        <v>12.254316000000001</v>
      </c>
      <c r="R65" s="1">
        <f t="shared" si="32"/>
        <v>6.0079365079365079</v>
      </c>
      <c r="S65" s="1">
        <f t="shared" si="33"/>
        <v>41.12836652816852</v>
      </c>
      <c r="T65">
        <v>0.32200000000000001</v>
      </c>
      <c r="U65" s="25">
        <f t="shared" si="34"/>
        <v>3.1055900621118013</v>
      </c>
      <c r="V65" s="25">
        <f t="shared" si="35"/>
        <v>1.9345555555555556</v>
      </c>
      <c r="W65">
        <v>32.627780000000001</v>
      </c>
      <c r="X65">
        <v>-107.25798</v>
      </c>
      <c r="Y65" t="s">
        <v>732</v>
      </c>
      <c r="AA65" s="11" t="s">
        <v>96</v>
      </c>
      <c r="AB65" s="15">
        <v>0.28999999999999998</v>
      </c>
      <c r="AD65" s="80" t="s">
        <v>449</v>
      </c>
      <c r="AE65" t="s">
        <v>29</v>
      </c>
      <c r="AF65" t="s">
        <v>450</v>
      </c>
      <c r="AG65" s="15" t="s">
        <v>444</v>
      </c>
      <c r="AI65">
        <v>1</v>
      </c>
      <c r="AL65">
        <v>3008.06</v>
      </c>
      <c r="AM65">
        <f t="shared" si="36"/>
        <v>2.5724537536137038</v>
      </c>
      <c r="AN65">
        <f t="shared" si="37"/>
        <v>1.9972794784467423</v>
      </c>
      <c r="AO65">
        <v>3154.59</v>
      </c>
      <c r="AQ65">
        <v>1679.85</v>
      </c>
      <c r="AR65">
        <f t="shared" si="38"/>
        <v>4.6064203578267344</v>
      </c>
    </row>
    <row r="66" spans="1:44" ht="14.25" customHeight="1" x14ac:dyDescent="0.3">
      <c r="A66" s="342" t="s">
        <v>3</v>
      </c>
      <c r="B66" s="10" t="s">
        <v>40</v>
      </c>
      <c r="C66" s="10"/>
      <c r="D66">
        <v>2007</v>
      </c>
      <c r="E66" s="18">
        <f>F66*$F$289</f>
        <v>510.84462552292371</v>
      </c>
      <c r="F66" s="18">
        <v>600</v>
      </c>
      <c r="H66">
        <v>2224</v>
      </c>
      <c r="I66" t="s">
        <v>8</v>
      </c>
      <c r="J66">
        <f>O66*1.926</f>
        <v>5.949414</v>
      </c>
      <c r="K66" s="9">
        <f t="shared" si="17"/>
        <v>2.4077278458000003E-2</v>
      </c>
      <c r="L66" s="9">
        <f t="shared" si="18"/>
        <v>2.4076424241137881</v>
      </c>
      <c r="M66" s="1">
        <f t="shared" si="8"/>
        <v>11.6462299939241</v>
      </c>
      <c r="N66" s="1">
        <f t="shared" si="19"/>
        <v>21.216875753380204</v>
      </c>
      <c r="O66">
        <v>3.089</v>
      </c>
      <c r="P66" s="1">
        <f t="shared" ref="P66" si="39">O66*0.004047</f>
        <v>1.2501183000000001E-2</v>
      </c>
      <c r="Q66" s="1">
        <f t="shared" ref="Q66" si="40">O66*0.4047</f>
        <v>1.2501183</v>
      </c>
      <c r="R66" s="1">
        <f t="shared" ref="R66:R72" si="41">O66/(E66/1000)</f>
        <v>6.046848387291849</v>
      </c>
      <c r="S66" s="1">
        <f t="shared" ref="S66" si="42">E66/1000/P66</f>
        <v>40.863702701010276</v>
      </c>
      <c r="T66">
        <v>0.35799999999999998</v>
      </c>
      <c r="U66" s="1">
        <f t="shared" ref="U66" si="43">1/T66</f>
        <v>2.7932960893854748</v>
      </c>
      <c r="V66" s="1">
        <f t="shared" ref="V66" si="44">T66*R66</f>
        <v>2.1647717226504817</v>
      </c>
      <c r="W66">
        <v>37.688524000000001</v>
      </c>
      <c r="X66">
        <v>-105.87646700000001</v>
      </c>
      <c r="Y66" t="s">
        <v>91</v>
      </c>
      <c r="Z66" t="s">
        <v>90</v>
      </c>
      <c r="AA66" t="s">
        <v>96</v>
      </c>
      <c r="AB66" s="15">
        <v>0.13919999999999999</v>
      </c>
      <c r="AC66" s="15" t="s">
        <v>399</v>
      </c>
      <c r="AD66" s="15" t="s">
        <v>71</v>
      </c>
      <c r="AE66" t="s">
        <v>29</v>
      </c>
      <c r="AF66" t="s">
        <v>19</v>
      </c>
      <c r="AG66" s="15" t="s">
        <v>353</v>
      </c>
      <c r="AI66">
        <v>1</v>
      </c>
      <c r="AL66">
        <v>2143.62</v>
      </c>
      <c r="AM66">
        <f t="shared" si="15"/>
        <v>5.4329731920415476</v>
      </c>
      <c r="AN66">
        <f t="shared" si="11"/>
        <v>2.8208583551617585</v>
      </c>
      <c r="AO66">
        <v>2204.7399999999998</v>
      </c>
      <c r="AP66">
        <f t="shared" ref="AP66:AP97" si="45">1/(AO66/$M66/1000)</f>
        <v>5.2823598219854047</v>
      </c>
      <c r="AQ66">
        <v>1292.56</v>
      </c>
      <c r="AR66">
        <f t="shared" si="21"/>
        <v>9.010204550600438</v>
      </c>
    </row>
    <row r="67" spans="1:44" ht="14.25" customHeight="1" x14ac:dyDescent="0.3">
      <c r="A67" s="342" t="s">
        <v>407</v>
      </c>
      <c r="B67" s="11" t="s">
        <v>406</v>
      </c>
      <c r="C67" s="11"/>
      <c r="D67">
        <v>2011</v>
      </c>
      <c r="E67" s="18">
        <f>F67*$F$289</f>
        <v>851.40770920487284</v>
      </c>
      <c r="F67" s="18">
        <v>1000</v>
      </c>
      <c r="H67">
        <v>4340</v>
      </c>
      <c r="I67" t="s">
        <v>408</v>
      </c>
      <c r="J67" s="74">
        <v>4.8499999999999996</v>
      </c>
      <c r="K67" s="9">
        <f t="shared" ref="K67:K99" si="46">J67*0.004047</f>
        <v>1.9627949999999998E-2</v>
      </c>
      <c r="L67" s="9">
        <f t="shared" ref="L67:L99" si="47">J67*0.404685642</f>
        <v>1.9627253636999999</v>
      </c>
      <c r="M67" s="1">
        <f t="shared" si="8"/>
        <v>5.6964483026931951</v>
      </c>
      <c r="N67" s="1">
        <f t="shared" ref="N67:N99" si="48">E67/1000/K67</f>
        <v>43.377311904955583</v>
      </c>
      <c r="O67" s="24" t="s">
        <v>598</v>
      </c>
      <c r="P67" s="88"/>
      <c r="Q67" s="88"/>
      <c r="R67" s="88"/>
      <c r="S67" s="88"/>
      <c r="U67" s="1"/>
      <c r="V67" s="1"/>
      <c r="W67">
        <v>34.842637000000003</v>
      </c>
      <c r="X67">
        <v>-84.033394000000001</v>
      </c>
      <c r="Y67" t="s">
        <v>91</v>
      </c>
      <c r="AA67" s="11" t="s">
        <v>94</v>
      </c>
      <c r="AB67" s="111"/>
      <c r="AD67" t="s">
        <v>409</v>
      </c>
      <c r="AE67" t="s">
        <v>29</v>
      </c>
      <c r="AF67" t="s">
        <v>157</v>
      </c>
      <c r="AG67" s="15" t="s">
        <v>380</v>
      </c>
      <c r="AI67">
        <v>1</v>
      </c>
      <c r="AK67">
        <v>1352</v>
      </c>
      <c r="AL67">
        <v>1620.18</v>
      </c>
      <c r="AM67">
        <f t="shared" si="15"/>
        <v>3.5159354532787681</v>
      </c>
      <c r="AO67">
        <v>2202.16</v>
      </c>
      <c r="AP67">
        <f t="shared" si="45"/>
        <v>2.5867549599907345</v>
      </c>
      <c r="AQ67">
        <v>1294.43</v>
      </c>
      <c r="AR67">
        <f t="shared" ref="AR67:AR98" si="49">1/(AQ67/$M67/1000)</f>
        <v>4.4007387828566973</v>
      </c>
    </row>
    <row r="68" spans="1:44" ht="14.25" customHeight="1" x14ac:dyDescent="0.3">
      <c r="A68" s="342" t="s">
        <v>3</v>
      </c>
      <c r="B68" t="s">
        <v>4</v>
      </c>
      <c r="D68">
        <v>2008</v>
      </c>
      <c r="E68" s="42">
        <v>891.48</v>
      </c>
      <c r="F68" s="94">
        <v>1188.6400000000001</v>
      </c>
      <c r="G68">
        <v>6.9</v>
      </c>
      <c r="H68">
        <v>6192</v>
      </c>
      <c r="I68" t="s">
        <v>8</v>
      </c>
      <c r="J68">
        <v>5.7</v>
      </c>
      <c r="K68" s="1">
        <f t="shared" si="46"/>
        <v>2.3067900000000002E-2</v>
      </c>
      <c r="L68" s="9">
        <f t="shared" si="47"/>
        <v>2.3067081594000003</v>
      </c>
      <c r="M68" s="1">
        <f t="shared" ref="M68:M128" si="50">J68/(E68/1000)</f>
        <v>6.3938618925831197</v>
      </c>
      <c r="N68" s="1">
        <f t="shared" si="48"/>
        <v>38.645910551025452</v>
      </c>
      <c r="O68" s="1">
        <v>4.5</v>
      </c>
      <c r="P68" s="1">
        <f>O68*0.004047</f>
        <v>1.8211500000000002E-2</v>
      </c>
      <c r="Q68" s="1">
        <f>O68*0.4047</f>
        <v>1.82115</v>
      </c>
      <c r="R68" s="1">
        <f t="shared" si="41"/>
        <v>5.0477857046708845</v>
      </c>
      <c r="S68" s="1">
        <f>E68/1000/P68</f>
        <v>48.951486697965571</v>
      </c>
      <c r="T68">
        <v>0.52</v>
      </c>
      <c r="U68" s="1">
        <f>1/T68</f>
        <v>1.9230769230769229</v>
      </c>
      <c r="V68" s="1">
        <f>T68*R68</f>
        <v>2.6248485664288599</v>
      </c>
      <c r="W68">
        <v>39.724755999999999</v>
      </c>
      <c r="X68">
        <v>-105.118824</v>
      </c>
      <c r="Y68" t="s">
        <v>91</v>
      </c>
      <c r="Z68" t="s">
        <v>87</v>
      </c>
      <c r="AA68" t="s">
        <v>95</v>
      </c>
      <c r="AB68" s="15">
        <v>0.12720000000000001</v>
      </c>
      <c r="AC68" s="15" t="s">
        <v>67</v>
      </c>
      <c r="AD68" s="15" t="s">
        <v>79</v>
      </c>
      <c r="AE68" t="s">
        <v>29</v>
      </c>
      <c r="AF68" t="s">
        <v>19</v>
      </c>
      <c r="AG68" s="15" t="s">
        <v>353</v>
      </c>
      <c r="AI68">
        <v>1</v>
      </c>
      <c r="AK68">
        <v>1441</v>
      </c>
      <c r="AL68">
        <v>1850.77</v>
      </c>
      <c r="AM68">
        <f t="shared" si="15"/>
        <v>3.4547036598729823</v>
      </c>
      <c r="AN68">
        <f t="shared" ref="AN68:AN116" si="51">1/(AL68/$R68/1000)</f>
        <v>2.7273976262155131</v>
      </c>
      <c r="AO68">
        <v>2120.41</v>
      </c>
      <c r="AP68">
        <f t="shared" si="45"/>
        <v>3.0153894259049521</v>
      </c>
      <c r="AQ68">
        <v>1258.04</v>
      </c>
      <c r="AR68">
        <f t="shared" si="49"/>
        <v>5.0823995203515944</v>
      </c>
    </row>
    <row r="69" spans="1:44" ht="14.25" customHeight="1" x14ac:dyDescent="0.3">
      <c r="A69" s="342" t="s">
        <v>148</v>
      </c>
      <c r="B69" t="s">
        <v>154</v>
      </c>
      <c r="D69">
        <v>2009</v>
      </c>
      <c r="E69" s="42">
        <v>900</v>
      </c>
      <c r="F69" s="94">
        <v>1000</v>
      </c>
      <c r="I69" t="s">
        <v>155</v>
      </c>
      <c r="J69">
        <v>5.5</v>
      </c>
      <c r="K69" s="9">
        <f t="shared" si="46"/>
        <v>2.2258500000000001E-2</v>
      </c>
      <c r="L69" s="9">
        <f t="shared" si="47"/>
        <v>2.2257710309999998</v>
      </c>
      <c r="M69" s="1">
        <f t="shared" si="50"/>
        <v>6.1111111111111107</v>
      </c>
      <c r="N69" s="1">
        <f t="shared" si="48"/>
        <v>40.43399150886178</v>
      </c>
      <c r="O69">
        <v>2.5</v>
      </c>
      <c r="P69" s="1">
        <f>O69*0.004047</f>
        <v>1.0117500000000001E-2</v>
      </c>
      <c r="Q69" s="1">
        <f>O69*0.4047</f>
        <v>1.0117499999999999</v>
      </c>
      <c r="R69" s="1">
        <f t="shared" si="41"/>
        <v>2.7777777777777777</v>
      </c>
      <c r="S69" s="1">
        <f>E69/1000/P69</f>
        <v>88.954781319495908</v>
      </c>
      <c r="T69">
        <v>0.57999999999999996</v>
      </c>
      <c r="U69" s="1">
        <f>1/T69</f>
        <v>1.7241379310344829</v>
      </c>
      <c r="V69" s="1">
        <f>T69*R69</f>
        <v>1.6111111111111109</v>
      </c>
      <c r="W69">
        <v>28.516894000000001</v>
      </c>
      <c r="X69">
        <v>-80.649524</v>
      </c>
      <c r="Y69" t="s">
        <v>91</v>
      </c>
      <c r="AA69" t="s">
        <v>94</v>
      </c>
      <c r="AB69" s="15"/>
      <c r="AC69" s="15"/>
      <c r="AD69" s="15"/>
      <c r="AE69" t="s">
        <v>29</v>
      </c>
      <c r="AF69" t="s">
        <v>110</v>
      </c>
      <c r="AG69" s="15" t="s">
        <v>252</v>
      </c>
      <c r="AI69">
        <v>1</v>
      </c>
      <c r="AL69">
        <v>1737.74</v>
      </c>
      <c r="AM69">
        <f t="shared" si="15"/>
        <v>3.5167004909313881</v>
      </c>
      <c r="AN69">
        <f t="shared" si="51"/>
        <v>1.5985002231506311</v>
      </c>
      <c r="AO69">
        <v>2182.5700000000002</v>
      </c>
      <c r="AP69">
        <f t="shared" si="45"/>
        <v>2.799961105994818</v>
      </c>
      <c r="AQ69">
        <v>1291.6199999999999</v>
      </c>
      <c r="AR69">
        <f t="shared" si="49"/>
        <v>4.7313537349306385</v>
      </c>
    </row>
    <row r="70" spans="1:44" ht="14.25" customHeight="1" x14ac:dyDescent="0.3">
      <c r="A70" s="342" t="s">
        <v>196</v>
      </c>
      <c r="B70" s="11" t="s">
        <v>547</v>
      </c>
      <c r="C70" s="11">
        <v>6</v>
      </c>
      <c r="D70">
        <v>2010</v>
      </c>
      <c r="E70" s="18">
        <f>F70*$F$289</f>
        <v>936.54848012536013</v>
      </c>
      <c r="F70" s="75">
        <v>1100</v>
      </c>
      <c r="G70">
        <v>5</v>
      </c>
      <c r="H70">
        <v>9120</v>
      </c>
      <c r="I70" t="s">
        <v>548</v>
      </c>
      <c r="J70" s="74">
        <v>9.75</v>
      </c>
      <c r="K70" s="9">
        <f t="shared" si="46"/>
        <v>3.945825E-2</v>
      </c>
      <c r="L70" s="9">
        <f t="shared" si="47"/>
        <v>3.9456850095</v>
      </c>
      <c r="M70" s="1">
        <f t="shared" si="50"/>
        <v>10.410566251407433</v>
      </c>
      <c r="N70" s="1">
        <f t="shared" si="48"/>
        <v>23.735175283378258</v>
      </c>
      <c r="O70" s="11">
        <v>7.18</v>
      </c>
      <c r="P70" s="1">
        <f>O70*0.004047</f>
        <v>2.905746E-2</v>
      </c>
      <c r="Q70" s="1">
        <f>O70*0.4047</f>
        <v>2.9057459999999997</v>
      </c>
      <c r="R70" s="1">
        <f t="shared" si="41"/>
        <v>7.6664477625749097</v>
      </c>
      <c r="S70" s="1">
        <f>E70/1000/P70</f>
        <v>32.230913511551257</v>
      </c>
      <c r="T70">
        <v>0.44400000000000001</v>
      </c>
      <c r="U70" s="1">
        <f>1/T70</f>
        <v>2.2522522522522523</v>
      </c>
      <c r="V70" s="1">
        <f>T70*R70</f>
        <v>3.4039028065832597</v>
      </c>
      <c r="W70">
        <v>39.600969999999997</v>
      </c>
      <c r="X70">
        <v>-84.205460000000002</v>
      </c>
      <c r="Y70" t="s">
        <v>91</v>
      </c>
      <c r="AA70" s="11"/>
      <c r="AB70" s="15">
        <v>8.5000000000000006E-2</v>
      </c>
      <c r="AC70" s="23" t="s">
        <v>216</v>
      </c>
      <c r="AD70" t="s">
        <v>549</v>
      </c>
      <c r="AE70" t="s">
        <v>29</v>
      </c>
      <c r="AF70" t="s">
        <v>506</v>
      </c>
      <c r="AG70" s="15" t="s">
        <v>385</v>
      </c>
      <c r="AI70">
        <v>1</v>
      </c>
      <c r="AL70">
        <v>1502.24</v>
      </c>
      <c r="AM70">
        <f t="shared" si="15"/>
        <v>6.9300286581421302</v>
      </c>
      <c r="AN70">
        <f t="shared" si="51"/>
        <v>5.1033441810728712</v>
      </c>
      <c r="AO70">
        <v>2203.89</v>
      </c>
      <c r="AP70">
        <f t="shared" si="45"/>
        <v>4.7237231674028344</v>
      </c>
      <c r="AQ70">
        <v>1289.6600000000001</v>
      </c>
      <c r="AR70">
        <f t="shared" si="49"/>
        <v>8.0723339883437752</v>
      </c>
    </row>
    <row r="71" spans="1:44" ht="14.25" customHeight="1" x14ac:dyDescent="0.3">
      <c r="A71" s="342" t="s">
        <v>3</v>
      </c>
      <c r="B71" t="s">
        <v>23</v>
      </c>
      <c r="D71">
        <v>2010</v>
      </c>
      <c r="E71" s="18">
        <f>F71*$F$289</f>
        <v>953.57663430945763</v>
      </c>
      <c r="F71" s="18">
        <v>1120</v>
      </c>
      <c r="G71">
        <v>7.3</v>
      </c>
      <c r="H71">
        <v>5040</v>
      </c>
      <c r="I71" t="s">
        <v>25</v>
      </c>
      <c r="J71">
        <v>3.8</v>
      </c>
      <c r="K71" s="1">
        <f t="shared" si="46"/>
        <v>1.5378600000000001E-2</v>
      </c>
      <c r="L71" s="9">
        <f t="shared" si="47"/>
        <v>1.5378054396</v>
      </c>
      <c r="M71" s="1">
        <f t="shared" si="50"/>
        <v>3.9849969716925888</v>
      </c>
      <c r="N71" s="1">
        <f t="shared" si="48"/>
        <v>62.006725859925972</v>
      </c>
      <c r="O71">
        <v>3.2</v>
      </c>
      <c r="P71" s="1">
        <f>O71*0.004047</f>
        <v>1.2950400000000001E-2</v>
      </c>
      <c r="Q71" s="1">
        <f>O71*0.4047</f>
        <v>1.2950400000000002</v>
      </c>
      <c r="R71" s="1">
        <f t="shared" si="41"/>
        <v>3.3557869235306015</v>
      </c>
      <c r="S71" s="1">
        <f>E71/1000/P71</f>
        <v>73.632986958662087</v>
      </c>
      <c r="T71">
        <v>0.31</v>
      </c>
      <c r="U71" s="1">
        <f>1/T71</f>
        <v>3.2258064516129035</v>
      </c>
      <c r="V71" s="1">
        <f>T71*R71</f>
        <v>1.0402939462944865</v>
      </c>
      <c r="W71">
        <v>39.700001999999998</v>
      </c>
      <c r="X71">
        <v>-104.757407</v>
      </c>
      <c r="Y71" t="s">
        <v>91</v>
      </c>
      <c r="Z71" t="s">
        <v>89</v>
      </c>
      <c r="AA71" t="s">
        <v>96</v>
      </c>
      <c r="AB71" s="15">
        <v>0.1419</v>
      </c>
      <c r="AC71" s="15" t="s">
        <v>391</v>
      </c>
      <c r="AD71" s="15" t="s">
        <v>82</v>
      </c>
      <c r="AE71" t="s">
        <v>29</v>
      </c>
      <c r="AF71" t="s">
        <v>19</v>
      </c>
      <c r="AG71" s="15" t="s">
        <v>353</v>
      </c>
      <c r="AI71">
        <v>1</v>
      </c>
      <c r="AK71">
        <v>1460</v>
      </c>
      <c r="AL71">
        <v>1948.32</v>
      </c>
      <c r="AM71">
        <f t="shared" si="15"/>
        <v>2.0453503385956049</v>
      </c>
      <c r="AN71">
        <f t="shared" si="51"/>
        <v>1.7224002851331413</v>
      </c>
      <c r="AO71">
        <v>2203.56</v>
      </c>
      <c r="AP71">
        <f t="shared" si="45"/>
        <v>1.8084358817969963</v>
      </c>
      <c r="AQ71">
        <v>1294.1400000000001</v>
      </c>
      <c r="AR71">
        <f t="shared" si="49"/>
        <v>3.0792626544984225</v>
      </c>
    </row>
    <row r="72" spans="1:44" ht="14.25" customHeight="1" x14ac:dyDescent="0.3">
      <c r="A72" s="342" t="s">
        <v>476</v>
      </c>
      <c r="B72" s="11" t="s">
        <v>477</v>
      </c>
      <c r="C72" s="11">
        <v>12</v>
      </c>
      <c r="D72">
        <v>2011</v>
      </c>
      <c r="E72" s="18">
        <f>F72*$F$289</f>
        <v>1004.6610968617499</v>
      </c>
      <c r="F72" s="94">
        <v>1180</v>
      </c>
      <c r="G72">
        <v>7</v>
      </c>
      <c r="H72">
        <v>4200</v>
      </c>
      <c r="I72" t="s">
        <v>478</v>
      </c>
      <c r="J72" s="74">
        <v>4</v>
      </c>
      <c r="K72" s="9">
        <f t="shared" si="46"/>
        <v>1.6188000000000001E-2</v>
      </c>
      <c r="L72" s="9">
        <f t="shared" si="47"/>
        <v>1.618742568</v>
      </c>
      <c r="M72" s="1">
        <f t="shared" si="50"/>
        <v>3.9814421126634252</v>
      </c>
      <c r="N72" s="1">
        <f t="shared" si="48"/>
        <v>62.062089008015192</v>
      </c>
      <c r="O72" s="11">
        <v>2.7</v>
      </c>
      <c r="P72" s="1">
        <f>O72*0.004047</f>
        <v>1.0926900000000002E-2</v>
      </c>
      <c r="Q72" s="1">
        <f>O72*0.4047</f>
        <v>1.0926900000000002</v>
      </c>
      <c r="R72" s="1">
        <f t="shared" si="41"/>
        <v>2.6874734260478124</v>
      </c>
      <c r="S72" s="1">
        <f>E72/1000/P72</f>
        <v>91.9438355674299</v>
      </c>
      <c r="U72" s="11"/>
      <c r="V72" s="11"/>
      <c r="W72">
        <v>21.316091</v>
      </c>
      <c r="X72">
        <v>-158.10544400000001</v>
      </c>
      <c r="Y72" t="s">
        <v>91</v>
      </c>
      <c r="AA72" s="11"/>
      <c r="AB72" s="15">
        <v>0.14430000000000001</v>
      </c>
      <c r="AC72" t="s">
        <v>399</v>
      </c>
      <c r="AD72" s="83" t="s">
        <v>479</v>
      </c>
      <c r="AE72" t="s">
        <v>29</v>
      </c>
      <c r="AF72" t="s">
        <v>157</v>
      </c>
      <c r="AG72" s="15" t="s">
        <v>380</v>
      </c>
      <c r="AI72">
        <v>1</v>
      </c>
      <c r="AO72">
        <v>2132.69</v>
      </c>
      <c r="AP72">
        <f t="shared" si="45"/>
        <v>1.8668639664758708</v>
      </c>
      <c r="AQ72">
        <v>1269.29</v>
      </c>
      <c r="AR72">
        <f t="shared" si="49"/>
        <v>3.1367474041892911</v>
      </c>
    </row>
    <row r="73" spans="1:44" ht="14.25" customHeight="1" x14ac:dyDescent="0.3">
      <c r="A73" s="342" t="s">
        <v>557</v>
      </c>
      <c r="B73" s="11" t="s">
        <v>553</v>
      </c>
      <c r="C73" s="11"/>
      <c r="D73">
        <v>2011</v>
      </c>
      <c r="E73" s="18">
        <f>F73*$F$289</f>
        <v>1013.1751739537987</v>
      </c>
      <c r="F73" s="75">
        <v>1190</v>
      </c>
      <c r="H73">
        <v>5940</v>
      </c>
      <c r="I73" t="s">
        <v>170</v>
      </c>
      <c r="J73" s="74">
        <v>9.4</v>
      </c>
      <c r="K73" s="9">
        <f t="shared" si="46"/>
        <v>3.8041800000000001E-2</v>
      </c>
      <c r="L73" s="9">
        <f t="shared" si="47"/>
        <v>3.8040450348000001</v>
      </c>
      <c r="M73" s="1">
        <f t="shared" si="50"/>
        <v>9.2777638474081332</v>
      </c>
      <c r="N73" s="1">
        <f t="shared" si="48"/>
        <v>26.633208048877776</v>
      </c>
      <c r="O73" s="24" t="s">
        <v>598</v>
      </c>
      <c r="P73" s="88"/>
      <c r="Q73" s="88"/>
      <c r="R73" s="88"/>
      <c r="S73" s="88"/>
      <c r="U73" s="11"/>
      <c r="V73" s="11"/>
      <c r="W73">
        <v>45.113630000000001</v>
      </c>
      <c r="X73">
        <v>-123.2368</v>
      </c>
      <c r="Y73" t="s">
        <v>91</v>
      </c>
      <c r="AA73" s="11"/>
      <c r="AB73" s="15">
        <v>9.9900000000000003E-2</v>
      </c>
      <c r="AC73" s="11" t="s">
        <v>554</v>
      </c>
      <c r="AD73" t="s">
        <v>555</v>
      </c>
      <c r="AE73" t="s">
        <v>29</v>
      </c>
      <c r="AF73" t="s">
        <v>475</v>
      </c>
      <c r="AG73" s="15" t="s">
        <v>385</v>
      </c>
      <c r="AI73">
        <v>1</v>
      </c>
      <c r="AL73">
        <v>1460.8</v>
      </c>
      <c r="AM73">
        <f t="shared" si="15"/>
        <v>6.3511526885324026</v>
      </c>
      <c r="AO73">
        <v>2189.3200000000002</v>
      </c>
      <c r="AP73">
        <f t="shared" si="45"/>
        <v>4.2377376753549649</v>
      </c>
      <c r="AQ73">
        <v>1273.96</v>
      </c>
      <c r="AR73">
        <f t="shared" si="49"/>
        <v>7.2826178588088579</v>
      </c>
    </row>
    <row r="74" spans="1:44" ht="14.25" customHeight="1" x14ac:dyDescent="0.3">
      <c r="A74" s="342" t="s">
        <v>26</v>
      </c>
      <c r="B74" s="11" t="s">
        <v>50</v>
      </c>
      <c r="C74" s="11"/>
      <c r="D74">
        <v>2006</v>
      </c>
      <c r="E74" s="42">
        <v>999.91600000000005</v>
      </c>
      <c r="F74" s="94">
        <v>1160.0999999999999</v>
      </c>
      <c r="H74">
        <v>6816</v>
      </c>
      <c r="I74" t="s">
        <v>8</v>
      </c>
      <c r="J74">
        <v>7.26</v>
      </c>
      <c r="K74" s="9">
        <f t="shared" si="46"/>
        <v>2.938122E-2</v>
      </c>
      <c r="L74" s="9">
        <f t="shared" si="47"/>
        <v>2.9380177609200002</v>
      </c>
      <c r="M74" s="1">
        <f t="shared" si="50"/>
        <v>7.260609891230863</v>
      </c>
      <c r="N74" s="1">
        <f t="shared" si="48"/>
        <v>34.032487418834208</v>
      </c>
      <c r="O74">
        <v>4.1509999999999998</v>
      </c>
      <c r="P74" s="1">
        <f>O74*0.004047</f>
        <v>1.6799096999999999E-2</v>
      </c>
      <c r="Q74" s="1">
        <f>O74*0.4047</f>
        <v>1.6799096999999998</v>
      </c>
      <c r="R74" s="1">
        <f t="shared" ref="R74:R76" si="52">O74/(E74/1000)</f>
        <v>4.1513487132919158</v>
      </c>
      <c r="S74" s="1">
        <f>E74/1000/P74</f>
        <v>59.522008831784241</v>
      </c>
      <c r="T74">
        <f>0.51594/1.15094</f>
        <v>0.44827706048968663</v>
      </c>
      <c r="U74" s="1">
        <f>1/T74</f>
        <v>2.230763267046556</v>
      </c>
      <c r="V74" s="1">
        <f>T74*R74</f>
        <v>1.8609543982621428</v>
      </c>
      <c r="W74">
        <v>33.564914000000002</v>
      </c>
      <c r="X74">
        <v>-114.904048</v>
      </c>
      <c r="Y74" t="s">
        <v>91</v>
      </c>
      <c r="Z74" t="s">
        <v>87</v>
      </c>
      <c r="AA74" t="s">
        <v>96</v>
      </c>
      <c r="AB74" s="15">
        <v>0.14180000000000001</v>
      </c>
      <c r="AC74" s="15" t="s">
        <v>399</v>
      </c>
      <c r="AD74" s="15" t="s">
        <v>83</v>
      </c>
      <c r="AE74" t="s">
        <v>29</v>
      </c>
      <c r="AF74" t="s">
        <v>51</v>
      </c>
      <c r="AG74" s="15" t="s">
        <v>353</v>
      </c>
      <c r="AI74">
        <v>1</v>
      </c>
      <c r="AK74">
        <v>1796</v>
      </c>
      <c r="AL74">
        <v>2083.65</v>
      </c>
      <c r="AM74">
        <f t="shared" si="15"/>
        <v>3.4845630942004955</v>
      </c>
      <c r="AN74">
        <f t="shared" si="51"/>
        <v>1.9923445460091262</v>
      </c>
      <c r="AO74">
        <v>2123.4899999999998</v>
      </c>
      <c r="AP74">
        <f t="shared" si="45"/>
        <v>3.4191872300933204</v>
      </c>
      <c r="AQ74">
        <v>1265.6300000000001</v>
      </c>
      <c r="AR74">
        <f t="shared" si="49"/>
        <v>5.7367555219383721</v>
      </c>
    </row>
    <row r="75" spans="1:44" ht="14.25" customHeight="1" x14ac:dyDescent="0.3">
      <c r="A75" s="342" t="s">
        <v>3</v>
      </c>
      <c r="B75" t="s">
        <v>158</v>
      </c>
      <c r="D75">
        <v>2009</v>
      </c>
      <c r="E75" s="18">
        <f t="shared" ref="E75:E82" si="53">F75*$F$289</f>
        <v>1021.6892510458474</v>
      </c>
      <c r="F75" s="18">
        <v>1200</v>
      </c>
      <c r="H75">
        <v>6800</v>
      </c>
      <c r="I75" t="s">
        <v>364</v>
      </c>
      <c r="J75">
        <v>4.3</v>
      </c>
      <c r="K75" s="9">
        <f t="shared" si="46"/>
        <v>1.74021E-2</v>
      </c>
      <c r="L75" s="9">
        <f t="shared" si="47"/>
        <v>1.7401482606000001</v>
      </c>
      <c r="M75" s="1">
        <f t="shared" si="50"/>
        <v>4.2087160999279618</v>
      </c>
      <c r="N75" s="1">
        <f t="shared" si="48"/>
        <v>58.710687276009651</v>
      </c>
      <c r="O75">
        <v>3.5</v>
      </c>
      <c r="P75" s="1">
        <f>O75*0.004047</f>
        <v>1.41645E-2</v>
      </c>
      <c r="Q75" s="1">
        <f>O75*0.4047</f>
        <v>1.41645</v>
      </c>
      <c r="R75" s="1">
        <f t="shared" si="52"/>
        <v>3.4256991511041552</v>
      </c>
      <c r="S75" s="1">
        <f>E75/1000/P75</f>
        <v>72.130272939097566</v>
      </c>
      <c r="U75" s="1"/>
      <c r="V75" s="1"/>
      <c r="W75">
        <v>38.312379</v>
      </c>
      <c r="X75">
        <v>-104.575934</v>
      </c>
      <c r="Y75" t="s">
        <v>91</v>
      </c>
      <c r="AA75" t="s">
        <v>96</v>
      </c>
      <c r="AB75" s="15"/>
      <c r="AC75" s="15"/>
      <c r="AD75" s="15"/>
      <c r="AE75" t="s">
        <v>29</v>
      </c>
      <c r="AF75" t="s">
        <v>157</v>
      </c>
      <c r="AG75" s="15" t="s">
        <v>352</v>
      </c>
      <c r="AI75">
        <v>1</v>
      </c>
      <c r="AL75">
        <v>2021.3</v>
      </c>
      <c r="AM75">
        <f t="shared" si="15"/>
        <v>2.0821828031108502</v>
      </c>
      <c r="AN75">
        <f t="shared" si="51"/>
        <v>1.6947999560204599</v>
      </c>
      <c r="AO75">
        <v>2204.56</v>
      </c>
      <c r="AP75">
        <f t="shared" si="45"/>
        <v>1.909095737892351</v>
      </c>
      <c r="AQ75">
        <v>1291.23</v>
      </c>
      <c r="AR75">
        <f t="shared" si="49"/>
        <v>3.2594627602580184</v>
      </c>
    </row>
    <row r="76" spans="1:44" ht="14.25" customHeight="1" x14ac:dyDescent="0.3">
      <c r="A76" s="342" t="s">
        <v>429</v>
      </c>
      <c r="B76" s="11" t="s">
        <v>454</v>
      </c>
      <c r="C76" s="11"/>
      <c r="D76">
        <v>2011</v>
      </c>
      <c r="E76" s="18">
        <f t="shared" si="53"/>
        <v>1021.6892510458474</v>
      </c>
      <c r="F76" s="18">
        <v>1200</v>
      </c>
      <c r="G76">
        <v>7</v>
      </c>
      <c r="H76">
        <v>6000</v>
      </c>
      <c r="I76" t="s">
        <v>455</v>
      </c>
      <c r="J76" s="74">
        <v>6</v>
      </c>
      <c r="K76" s="9">
        <f t="shared" si="46"/>
        <v>2.4282000000000001E-2</v>
      </c>
      <c r="L76" s="9">
        <f t="shared" si="47"/>
        <v>2.4281138520000001</v>
      </c>
      <c r="M76" s="1">
        <f t="shared" si="50"/>
        <v>5.8726271161785517</v>
      </c>
      <c r="N76" s="1">
        <f t="shared" si="48"/>
        <v>42.075992547806912</v>
      </c>
      <c r="O76" s="11">
        <v>5.6588000000000003</v>
      </c>
      <c r="P76" s="1">
        <f>O76*0.004047</f>
        <v>2.2901163600000003E-2</v>
      </c>
      <c r="Q76" s="1">
        <f>O76*0.4047</f>
        <v>2.2901163600000003</v>
      </c>
      <c r="R76" s="1">
        <f t="shared" si="52"/>
        <v>5.5386703875051984</v>
      </c>
      <c r="S76" s="1">
        <f>E76/1000/P76</f>
        <v>44.612984252286964</v>
      </c>
      <c r="W76">
        <v>38.991762999999999</v>
      </c>
      <c r="X76">
        <v>-75.440185999999997</v>
      </c>
      <c r="Y76" t="s">
        <v>91</v>
      </c>
      <c r="AA76" s="11"/>
      <c r="AB76" s="15"/>
      <c r="AD76" s="80"/>
      <c r="AE76" t="s">
        <v>109</v>
      </c>
      <c r="AF76" t="s">
        <v>157</v>
      </c>
      <c r="AG76" s="15" t="s">
        <v>444</v>
      </c>
      <c r="AI76">
        <v>1</v>
      </c>
      <c r="AL76">
        <v>1610.02</v>
      </c>
      <c r="AM76">
        <f t="shared" si="15"/>
        <v>3.647549170928654</v>
      </c>
      <c r="AN76">
        <f t="shared" si="51"/>
        <v>3.4401252080751781</v>
      </c>
      <c r="AO76">
        <v>2204.56</v>
      </c>
      <c r="AP76">
        <f t="shared" si="45"/>
        <v>2.6638545179893276</v>
      </c>
      <c r="AQ76">
        <v>1291.23</v>
      </c>
      <c r="AR76">
        <f t="shared" si="49"/>
        <v>4.5480875724530501</v>
      </c>
    </row>
    <row r="77" spans="1:44" ht="14.25" customHeight="1" x14ac:dyDescent="0.3">
      <c r="A77" s="342" t="s">
        <v>47</v>
      </c>
      <c r="B77" s="11" t="s">
        <v>471</v>
      </c>
      <c r="C77" s="11"/>
      <c r="D77">
        <v>2011</v>
      </c>
      <c r="E77" s="18">
        <f t="shared" si="53"/>
        <v>1021.6892510458474</v>
      </c>
      <c r="F77" s="18">
        <v>1200</v>
      </c>
      <c r="G77">
        <v>5</v>
      </c>
      <c r="H77">
        <v>5000</v>
      </c>
      <c r="I77" t="s">
        <v>472</v>
      </c>
      <c r="J77" s="74">
        <v>6</v>
      </c>
      <c r="K77" s="9">
        <f t="shared" si="46"/>
        <v>2.4282000000000001E-2</v>
      </c>
      <c r="L77" s="9">
        <f t="shared" si="47"/>
        <v>2.4281138520000001</v>
      </c>
      <c r="M77" s="1">
        <f t="shared" si="50"/>
        <v>5.8726271161785517</v>
      </c>
      <c r="N77" s="1">
        <f t="shared" si="48"/>
        <v>42.075992547806912</v>
      </c>
      <c r="O77" s="24" t="s">
        <v>598</v>
      </c>
      <c r="P77" s="24"/>
      <c r="Q77" s="24"/>
      <c r="R77" s="24"/>
      <c r="S77" s="24"/>
      <c r="U77" s="11"/>
      <c r="V77" s="11"/>
      <c r="W77">
        <v>36.477252999999997</v>
      </c>
      <c r="X77">
        <v>-80.599850000000004</v>
      </c>
      <c r="Y77" t="s">
        <v>91</v>
      </c>
      <c r="AA77" s="11"/>
      <c r="AB77" s="15">
        <v>0.14000000000000001</v>
      </c>
      <c r="AC77" t="s">
        <v>399</v>
      </c>
      <c r="AD77" s="82" t="s">
        <v>469</v>
      </c>
      <c r="AE77" t="s">
        <v>29</v>
      </c>
      <c r="AF77" t="s">
        <v>157</v>
      </c>
      <c r="AG77" s="15" t="s">
        <v>385</v>
      </c>
      <c r="AI77">
        <v>1</v>
      </c>
      <c r="AL77">
        <v>1605.87</v>
      </c>
      <c r="AM77">
        <f t="shared" si="15"/>
        <v>3.6569754190429808</v>
      </c>
      <c r="AO77">
        <v>2204.41</v>
      </c>
      <c r="AP77">
        <f t="shared" si="45"/>
        <v>2.6640357810836242</v>
      </c>
      <c r="AQ77">
        <v>1293.52</v>
      </c>
      <c r="AR77">
        <f t="shared" si="49"/>
        <v>4.5400358063103408</v>
      </c>
    </row>
    <row r="78" spans="1:44" ht="14.25" customHeight="1" x14ac:dyDescent="0.3">
      <c r="A78" s="342" t="s">
        <v>26</v>
      </c>
      <c r="B78" s="11" t="s">
        <v>511</v>
      </c>
      <c r="C78" s="11"/>
      <c r="D78">
        <v>2008</v>
      </c>
      <c r="E78" s="18">
        <f t="shared" si="53"/>
        <v>1064.2596365060911</v>
      </c>
      <c r="F78" s="94">
        <v>1250</v>
      </c>
      <c r="H78">
        <v>17172</v>
      </c>
      <c r="I78" t="s">
        <v>170</v>
      </c>
      <c r="J78" s="74">
        <v>8.5</v>
      </c>
      <c r="K78" s="9">
        <f t="shared" si="46"/>
        <v>3.43995E-2</v>
      </c>
      <c r="L78" s="9">
        <f t="shared" si="47"/>
        <v>3.4398279570000003</v>
      </c>
      <c r="M78" s="1">
        <f t="shared" si="50"/>
        <v>7.9867728780028315</v>
      </c>
      <c r="N78" s="1">
        <f t="shared" si="48"/>
        <v>30.938229814563904</v>
      </c>
      <c r="O78" s="11">
        <v>6.9</v>
      </c>
      <c r="P78" s="1">
        <f>O78*0.004047</f>
        <v>2.7924300000000003E-2</v>
      </c>
      <c r="Q78" s="1">
        <f>O78*0.4047</f>
        <v>2.79243</v>
      </c>
      <c r="R78" s="1">
        <f t="shared" ref="R78:R81" si="54">O78/(E78/1000)</f>
        <v>6.4833803362611224</v>
      </c>
      <c r="S78" s="1">
        <f>E78/1000/P78</f>
        <v>38.112312090404806</v>
      </c>
      <c r="T78">
        <v>0.41635</v>
      </c>
      <c r="U78" s="1">
        <f>1/T78</f>
        <v>2.4018253872943438</v>
      </c>
      <c r="V78" s="1">
        <f>T78*R78</f>
        <v>2.6993554030023184</v>
      </c>
      <c r="W78">
        <v>38.449382999999997</v>
      </c>
      <c r="X78">
        <v>-121.16465700000001</v>
      </c>
      <c r="Y78" t="s">
        <v>91</v>
      </c>
      <c r="AA78" s="11"/>
      <c r="AB78" s="15">
        <v>0.107</v>
      </c>
      <c r="AC78" s="11" t="s">
        <v>366</v>
      </c>
      <c r="AD78" t="s">
        <v>146</v>
      </c>
      <c r="AE78" t="s">
        <v>29</v>
      </c>
      <c r="AF78" t="s">
        <v>475</v>
      </c>
      <c r="AG78" s="15" t="s">
        <v>385</v>
      </c>
      <c r="AI78">
        <v>1</v>
      </c>
      <c r="AK78">
        <v>1510</v>
      </c>
      <c r="AL78">
        <v>1809.72</v>
      </c>
      <c r="AM78">
        <f t="shared" si="15"/>
        <v>4.4132644154912537</v>
      </c>
      <c r="AN78">
        <f t="shared" si="51"/>
        <v>3.5825322902223116</v>
      </c>
      <c r="AO78">
        <v>2204.56</v>
      </c>
      <c r="AP78">
        <f t="shared" si="45"/>
        <v>3.6228421444654861</v>
      </c>
      <c r="AQ78">
        <v>1291.23</v>
      </c>
      <c r="AR78">
        <f t="shared" si="49"/>
        <v>6.1853990985361493</v>
      </c>
    </row>
    <row r="79" spans="1:44" ht="14.25" customHeight="1" x14ac:dyDescent="0.3">
      <c r="A79" s="342" t="s">
        <v>26</v>
      </c>
      <c r="B79" s="11" t="s">
        <v>542</v>
      </c>
      <c r="C79" s="11"/>
      <c r="D79">
        <v>2003</v>
      </c>
      <c r="E79" s="18">
        <f t="shared" si="53"/>
        <v>1099.1673525834908</v>
      </c>
      <c r="F79" s="75">
        <v>1291</v>
      </c>
      <c r="H79">
        <v>8000</v>
      </c>
      <c r="I79" t="s">
        <v>364</v>
      </c>
      <c r="J79" s="74">
        <v>9</v>
      </c>
      <c r="K79" s="9">
        <f t="shared" si="46"/>
        <v>3.6423000000000004E-2</v>
      </c>
      <c r="L79" s="9">
        <f t="shared" si="47"/>
        <v>3.6421707780000001</v>
      </c>
      <c r="M79" s="1">
        <f t="shared" si="50"/>
        <v>8.1880161186068126</v>
      </c>
      <c r="N79" s="1">
        <f t="shared" si="48"/>
        <v>30.177836877343733</v>
      </c>
      <c r="O79" s="11">
        <v>6</v>
      </c>
      <c r="P79" s="25">
        <f>O79*0.004047</f>
        <v>2.4282000000000001E-2</v>
      </c>
      <c r="Q79" s="1">
        <f>O79*0.4047</f>
        <v>2.4281999999999999</v>
      </c>
      <c r="R79" s="1">
        <f t="shared" si="54"/>
        <v>5.4586774124045414</v>
      </c>
      <c r="S79" s="1">
        <f>E79/1000/P79</f>
        <v>45.266755316015598</v>
      </c>
      <c r="T79">
        <v>0.48630000000000001</v>
      </c>
      <c r="U79" s="1">
        <f>1/T79</f>
        <v>2.056343820686819</v>
      </c>
      <c r="V79" s="1">
        <f>T79*R79</f>
        <v>2.6545548256523284</v>
      </c>
      <c r="W79">
        <v>34.238880000000002</v>
      </c>
      <c r="X79">
        <v>-116.05292</v>
      </c>
      <c r="Y79" t="s">
        <v>91</v>
      </c>
      <c r="Z79" t="s">
        <v>543</v>
      </c>
      <c r="AA79" s="11" t="s">
        <v>106</v>
      </c>
      <c r="AB79" s="15"/>
      <c r="AC79" s="11"/>
      <c r="AE79" t="s">
        <v>29</v>
      </c>
      <c r="AF79" t="s">
        <v>475</v>
      </c>
      <c r="AG79" s="15" t="s">
        <v>385</v>
      </c>
      <c r="AI79">
        <v>1</v>
      </c>
      <c r="AL79">
        <v>2147.52</v>
      </c>
      <c r="AM79">
        <f t="shared" si="15"/>
        <v>3.8127775846589613</v>
      </c>
      <c r="AN79">
        <f t="shared" si="51"/>
        <v>2.5418517231059741</v>
      </c>
      <c r="AO79">
        <v>2202.16</v>
      </c>
      <c r="AP79">
        <f t="shared" si="45"/>
        <v>3.7181749367016081</v>
      </c>
      <c r="AQ79">
        <v>1294.43</v>
      </c>
      <c r="AR79">
        <f t="shared" si="49"/>
        <v>6.3255766002076683</v>
      </c>
    </row>
    <row r="80" spans="1:44" ht="14.25" customHeight="1" x14ac:dyDescent="0.3">
      <c r="A80" s="342" t="s">
        <v>3</v>
      </c>
      <c r="B80" s="11" t="s">
        <v>613</v>
      </c>
      <c r="C80" s="11"/>
      <c r="D80">
        <v>2010</v>
      </c>
      <c r="E80" s="18">
        <f t="shared" si="53"/>
        <v>2809.6454403760804</v>
      </c>
      <c r="F80" s="18">
        <v>3300</v>
      </c>
      <c r="H80">
        <v>8000</v>
      </c>
      <c r="I80" s="70" t="s">
        <v>365</v>
      </c>
      <c r="J80">
        <v>13.13</v>
      </c>
      <c r="K80" s="9">
        <f t="shared" si="46"/>
        <v>5.3137110000000008E-2</v>
      </c>
      <c r="L80" s="9">
        <f t="shared" si="47"/>
        <v>5.3135224794600004</v>
      </c>
      <c r="M80" s="1">
        <f t="shared" si="50"/>
        <v>4.6731875172984489</v>
      </c>
      <c r="N80" s="1">
        <f t="shared" si="48"/>
        <v>52.875390482773334</v>
      </c>
      <c r="O80" s="11">
        <v>11.9</v>
      </c>
      <c r="P80" s="1">
        <f>O80*0.004047</f>
        <v>4.8159300000000002E-2</v>
      </c>
      <c r="Q80" s="1">
        <f>O80*0.4047</f>
        <v>4.8159299999999998</v>
      </c>
      <c r="R80" s="1">
        <f t="shared" si="54"/>
        <v>4.235409859546956</v>
      </c>
      <c r="S80" s="1">
        <f>E80/1000/P80</f>
        <v>58.340661936034785</v>
      </c>
      <c r="T80">
        <v>0.59</v>
      </c>
      <c r="U80" s="1">
        <f>1/T80</f>
        <v>1.6949152542372883</v>
      </c>
      <c r="V80" s="1">
        <f>T80*R80</f>
        <v>2.4988918171327041</v>
      </c>
      <c r="W80">
        <v>40.592049000000003</v>
      </c>
      <c r="X80">
        <v>-105.14837</v>
      </c>
      <c r="Y80" t="s">
        <v>91</v>
      </c>
      <c r="AA80" s="69" t="s">
        <v>94</v>
      </c>
      <c r="AB80" s="15"/>
      <c r="AC80" s="15"/>
      <c r="AD80" s="15" t="s">
        <v>254</v>
      </c>
      <c r="AE80" t="s">
        <v>29</v>
      </c>
      <c r="AF80" t="s">
        <v>157</v>
      </c>
      <c r="AG80" s="15" t="s">
        <v>352</v>
      </c>
      <c r="AI80">
        <v>1</v>
      </c>
      <c r="AL80">
        <v>1843.33</v>
      </c>
      <c r="AM80">
        <f t="shared" si="15"/>
        <v>2.5351876860347571</v>
      </c>
      <c r="AN80">
        <f t="shared" si="51"/>
        <v>2.2976948563452861</v>
      </c>
      <c r="AO80">
        <v>2202.77</v>
      </c>
      <c r="AP80">
        <f t="shared" si="45"/>
        <v>2.1215049765969436</v>
      </c>
      <c r="AQ80">
        <v>1287.79</v>
      </c>
      <c r="AR80">
        <f t="shared" si="49"/>
        <v>3.6288428371849828</v>
      </c>
    </row>
    <row r="81" spans="1:44" ht="14.25" customHeight="1" x14ac:dyDescent="0.3">
      <c r="A81" s="342" t="s">
        <v>171</v>
      </c>
      <c r="B81" s="11" t="s">
        <v>437</v>
      </c>
      <c r="C81" s="11"/>
      <c r="D81">
        <v>2012</v>
      </c>
      <c r="E81" s="18">
        <f t="shared" si="53"/>
        <v>1106.8300219663347</v>
      </c>
      <c r="F81" s="18">
        <v>1300</v>
      </c>
      <c r="H81">
        <v>5496</v>
      </c>
      <c r="I81" t="s">
        <v>438</v>
      </c>
      <c r="J81" s="74">
        <v>5.5</v>
      </c>
      <c r="K81" s="9">
        <f t="shared" si="46"/>
        <v>2.2258500000000001E-2</v>
      </c>
      <c r="L81" s="9">
        <f t="shared" si="47"/>
        <v>2.2257710309999998</v>
      </c>
      <c r="M81" s="1">
        <f t="shared" si="50"/>
        <v>4.9691460213818521</v>
      </c>
      <c r="N81" s="1">
        <f t="shared" si="48"/>
        <v>49.72617301104453</v>
      </c>
      <c r="O81">
        <v>4.5</v>
      </c>
      <c r="P81" s="1">
        <f>O81*0.004047</f>
        <v>1.8211500000000002E-2</v>
      </c>
      <c r="Q81" s="1">
        <f>O81*0.4047</f>
        <v>1.82115</v>
      </c>
      <c r="R81" s="1">
        <f t="shared" si="54"/>
        <v>4.0656649265851517</v>
      </c>
      <c r="S81" s="1">
        <f>E81/1000/P81</f>
        <v>60.776433680165532</v>
      </c>
      <c r="W81">
        <v>40.168640000000003</v>
      </c>
      <c r="X81">
        <v>-74.753636999999998</v>
      </c>
      <c r="Y81" t="s">
        <v>91</v>
      </c>
      <c r="AA81" s="11" t="s">
        <v>95</v>
      </c>
      <c r="AB81" s="111"/>
      <c r="AE81" t="s">
        <v>29</v>
      </c>
      <c r="AF81" t="s">
        <v>157</v>
      </c>
      <c r="AG81" s="15" t="s">
        <v>444</v>
      </c>
      <c r="AI81">
        <v>1</v>
      </c>
      <c r="AL81">
        <v>1574.33</v>
      </c>
      <c r="AM81">
        <f t="shared" si="15"/>
        <v>3.1563560507529247</v>
      </c>
      <c r="AN81">
        <f t="shared" si="51"/>
        <v>2.5824731324342109</v>
      </c>
      <c r="AO81">
        <v>2202.77</v>
      </c>
      <c r="AP81">
        <f t="shared" si="45"/>
        <v>2.2558624011503028</v>
      </c>
      <c r="AQ81">
        <v>1287.79</v>
      </c>
      <c r="AR81">
        <f t="shared" si="49"/>
        <v>3.8586617549304254</v>
      </c>
    </row>
    <row r="82" spans="1:44" ht="14.25" customHeight="1" x14ac:dyDescent="0.3">
      <c r="A82" s="342" t="s">
        <v>47</v>
      </c>
      <c r="B82" s="11" t="s">
        <v>498</v>
      </c>
      <c r="C82" s="11"/>
      <c r="D82">
        <v>2011</v>
      </c>
      <c r="E82" s="18">
        <f t="shared" si="53"/>
        <v>1111.0870605123591</v>
      </c>
      <c r="F82" s="18">
        <v>1305</v>
      </c>
      <c r="G82">
        <v>4.3</v>
      </c>
      <c r="H82">
        <v>4600</v>
      </c>
      <c r="I82" t="s">
        <v>499</v>
      </c>
      <c r="J82" s="74">
        <v>10</v>
      </c>
      <c r="K82" s="9">
        <f t="shared" si="46"/>
        <v>4.0470000000000006E-2</v>
      </c>
      <c r="L82" s="9">
        <f t="shared" si="47"/>
        <v>4.0468564200000001</v>
      </c>
      <c r="M82" s="1">
        <f t="shared" si="50"/>
        <v>9.0001948140667469</v>
      </c>
      <c r="N82" s="1">
        <f t="shared" si="48"/>
        <v>27.454585137444006</v>
      </c>
      <c r="O82" s="24" t="s">
        <v>598</v>
      </c>
      <c r="P82" s="88"/>
      <c r="Q82" s="88"/>
      <c r="R82" s="88"/>
      <c r="S82" s="88"/>
      <c r="U82" s="11"/>
      <c r="V82" s="11"/>
      <c r="W82">
        <v>35.720629000000002</v>
      </c>
      <c r="X82">
        <v>-78.486500000000007</v>
      </c>
      <c r="Y82" t="s">
        <v>91</v>
      </c>
      <c r="AA82" s="11"/>
      <c r="AB82" s="15">
        <v>0.14399999999999999</v>
      </c>
      <c r="AC82" t="s">
        <v>399</v>
      </c>
      <c r="AD82" t="s">
        <v>500</v>
      </c>
      <c r="AE82" t="s">
        <v>29</v>
      </c>
      <c r="AF82" t="s">
        <v>157</v>
      </c>
      <c r="AG82" s="15" t="s">
        <v>385</v>
      </c>
      <c r="AI82">
        <v>1</v>
      </c>
      <c r="AL82">
        <v>1648.64</v>
      </c>
      <c r="AM82">
        <f t="shared" si="15"/>
        <v>5.4591631975851289</v>
      </c>
      <c r="AO82">
        <v>2203.56</v>
      </c>
      <c r="AP82">
        <f t="shared" si="45"/>
        <v>4.0843883597754305</v>
      </c>
      <c r="AQ82">
        <v>1294.1400000000001</v>
      </c>
      <c r="AR82">
        <f t="shared" si="49"/>
        <v>6.954575868195672</v>
      </c>
    </row>
    <row r="83" spans="1:44" ht="14.25" customHeight="1" x14ac:dyDescent="0.3">
      <c r="A83" s="342" t="s">
        <v>26</v>
      </c>
      <c r="B83" s="11" t="s">
        <v>513</v>
      </c>
      <c r="C83" s="11"/>
      <c r="D83">
        <v>2011</v>
      </c>
      <c r="E83" s="42">
        <v>1200</v>
      </c>
      <c r="F83" s="75">
        <v>1400</v>
      </c>
      <c r="H83">
        <v>6300</v>
      </c>
      <c r="I83" t="s">
        <v>514</v>
      </c>
      <c r="J83" s="74">
        <v>8.19</v>
      </c>
      <c r="K83" s="9">
        <f>J83*0.004047</f>
        <v>3.3144930000000003E-2</v>
      </c>
      <c r="L83" s="9">
        <f>J83*0.404685642</f>
        <v>3.3143754079800001</v>
      </c>
      <c r="M83" s="1">
        <f t="shared" si="50"/>
        <v>6.8250000000000002</v>
      </c>
      <c r="N83" s="1">
        <f>E83/1000/K83</f>
        <v>36.204632201667039</v>
      </c>
      <c r="O83" s="11">
        <v>4.7846000000000002</v>
      </c>
      <c r="P83" s="1">
        <f>O83*0.004047</f>
        <v>1.9363276200000001E-2</v>
      </c>
      <c r="Q83" s="1">
        <f>O83*0.4047</f>
        <v>1.9363276200000001</v>
      </c>
      <c r="R83" s="1">
        <f t="shared" ref="R83:R84" si="55">O83/(E83/1000)</f>
        <v>3.987166666666667</v>
      </c>
      <c r="S83" s="1">
        <f>E83/1000/P83</f>
        <v>61.972983683411996</v>
      </c>
      <c r="U83" s="11"/>
      <c r="V83" s="11"/>
      <c r="W83">
        <v>33.234802000000002</v>
      </c>
      <c r="X83">
        <v>-117.38078400000001</v>
      </c>
      <c r="Y83" t="s">
        <v>91</v>
      </c>
      <c r="AA83" s="11"/>
      <c r="AB83" s="15">
        <v>0.14199999999999999</v>
      </c>
      <c r="AC83" s="11" t="s">
        <v>399</v>
      </c>
      <c r="AD83" t="s">
        <v>512</v>
      </c>
      <c r="AE83" t="s">
        <v>29</v>
      </c>
      <c r="AF83" t="s">
        <v>157</v>
      </c>
      <c r="AG83" s="15" t="s">
        <v>380</v>
      </c>
      <c r="AI83">
        <v>1</v>
      </c>
      <c r="AL83">
        <v>1910.06</v>
      </c>
      <c r="AM83">
        <f t="shared" si="15"/>
        <v>3.5731861826330067</v>
      </c>
      <c r="AN83">
        <f t="shared" si="51"/>
        <v>2.0874562404671408</v>
      </c>
      <c r="AO83">
        <v>2200.2399999999998</v>
      </c>
      <c r="AP83">
        <f t="shared" si="45"/>
        <v>3.101934334436244</v>
      </c>
      <c r="AQ83">
        <v>1294.68</v>
      </c>
      <c r="AR83">
        <f t="shared" si="49"/>
        <v>5.2715728983223658</v>
      </c>
    </row>
    <row r="84" spans="1:44" ht="14.25" customHeight="1" x14ac:dyDescent="0.3">
      <c r="A84" s="342" t="s">
        <v>3</v>
      </c>
      <c r="B84" s="11" t="s">
        <v>143</v>
      </c>
      <c r="C84" s="11"/>
      <c r="D84">
        <v>2009</v>
      </c>
      <c r="E84" s="18">
        <f t="shared" ref="E84:E90" si="56">F84*$F$289</f>
        <v>1362.2523347277966</v>
      </c>
      <c r="F84" s="18">
        <v>1600</v>
      </c>
      <c r="G84">
        <v>7</v>
      </c>
      <c r="H84">
        <v>7392</v>
      </c>
      <c r="J84">
        <v>9</v>
      </c>
      <c r="K84" s="9">
        <f t="shared" si="46"/>
        <v>3.6423000000000004E-2</v>
      </c>
      <c r="L84" s="9">
        <f t="shared" si="47"/>
        <v>3.6421707780000001</v>
      </c>
      <c r="M84" s="1">
        <f t="shared" si="50"/>
        <v>6.6067055057008712</v>
      </c>
      <c r="N84" s="1">
        <f t="shared" si="48"/>
        <v>37.400882264717254</v>
      </c>
      <c r="O84" s="11">
        <v>7.1</v>
      </c>
      <c r="P84" s="25">
        <f>O84*0.004047</f>
        <v>2.8733700000000001E-2</v>
      </c>
      <c r="Q84" s="1">
        <f>O84*0.404685642</f>
        <v>2.8732680581999999</v>
      </c>
      <c r="R84" s="1">
        <f t="shared" si="55"/>
        <v>5.2119565656084648</v>
      </c>
      <c r="S84" s="1">
        <f>E84/1000/P84</f>
        <v>47.409569067951452</v>
      </c>
      <c r="T84">
        <v>0.43</v>
      </c>
      <c r="U84" s="1">
        <f>1/T84</f>
        <v>2.3255813953488373</v>
      </c>
      <c r="V84" s="1">
        <f>T84*R84</f>
        <v>2.2411413232116399</v>
      </c>
      <c r="W84">
        <v>39.900089999999999</v>
      </c>
      <c r="X84">
        <v>-104.673615</v>
      </c>
      <c r="Y84" t="s">
        <v>91</v>
      </c>
      <c r="AA84" t="s">
        <v>95</v>
      </c>
      <c r="AB84" s="15"/>
      <c r="AC84" s="15"/>
      <c r="AD84" s="15"/>
      <c r="AE84" t="s">
        <v>29</v>
      </c>
      <c r="AF84" t="s">
        <v>110</v>
      </c>
      <c r="AG84" s="15" t="s">
        <v>252</v>
      </c>
      <c r="AI84">
        <v>1</v>
      </c>
      <c r="AL84">
        <v>1928.56</v>
      </c>
      <c r="AM84">
        <f t="shared" si="15"/>
        <v>3.4257194516638698</v>
      </c>
      <c r="AN84">
        <f t="shared" si="51"/>
        <v>2.7025120118681634</v>
      </c>
      <c r="AO84">
        <v>2203.89</v>
      </c>
      <c r="AP84">
        <f t="shared" si="45"/>
        <v>2.9977473946979529</v>
      </c>
      <c r="AQ84">
        <v>1289.6600000000001</v>
      </c>
      <c r="AR84">
        <f t="shared" si="49"/>
        <v>5.1228273387566272</v>
      </c>
    </row>
    <row r="85" spans="1:44" ht="14.25" customHeight="1" x14ac:dyDescent="0.3">
      <c r="A85" s="342" t="s">
        <v>557</v>
      </c>
      <c r="B85" s="11" t="s">
        <v>556</v>
      </c>
      <c r="C85" s="11"/>
      <c r="D85">
        <v>2011</v>
      </c>
      <c r="E85" s="18">
        <f t="shared" si="56"/>
        <v>1413.3367972800888</v>
      </c>
      <c r="F85" s="75">
        <v>1660</v>
      </c>
      <c r="H85">
        <v>8316</v>
      </c>
      <c r="I85" t="s">
        <v>170</v>
      </c>
      <c r="J85" s="74">
        <v>11.9</v>
      </c>
      <c r="K85" s="9">
        <f t="shared" si="46"/>
        <v>4.8159300000000002E-2</v>
      </c>
      <c r="L85" s="9">
        <f t="shared" si="47"/>
        <v>4.8157591397999999</v>
      </c>
      <c r="M85" s="1">
        <f t="shared" si="50"/>
        <v>8.4197906846415407</v>
      </c>
      <c r="N85" s="1">
        <f t="shared" si="48"/>
        <v>29.347120852672042</v>
      </c>
      <c r="O85" s="24" t="s">
        <v>598</v>
      </c>
      <c r="P85" s="88"/>
      <c r="Q85" s="88"/>
      <c r="R85" s="88"/>
      <c r="S85" s="88"/>
      <c r="U85" s="11"/>
      <c r="V85" s="11"/>
      <c r="W85">
        <v>45.110570000000003</v>
      </c>
      <c r="X85">
        <v>-123.2795</v>
      </c>
      <c r="Y85" t="s">
        <v>91</v>
      </c>
      <c r="AA85" s="11"/>
      <c r="AB85" s="15">
        <v>9.9900000000000003E-2</v>
      </c>
      <c r="AC85" s="11" t="s">
        <v>554</v>
      </c>
      <c r="AD85" t="s">
        <v>555</v>
      </c>
      <c r="AE85" t="s">
        <v>29</v>
      </c>
      <c r="AF85" t="s">
        <v>475</v>
      </c>
      <c r="AG85" s="15" t="s">
        <v>385</v>
      </c>
      <c r="AI85">
        <v>1</v>
      </c>
      <c r="AL85">
        <v>1460.8</v>
      </c>
      <c r="AM85">
        <f t="shared" si="15"/>
        <v>5.7638216625421288</v>
      </c>
      <c r="AO85">
        <v>2189.3200000000002</v>
      </c>
      <c r="AP85">
        <f t="shared" si="45"/>
        <v>3.8458474250641932</v>
      </c>
      <c r="AQ85">
        <v>1273.96</v>
      </c>
      <c r="AR85">
        <f t="shared" si="49"/>
        <v>6.609148391347877</v>
      </c>
    </row>
    <row r="86" spans="1:44" ht="14.25" customHeight="1" x14ac:dyDescent="0.3">
      <c r="A86" s="342" t="s">
        <v>491</v>
      </c>
      <c r="B86" s="11" t="s">
        <v>488</v>
      </c>
      <c r="C86" s="11"/>
      <c r="D86">
        <v>2010</v>
      </c>
      <c r="E86" s="18">
        <f t="shared" si="56"/>
        <v>1575.1042620290148</v>
      </c>
      <c r="F86" s="94">
        <v>1850</v>
      </c>
      <c r="G86">
        <v>9.5</v>
      </c>
      <c r="H86">
        <v>6534</v>
      </c>
      <c r="I86" t="s">
        <v>489</v>
      </c>
      <c r="J86" s="74">
        <v>9.25</v>
      </c>
      <c r="K86" s="9">
        <f t="shared" si="46"/>
        <v>3.7434750000000003E-2</v>
      </c>
      <c r="L86" s="9">
        <f t="shared" si="47"/>
        <v>3.7433421885000002</v>
      </c>
      <c r="M86" s="1">
        <f t="shared" si="50"/>
        <v>5.8726271161785526</v>
      </c>
      <c r="N86" s="1">
        <f t="shared" si="48"/>
        <v>42.075992547806905</v>
      </c>
      <c r="O86" s="11">
        <v>6.2</v>
      </c>
      <c r="P86" s="1">
        <f t="shared" ref="P86:P94" si="57">O86*0.004047</f>
        <v>2.5091400000000003E-2</v>
      </c>
      <c r="Q86" s="1">
        <f t="shared" ref="Q86:Q94" si="58">O86*0.4047</f>
        <v>2.5091399999999999</v>
      </c>
      <c r="R86" s="1">
        <f t="shared" ref="R86:R94" si="59">O86/(E86/1000)</f>
        <v>3.9362473643575164</v>
      </c>
      <c r="S86" s="1">
        <f t="shared" ref="S86:S94" si="60">E86/1000/P86</f>
        <v>62.774666301163528</v>
      </c>
      <c r="T86">
        <v>0.62</v>
      </c>
      <c r="U86" s="1">
        <f>1/T86</f>
        <v>1.6129032258064517</v>
      </c>
      <c r="V86" s="1">
        <f>T86*R86</f>
        <v>2.44047336590166</v>
      </c>
      <c r="W86">
        <v>42.452694000000001</v>
      </c>
      <c r="X86">
        <v>-73.240791000000002</v>
      </c>
      <c r="Y86" t="s">
        <v>91</v>
      </c>
      <c r="AA86" s="11" t="s">
        <v>95</v>
      </c>
      <c r="AB86" s="15">
        <v>0.14399999999999999</v>
      </c>
      <c r="AC86" t="s">
        <v>399</v>
      </c>
      <c r="AD86" t="s">
        <v>492</v>
      </c>
      <c r="AE86" t="s">
        <v>29</v>
      </c>
      <c r="AF86" t="s">
        <v>493</v>
      </c>
      <c r="AG86" s="15" t="s">
        <v>494</v>
      </c>
      <c r="AI86">
        <v>1</v>
      </c>
      <c r="AJ86">
        <v>70</v>
      </c>
      <c r="AL86">
        <v>1502.46</v>
      </c>
      <c r="AM86">
        <f t="shared" si="15"/>
        <v>3.9086745179096631</v>
      </c>
      <c r="AN86">
        <f t="shared" si="51"/>
        <v>2.6198683255178281</v>
      </c>
      <c r="AO86">
        <v>2198.92</v>
      </c>
      <c r="AP86">
        <f t="shared" si="45"/>
        <v>2.6706870264395941</v>
      </c>
      <c r="AQ86">
        <v>1283.1600000000001</v>
      </c>
      <c r="AR86">
        <f t="shared" si="49"/>
        <v>4.5766912280452567</v>
      </c>
    </row>
    <row r="87" spans="1:44" ht="14.25" customHeight="1" x14ac:dyDescent="0.3">
      <c r="A87" s="342" t="s">
        <v>3</v>
      </c>
      <c r="B87" t="s">
        <v>145</v>
      </c>
      <c r="D87">
        <v>2008</v>
      </c>
      <c r="E87" s="18">
        <f t="shared" si="56"/>
        <v>1702.8154184097457</v>
      </c>
      <c r="F87" s="18">
        <v>2000</v>
      </c>
      <c r="G87">
        <v>13</v>
      </c>
      <c r="H87">
        <v>27588</v>
      </c>
      <c r="J87">
        <v>12.5</v>
      </c>
      <c r="K87" s="9">
        <f t="shared" si="46"/>
        <v>5.0587500000000001E-2</v>
      </c>
      <c r="L87" s="9">
        <f t="shared" si="47"/>
        <v>5.0585705250000004</v>
      </c>
      <c r="M87" s="1">
        <f t="shared" si="50"/>
        <v>7.3407838952231907</v>
      </c>
      <c r="N87" s="1">
        <f t="shared" si="48"/>
        <v>33.660794038245527</v>
      </c>
      <c r="O87">
        <v>10.7</v>
      </c>
      <c r="P87" s="1">
        <f t="shared" si="57"/>
        <v>4.3302899999999998E-2</v>
      </c>
      <c r="Q87" s="1">
        <f t="shared" si="58"/>
        <v>4.3302899999999998</v>
      </c>
      <c r="R87" s="1">
        <f t="shared" si="59"/>
        <v>6.2837110143110504</v>
      </c>
      <c r="S87" s="1">
        <f t="shared" si="60"/>
        <v>39.323357521314875</v>
      </c>
      <c r="T87">
        <v>0.56999999999999995</v>
      </c>
      <c r="U87" s="1">
        <f>1/T87</f>
        <v>1.7543859649122808</v>
      </c>
      <c r="V87" s="1">
        <f>T87*R87</f>
        <v>3.5817152781572985</v>
      </c>
      <c r="W87">
        <v>38.722852000000003</v>
      </c>
      <c r="X87">
        <v>-104.78174</v>
      </c>
      <c r="Y87" t="s">
        <v>91</v>
      </c>
      <c r="AA87" t="s">
        <v>95</v>
      </c>
      <c r="AB87" s="15">
        <v>0.1069</v>
      </c>
      <c r="AC87" s="15" t="s">
        <v>366</v>
      </c>
      <c r="AD87" s="15" t="s">
        <v>367</v>
      </c>
      <c r="AE87" t="s">
        <v>29</v>
      </c>
      <c r="AF87" t="s">
        <v>110</v>
      </c>
      <c r="AG87" s="15" t="s">
        <v>252</v>
      </c>
      <c r="AI87">
        <v>1</v>
      </c>
      <c r="AK87">
        <v>1648</v>
      </c>
      <c r="AL87">
        <v>1974.02</v>
      </c>
      <c r="AM87">
        <f t="shared" si="15"/>
        <v>3.718697832455188</v>
      </c>
      <c r="AN87">
        <f t="shared" si="51"/>
        <v>3.1832053445816406</v>
      </c>
      <c r="AO87">
        <v>2204.56</v>
      </c>
      <c r="AP87">
        <f t="shared" si="45"/>
        <v>3.3298181474866602</v>
      </c>
      <c r="AQ87">
        <v>1291.23</v>
      </c>
      <c r="AR87">
        <f t="shared" si="49"/>
        <v>5.6851094655663124</v>
      </c>
    </row>
    <row r="88" spans="1:44" ht="14.25" customHeight="1" x14ac:dyDescent="0.3">
      <c r="A88" s="342" t="s">
        <v>491</v>
      </c>
      <c r="B88" s="11" t="s">
        <v>523</v>
      </c>
      <c r="C88" s="11"/>
      <c r="D88">
        <v>2011</v>
      </c>
      <c r="E88" s="18">
        <f t="shared" si="56"/>
        <v>1702.8154184097457</v>
      </c>
      <c r="F88" s="75">
        <v>2000</v>
      </c>
      <c r="H88">
        <v>8332</v>
      </c>
      <c r="I88" t="s">
        <v>524</v>
      </c>
      <c r="J88" s="74">
        <v>9.17</v>
      </c>
      <c r="K88" s="9">
        <f t="shared" si="46"/>
        <v>3.7110990000000003E-2</v>
      </c>
      <c r="L88" s="9">
        <f t="shared" si="47"/>
        <v>3.71096733714</v>
      </c>
      <c r="M88" s="1">
        <f t="shared" si="50"/>
        <v>5.3851990655357325</v>
      </c>
      <c r="N88" s="1">
        <f t="shared" si="48"/>
        <v>45.884397543955188</v>
      </c>
      <c r="O88" s="11">
        <v>8</v>
      </c>
      <c r="P88" s="1">
        <f t="shared" si="57"/>
        <v>3.2376000000000002E-2</v>
      </c>
      <c r="Q88" s="1">
        <f t="shared" si="58"/>
        <v>3.2376</v>
      </c>
      <c r="R88" s="1">
        <f t="shared" si="59"/>
        <v>4.6981016929428421</v>
      </c>
      <c r="S88" s="1">
        <f t="shared" si="60"/>
        <v>52.594990684758635</v>
      </c>
      <c r="T88">
        <v>0.40860000000000002</v>
      </c>
      <c r="U88" s="1">
        <f>1/T88</f>
        <v>2.4473813020068524</v>
      </c>
      <c r="V88" s="1">
        <f>T88*R88</f>
        <v>1.9196443517364454</v>
      </c>
      <c r="W88">
        <v>42.114750000000001</v>
      </c>
      <c r="X88">
        <v>-73.405109999999993</v>
      </c>
      <c r="Y88" t="s">
        <v>91</v>
      </c>
      <c r="AA88" s="11" t="s">
        <v>95</v>
      </c>
      <c r="AB88" s="15">
        <v>0.14499999999999999</v>
      </c>
      <c r="AC88" s="11" t="s">
        <v>391</v>
      </c>
      <c r="AD88" t="s">
        <v>525</v>
      </c>
      <c r="AE88" t="s">
        <v>29</v>
      </c>
      <c r="AF88" t="s">
        <v>157</v>
      </c>
      <c r="AG88" s="15" t="s">
        <v>385</v>
      </c>
      <c r="AI88">
        <v>1</v>
      </c>
      <c r="AL88">
        <v>1512.98</v>
      </c>
      <c r="AM88">
        <f t="shared" si="15"/>
        <v>3.5593326187627934</v>
      </c>
      <c r="AN88">
        <f t="shared" si="51"/>
        <v>3.1051974863797551</v>
      </c>
      <c r="AO88">
        <v>2198.92</v>
      </c>
      <c r="AP88">
        <f t="shared" si="45"/>
        <v>2.4490200032451077</v>
      </c>
      <c r="AQ88">
        <v>1283.1600000000001</v>
      </c>
      <c r="AR88">
        <f t="shared" si="49"/>
        <v>4.1968258561175009</v>
      </c>
    </row>
    <row r="89" spans="1:44" ht="14.25" customHeight="1" x14ac:dyDescent="0.3">
      <c r="A89" s="342" t="s">
        <v>160</v>
      </c>
      <c r="B89" s="11" t="s">
        <v>383</v>
      </c>
      <c r="C89" s="11"/>
      <c r="D89">
        <v>2011</v>
      </c>
      <c r="E89" s="18">
        <f t="shared" si="56"/>
        <v>1702.8154184097457</v>
      </c>
      <c r="F89" s="18">
        <v>2000</v>
      </c>
      <c r="H89">
        <v>30000</v>
      </c>
      <c r="I89" t="s">
        <v>428</v>
      </c>
      <c r="J89" s="74">
        <v>18.5</v>
      </c>
      <c r="K89" s="9">
        <f t="shared" si="46"/>
        <v>7.4869500000000005E-2</v>
      </c>
      <c r="L89" s="9">
        <f t="shared" si="47"/>
        <v>7.4866843770000004</v>
      </c>
      <c r="M89" s="1">
        <f t="shared" si="50"/>
        <v>10.864360164930321</v>
      </c>
      <c r="N89" s="1">
        <f t="shared" si="48"/>
        <v>22.743779755571303</v>
      </c>
      <c r="O89">
        <v>10.87</v>
      </c>
      <c r="P89" s="1">
        <f t="shared" si="57"/>
        <v>4.3990889999999998E-2</v>
      </c>
      <c r="Q89" s="1">
        <f t="shared" si="58"/>
        <v>4.399089</v>
      </c>
      <c r="R89" s="1">
        <f t="shared" si="59"/>
        <v>6.3835456752860864</v>
      </c>
      <c r="S89" s="1">
        <f t="shared" si="60"/>
        <v>38.708364809389984</v>
      </c>
      <c r="T89">
        <v>0.63200000000000001</v>
      </c>
      <c r="U89" s="1">
        <f>1/T89</f>
        <v>1.5822784810126582</v>
      </c>
      <c r="V89" s="1">
        <f>T89*R89</f>
        <v>4.0344008667808069</v>
      </c>
      <c r="W89">
        <v>35.170215606689503</v>
      </c>
      <c r="X89">
        <v>-106.601098106934</v>
      </c>
      <c r="Y89" t="s">
        <v>91</v>
      </c>
      <c r="AA89" t="s">
        <v>94</v>
      </c>
      <c r="AB89" s="15">
        <v>0.107</v>
      </c>
      <c r="AC89" s="15" t="s">
        <v>366</v>
      </c>
      <c r="AD89" s="15" t="s">
        <v>146</v>
      </c>
      <c r="AE89" t="s">
        <v>29</v>
      </c>
      <c r="AF89" t="s">
        <v>157</v>
      </c>
      <c r="AG89" s="15" t="s">
        <v>385</v>
      </c>
      <c r="AI89">
        <v>1</v>
      </c>
      <c r="AL89">
        <v>2138.21</v>
      </c>
      <c r="AM89">
        <f t="shared" si="15"/>
        <v>5.081053855762681</v>
      </c>
      <c r="AN89">
        <f t="shared" si="51"/>
        <v>2.9854624547102886</v>
      </c>
      <c r="AO89">
        <v>2203.56</v>
      </c>
      <c r="AP89">
        <f t="shared" si="45"/>
        <v>4.9303672987939171</v>
      </c>
      <c r="AQ89">
        <v>1294.1400000000001</v>
      </c>
      <c r="AR89">
        <f t="shared" si="49"/>
        <v>8.3950423948957003</v>
      </c>
    </row>
    <row r="90" spans="1:44" ht="14.25" customHeight="1" x14ac:dyDescent="0.3">
      <c r="A90" s="342" t="s">
        <v>171</v>
      </c>
      <c r="B90" s="11" t="s">
        <v>434</v>
      </c>
      <c r="C90" s="11"/>
      <c r="D90">
        <v>2010</v>
      </c>
      <c r="E90" s="18">
        <f t="shared" si="56"/>
        <v>1787.956189330233</v>
      </c>
      <c r="F90" s="94">
        <v>2100</v>
      </c>
      <c r="H90">
        <v>8800</v>
      </c>
      <c r="I90" t="s">
        <v>438</v>
      </c>
      <c r="J90" s="74">
        <v>8</v>
      </c>
      <c r="K90" s="9">
        <f t="shared" si="46"/>
        <v>3.2376000000000002E-2</v>
      </c>
      <c r="L90" s="9">
        <f t="shared" si="47"/>
        <v>3.2374851360000001</v>
      </c>
      <c r="M90" s="1">
        <f t="shared" si="50"/>
        <v>4.4743825647074686</v>
      </c>
      <c r="N90" s="1">
        <f t="shared" si="48"/>
        <v>55.224740218996565</v>
      </c>
      <c r="O90">
        <v>5.7</v>
      </c>
      <c r="P90" s="1">
        <f t="shared" si="57"/>
        <v>2.3067900000000002E-2</v>
      </c>
      <c r="Q90" s="1">
        <f t="shared" si="58"/>
        <v>2.3067899999999999</v>
      </c>
      <c r="R90" s="1">
        <f t="shared" si="59"/>
        <v>3.1879975773540714</v>
      </c>
      <c r="S90" s="1">
        <f t="shared" si="60"/>
        <v>77.508407324907452</v>
      </c>
      <c r="W90">
        <v>40.494008000000001</v>
      </c>
      <c r="X90">
        <v>-74.398899</v>
      </c>
      <c r="Y90" t="s">
        <v>91</v>
      </c>
      <c r="AA90" s="11" t="s">
        <v>95</v>
      </c>
      <c r="AB90" s="111">
        <f>(13.74+14.4)/2/100</f>
        <v>0.14069999999999999</v>
      </c>
      <c r="AC90" t="s">
        <v>399</v>
      </c>
      <c r="AD90" s="78" t="s">
        <v>439</v>
      </c>
      <c r="AE90" t="s">
        <v>29</v>
      </c>
      <c r="AF90" t="s">
        <v>433</v>
      </c>
      <c r="AG90" s="15" t="s">
        <v>7</v>
      </c>
      <c r="AI90">
        <v>1</v>
      </c>
      <c r="AL90">
        <v>1563.39</v>
      </c>
      <c r="AM90">
        <f t="shared" si="15"/>
        <v>2.8619746606460761</v>
      </c>
      <c r="AN90">
        <f t="shared" si="51"/>
        <v>2.0391569457103289</v>
      </c>
      <c r="AO90">
        <v>2202.77</v>
      </c>
      <c r="AP90">
        <f t="shared" si="45"/>
        <v>2.0312527248452943</v>
      </c>
      <c r="AQ90">
        <v>1287.79</v>
      </c>
      <c r="AR90">
        <f t="shared" si="49"/>
        <v>3.4744659957815083</v>
      </c>
    </row>
    <row r="91" spans="1:44" ht="14.25" customHeight="1" x14ac:dyDescent="0.3">
      <c r="A91" s="342" t="s">
        <v>26</v>
      </c>
      <c r="B91" s="11" t="s">
        <v>544</v>
      </c>
      <c r="C91" s="11"/>
      <c r="D91">
        <v>2010</v>
      </c>
      <c r="E91" s="42">
        <v>2000</v>
      </c>
      <c r="F91" s="94">
        <v>2592</v>
      </c>
      <c r="H91">
        <v>9600</v>
      </c>
      <c r="I91" t="s">
        <v>545</v>
      </c>
      <c r="J91" s="74">
        <v>13.7</v>
      </c>
      <c r="K91" s="9">
        <f t="shared" si="46"/>
        <v>5.5443899999999997E-2</v>
      </c>
      <c r="L91" s="9">
        <f t="shared" si="47"/>
        <v>5.5441932953999995</v>
      </c>
      <c r="M91" s="1">
        <f t="shared" si="50"/>
        <v>6.85</v>
      </c>
      <c r="N91" s="1">
        <f t="shared" si="48"/>
        <v>36.072498507500377</v>
      </c>
      <c r="O91" s="11">
        <v>8.84</v>
      </c>
      <c r="P91" s="1">
        <f t="shared" si="57"/>
        <v>3.5775479999999998E-2</v>
      </c>
      <c r="Q91" s="1">
        <f t="shared" si="58"/>
        <v>3.5775480000000002</v>
      </c>
      <c r="R91" s="1">
        <f t="shared" si="59"/>
        <v>4.42</v>
      </c>
      <c r="S91" s="1">
        <f t="shared" si="60"/>
        <v>55.904211487868231</v>
      </c>
      <c r="T91">
        <v>0.41320000000000001</v>
      </c>
      <c r="U91" s="1">
        <f>1/T91</f>
        <v>2.4201355275895451</v>
      </c>
      <c r="V91" s="1">
        <f>T91*R91</f>
        <v>1.826344</v>
      </c>
      <c r="W91">
        <v>38.411070000000002</v>
      </c>
      <c r="X91">
        <v>-121.92645</v>
      </c>
      <c r="Y91" t="s">
        <v>91</v>
      </c>
      <c r="AA91" s="11"/>
      <c r="AB91" s="15">
        <v>0.13769999999999999</v>
      </c>
      <c r="AC91" s="11" t="s">
        <v>399</v>
      </c>
      <c r="AD91" t="s">
        <v>546</v>
      </c>
      <c r="AE91" t="s">
        <v>29</v>
      </c>
      <c r="AF91" t="s">
        <v>475</v>
      </c>
      <c r="AG91" s="15" t="s">
        <v>385</v>
      </c>
      <c r="AI91">
        <v>1</v>
      </c>
      <c r="AL91">
        <v>1846.64</v>
      </c>
      <c r="AM91">
        <f t="shared" si="15"/>
        <v>3.7094398475068227</v>
      </c>
      <c r="AN91">
        <f t="shared" si="51"/>
        <v>2.3935363687562274</v>
      </c>
      <c r="AO91">
        <v>2203.3000000000002</v>
      </c>
      <c r="AP91">
        <f t="shared" si="45"/>
        <v>3.108972904279943</v>
      </c>
      <c r="AQ91">
        <v>1286.48</v>
      </c>
      <c r="AR91">
        <f t="shared" si="49"/>
        <v>5.3246066786891362</v>
      </c>
    </row>
    <row r="92" spans="1:44" ht="14.25" customHeight="1" x14ac:dyDescent="0.3">
      <c r="A92" s="342" t="s">
        <v>171</v>
      </c>
      <c r="B92" t="s">
        <v>198</v>
      </c>
      <c r="D92">
        <v>2009</v>
      </c>
      <c r="E92" s="42">
        <f>F92*0.97</f>
        <v>2086.4699999999998</v>
      </c>
      <c r="F92" s="94">
        <v>2151</v>
      </c>
      <c r="H92">
        <v>28260</v>
      </c>
      <c r="I92" t="s">
        <v>199</v>
      </c>
      <c r="J92">
        <v>14</v>
      </c>
      <c r="K92" s="9">
        <f t="shared" si="46"/>
        <v>5.6658E-2</v>
      </c>
      <c r="L92" s="9">
        <f t="shared" si="47"/>
        <v>5.6655989880000002</v>
      </c>
      <c r="M92" s="1">
        <f t="shared" si="50"/>
        <v>6.7098975782062533</v>
      </c>
      <c r="N92" s="1">
        <f t="shared" si="48"/>
        <v>36.825690988033458</v>
      </c>
      <c r="O92">
        <v>11.5</v>
      </c>
      <c r="P92" s="1">
        <f t="shared" si="57"/>
        <v>4.6540500000000005E-2</v>
      </c>
      <c r="Q92" s="1">
        <f t="shared" si="58"/>
        <v>4.6540499999999998</v>
      </c>
      <c r="R92" s="1">
        <f t="shared" si="59"/>
        <v>5.5117015820979933</v>
      </c>
      <c r="S92" s="1">
        <f t="shared" si="60"/>
        <v>44.831275985432036</v>
      </c>
      <c r="T92">
        <v>0.4</v>
      </c>
      <c r="U92" s="1">
        <f>1/T92</f>
        <v>2.5</v>
      </c>
      <c r="V92" s="1">
        <f>T92*R92</f>
        <v>2.2046806328391972</v>
      </c>
      <c r="W92">
        <v>40.860551999999998</v>
      </c>
      <c r="X92">
        <v>-74.822644999999994</v>
      </c>
      <c r="Y92" t="s">
        <v>91</v>
      </c>
      <c r="AA92" t="s">
        <v>96</v>
      </c>
      <c r="AB92" s="15">
        <v>0.1</v>
      </c>
      <c r="AC92" s="15" t="s">
        <v>366</v>
      </c>
      <c r="AD92" s="15" t="s">
        <v>200</v>
      </c>
      <c r="AE92" t="s">
        <v>29</v>
      </c>
      <c r="AF92" s="15" t="s">
        <v>110</v>
      </c>
      <c r="AG92" s="15" t="s">
        <v>252</v>
      </c>
      <c r="AI92">
        <v>1</v>
      </c>
      <c r="AL92">
        <v>1529.64</v>
      </c>
      <c r="AM92">
        <f t="shared" si="15"/>
        <v>4.3865861105921997</v>
      </c>
      <c r="AN92">
        <f t="shared" si="51"/>
        <v>3.6032671622721644</v>
      </c>
      <c r="AO92">
        <v>2198.69</v>
      </c>
      <c r="AP92">
        <f t="shared" si="45"/>
        <v>3.0517706353357013</v>
      </c>
      <c r="AQ92">
        <v>1292.01</v>
      </c>
      <c r="AR92">
        <f t="shared" si="49"/>
        <v>5.1933789817464682</v>
      </c>
    </row>
    <row r="93" spans="1:44" ht="14.25" customHeight="1" x14ac:dyDescent="0.3">
      <c r="A93" s="342" t="s">
        <v>168</v>
      </c>
      <c r="B93" t="s">
        <v>169</v>
      </c>
      <c r="D93">
        <v>2010</v>
      </c>
      <c r="E93" s="18">
        <f t="shared" ref="E93:E101" si="61">F93*$F$289</f>
        <v>2554.2231276146185</v>
      </c>
      <c r="F93" s="18">
        <v>3000</v>
      </c>
      <c r="H93">
        <v>40000</v>
      </c>
      <c r="I93" t="s">
        <v>170</v>
      </c>
      <c r="J93">
        <v>23.2</v>
      </c>
      <c r="K93" s="9">
        <f t="shared" si="46"/>
        <v>9.3890399999999999E-2</v>
      </c>
      <c r="L93" s="9">
        <f t="shared" si="47"/>
        <v>9.3887068944000003</v>
      </c>
      <c r="M93" s="1">
        <f t="shared" si="50"/>
        <v>9.0829966063561614</v>
      </c>
      <c r="N93" s="1">
        <f t="shared" si="48"/>
        <v>27.204305526599295</v>
      </c>
      <c r="O93">
        <v>15.2</v>
      </c>
      <c r="P93" s="1">
        <f t="shared" si="57"/>
        <v>6.1514400000000004E-2</v>
      </c>
      <c r="Q93" s="1">
        <f t="shared" si="58"/>
        <v>6.15144</v>
      </c>
      <c r="R93" s="1">
        <f t="shared" si="59"/>
        <v>5.9509288110609333</v>
      </c>
      <c r="S93" s="1">
        <f t="shared" si="60"/>
        <v>41.522361066914712</v>
      </c>
      <c r="T93">
        <v>0.462337</v>
      </c>
      <c r="U93" s="1">
        <f>1/T93</f>
        <v>2.1629244468861457</v>
      </c>
      <c r="V93" s="1">
        <f>T93*R93</f>
        <v>2.7513345737194785</v>
      </c>
      <c r="W93">
        <v>41.061152</v>
      </c>
      <c r="X93">
        <v>-75.514830000000003</v>
      </c>
      <c r="Y93" t="s">
        <v>91</v>
      </c>
      <c r="AA93" t="s">
        <v>94</v>
      </c>
      <c r="AB93" s="15"/>
      <c r="AC93" s="15"/>
      <c r="AD93" s="15"/>
      <c r="AE93" t="s">
        <v>109</v>
      </c>
      <c r="AF93" t="s">
        <v>157</v>
      </c>
      <c r="AG93" s="15" t="s">
        <v>352</v>
      </c>
      <c r="AI93">
        <v>1</v>
      </c>
      <c r="AL93">
        <v>1478.25</v>
      </c>
      <c r="AM93">
        <f t="shared" si="15"/>
        <v>6.1444252368382628</v>
      </c>
      <c r="AN93">
        <f t="shared" si="51"/>
        <v>4.0256579137905861</v>
      </c>
      <c r="AO93">
        <v>2201.11</v>
      </c>
      <c r="AP93">
        <f t="shared" si="45"/>
        <v>4.1265527876190475</v>
      </c>
      <c r="AQ93">
        <v>1285.6400000000001</v>
      </c>
      <c r="AR93">
        <f t="shared" si="49"/>
        <v>7.0649611138080344</v>
      </c>
    </row>
    <row r="94" spans="1:44" ht="14.25" customHeight="1" x14ac:dyDescent="0.3">
      <c r="A94" s="342" t="s">
        <v>168</v>
      </c>
      <c r="B94" t="s">
        <v>178</v>
      </c>
      <c r="D94">
        <v>2008</v>
      </c>
      <c r="E94" s="18">
        <f t="shared" si="61"/>
        <v>2554.2231276146185</v>
      </c>
      <c r="F94" s="18">
        <v>3000</v>
      </c>
      <c r="H94">
        <v>17000</v>
      </c>
      <c r="I94" t="s">
        <v>179</v>
      </c>
      <c r="J94">
        <v>16.5</v>
      </c>
      <c r="K94" s="9">
        <f t="shared" si="46"/>
        <v>6.6775500000000002E-2</v>
      </c>
      <c r="L94" s="9">
        <f t="shared" si="47"/>
        <v>6.6773130930000004</v>
      </c>
      <c r="M94" s="1">
        <f t="shared" si="50"/>
        <v>6.4598898277964079</v>
      </c>
      <c r="N94" s="1">
        <f t="shared" si="48"/>
        <v>38.250902316188096</v>
      </c>
      <c r="O94">
        <v>11</v>
      </c>
      <c r="P94" s="1">
        <f t="shared" si="57"/>
        <v>4.4517000000000001E-2</v>
      </c>
      <c r="Q94" s="1">
        <f t="shared" si="58"/>
        <v>4.4516999999999998</v>
      </c>
      <c r="R94" s="1">
        <f t="shared" si="59"/>
        <v>4.3065932185309386</v>
      </c>
      <c r="S94" s="1">
        <f t="shared" si="60"/>
        <v>57.376353474282148</v>
      </c>
      <c r="T94">
        <v>0.47499999999999998</v>
      </c>
      <c r="U94" s="1">
        <f>1/T94</f>
        <v>2.1052631578947367</v>
      </c>
      <c r="V94" s="1">
        <f>T94*R94</f>
        <v>2.0456317788021958</v>
      </c>
      <c r="W94">
        <v>40.148798999999997</v>
      </c>
      <c r="X94">
        <v>-74.777175999999997</v>
      </c>
      <c r="Y94" t="s">
        <v>91</v>
      </c>
      <c r="AA94" s="69" t="s">
        <v>95</v>
      </c>
      <c r="AB94" s="15"/>
      <c r="AC94" s="15"/>
      <c r="AD94" s="15"/>
      <c r="AE94" t="s">
        <v>29</v>
      </c>
      <c r="AF94" t="s">
        <v>110</v>
      </c>
      <c r="AG94" s="15" t="s">
        <v>252</v>
      </c>
      <c r="AI94">
        <v>1</v>
      </c>
      <c r="AL94">
        <v>1574.33</v>
      </c>
      <c r="AM94">
        <f t="shared" si="15"/>
        <v>4.1032628659788024</v>
      </c>
      <c r="AN94">
        <f t="shared" si="51"/>
        <v>2.7355085773192016</v>
      </c>
      <c r="AO94">
        <v>2202.77</v>
      </c>
      <c r="AP94">
        <f t="shared" si="45"/>
        <v>2.9326211214953939</v>
      </c>
      <c r="AQ94">
        <v>1287.79</v>
      </c>
      <c r="AR94">
        <f t="shared" si="49"/>
        <v>5.0162602814095525</v>
      </c>
    </row>
    <row r="95" spans="1:44" ht="14.25" customHeight="1" x14ac:dyDescent="0.3">
      <c r="A95" s="342" t="s">
        <v>171</v>
      </c>
      <c r="B95" s="11" t="s">
        <v>441</v>
      </c>
      <c r="C95" s="11"/>
      <c r="D95">
        <v>2011</v>
      </c>
      <c r="E95" s="18">
        <f t="shared" si="61"/>
        <v>2554.2231276146185</v>
      </c>
      <c r="F95" s="94">
        <v>3000</v>
      </c>
      <c r="G95">
        <v>18</v>
      </c>
      <c r="H95">
        <v>12506</v>
      </c>
      <c r="I95" t="s">
        <v>443</v>
      </c>
      <c r="J95" s="74">
        <v>13</v>
      </c>
      <c r="K95" s="9">
        <f t="shared" si="46"/>
        <v>5.2611000000000005E-2</v>
      </c>
      <c r="L95" s="9">
        <f t="shared" si="47"/>
        <v>5.2609133460000006</v>
      </c>
      <c r="M95" s="1">
        <f t="shared" si="50"/>
        <v>5.0896101673547456</v>
      </c>
      <c r="N95" s="1">
        <f t="shared" si="48"/>
        <v>48.549222170546429</v>
      </c>
      <c r="O95" s="24" t="s">
        <v>598</v>
      </c>
      <c r="P95" s="24"/>
      <c r="Q95" s="24"/>
      <c r="R95" s="24"/>
      <c r="S95" s="24"/>
      <c r="W95">
        <v>40.751061</v>
      </c>
      <c r="X95">
        <v>-74.109864000000002</v>
      </c>
      <c r="Y95" t="s">
        <v>91</v>
      </c>
      <c r="AA95" s="11" t="s">
        <v>95</v>
      </c>
      <c r="AB95" s="111"/>
      <c r="AE95" t="s">
        <v>29</v>
      </c>
      <c r="AF95" t="s">
        <v>157</v>
      </c>
      <c r="AG95" s="15" t="s">
        <v>380</v>
      </c>
      <c r="AI95">
        <v>1</v>
      </c>
      <c r="AL95">
        <v>1352.9</v>
      </c>
      <c r="AM95">
        <f t="shared" si="15"/>
        <v>3.7620002715313361</v>
      </c>
      <c r="AO95">
        <v>1894.92</v>
      </c>
      <c r="AP95">
        <f t="shared" si="45"/>
        <v>2.6859235046095593</v>
      </c>
      <c r="AQ95">
        <v>1155.58</v>
      </c>
      <c r="AR95">
        <f t="shared" si="49"/>
        <v>4.4043771676169072</v>
      </c>
    </row>
    <row r="96" spans="1:44" ht="14.25" customHeight="1" x14ac:dyDescent="0.3">
      <c r="A96" s="342" t="s">
        <v>171</v>
      </c>
      <c r="B96" s="11" t="s">
        <v>182</v>
      </c>
      <c r="C96" s="11"/>
      <c r="D96">
        <v>2009</v>
      </c>
      <c r="E96" s="18">
        <f t="shared" si="61"/>
        <v>3490.7716077399787</v>
      </c>
      <c r="F96" s="18">
        <v>4100</v>
      </c>
      <c r="G96">
        <v>24</v>
      </c>
      <c r="H96">
        <v>13000</v>
      </c>
      <c r="J96">
        <v>28</v>
      </c>
      <c r="K96" s="9">
        <f t="shared" si="46"/>
        <v>0.113316</v>
      </c>
      <c r="L96" s="9">
        <f t="shared" si="47"/>
        <v>11.331197976</v>
      </c>
      <c r="M96" s="1">
        <f t="shared" si="50"/>
        <v>8.0211492318536326</v>
      </c>
      <c r="N96" s="1">
        <f t="shared" si="48"/>
        <v>30.805637401072918</v>
      </c>
      <c r="O96">
        <v>15</v>
      </c>
      <c r="P96" s="1">
        <f>O96*0.004047</f>
        <v>6.0705000000000002E-2</v>
      </c>
      <c r="Q96" s="1">
        <f>O96*0.4047</f>
        <v>6.0705</v>
      </c>
      <c r="R96" s="1">
        <f t="shared" ref="R96:R97" si="62">O96/(E96/1000)</f>
        <v>4.29704423135016</v>
      </c>
      <c r="S96" s="1">
        <f>E96/1000/P96</f>
        <v>57.503856482002782</v>
      </c>
      <c r="T96">
        <v>0.60821000000000003</v>
      </c>
      <c r="U96" s="1">
        <f>1/T96</f>
        <v>1.6441689548017953</v>
      </c>
      <c r="V96" s="1">
        <f>T96*R96</f>
        <v>2.6135052719494811</v>
      </c>
      <c r="W96">
        <v>39.464311000000002</v>
      </c>
      <c r="X96">
        <v>-75.067610000000002</v>
      </c>
      <c r="Y96" t="s">
        <v>91</v>
      </c>
      <c r="Z96" t="s">
        <v>183</v>
      </c>
      <c r="AA96" t="s">
        <v>94</v>
      </c>
      <c r="AB96" s="15"/>
      <c r="AC96" s="15" t="s">
        <v>391</v>
      </c>
      <c r="AD96" s="15"/>
      <c r="AE96" t="s">
        <v>29</v>
      </c>
      <c r="AF96" t="s">
        <v>110</v>
      </c>
      <c r="AG96" s="15" t="s">
        <v>252</v>
      </c>
      <c r="AI96">
        <v>1</v>
      </c>
      <c r="AL96">
        <v>1563.86</v>
      </c>
      <c r="AM96">
        <f t="shared" si="15"/>
        <v>5.1290711648444445</v>
      </c>
      <c r="AN96">
        <f t="shared" si="51"/>
        <v>2.7477166954523806</v>
      </c>
      <c r="AO96">
        <v>2164.54</v>
      </c>
      <c r="AP96">
        <f t="shared" si="45"/>
        <v>3.7057061693725375</v>
      </c>
      <c r="AQ96">
        <v>1282.78</v>
      </c>
      <c r="AR96">
        <f t="shared" si="49"/>
        <v>6.2529422284831639</v>
      </c>
    </row>
    <row r="97" spans="1:48" ht="14.25" customHeight="1" x14ac:dyDescent="0.3">
      <c r="A97" s="342" t="s">
        <v>3</v>
      </c>
      <c r="B97" s="11" t="s">
        <v>144</v>
      </c>
      <c r="C97" s="11"/>
      <c r="D97">
        <v>2010</v>
      </c>
      <c r="E97" s="18">
        <f t="shared" si="61"/>
        <v>3746.1939205014405</v>
      </c>
      <c r="F97" s="18">
        <v>4400</v>
      </c>
      <c r="J97">
        <v>30</v>
      </c>
      <c r="K97" s="9">
        <f t="shared" si="46"/>
        <v>0.12141</v>
      </c>
      <c r="L97" s="9">
        <f t="shared" si="47"/>
        <v>12.140569259999999</v>
      </c>
      <c r="M97" s="1">
        <f t="shared" si="50"/>
        <v>8.0081278856980251</v>
      </c>
      <c r="N97" s="1">
        <f t="shared" si="48"/>
        <v>30.855727868391735</v>
      </c>
      <c r="O97" s="11">
        <v>22.9</v>
      </c>
      <c r="P97" s="25">
        <f>O97*0.004047</f>
        <v>9.2676300000000003E-2</v>
      </c>
      <c r="Q97" s="1">
        <f>O97*0.404685642</f>
        <v>9.2673012018000005</v>
      </c>
      <c r="R97" s="1">
        <f t="shared" si="62"/>
        <v>6.1128709527494927</v>
      </c>
      <c r="S97" s="25">
        <f>E97/1000/P97</f>
        <v>40.42235091929048</v>
      </c>
      <c r="T97">
        <v>0.39328999999999997</v>
      </c>
      <c r="U97" s="1">
        <f>1/T97</f>
        <v>2.5426530041445248</v>
      </c>
      <c r="V97" s="1">
        <f>T97*R97</f>
        <v>2.4041310170068479</v>
      </c>
      <c r="W97">
        <v>39.902560000000001</v>
      </c>
      <c r="X97">
        <v>-104.65940999999999</v>
      </c>
      <c r="Y97" t="s">
        <v>91</v>
      </c>
      <c r="AA97" s="24" t="s">
        <v>94</v>
      </c>
      <c r="AB97" s="15"/>
      <c r="AC97" s="15"/>
      <c r="AD97" s="15"/>
      <c r="AE97" t="s">
        <v>29</v>
      </c>
      <c r="AF97" t="s">
        <v>110</v>
      </c>
      <c r="AG97" s="15" t="s">
        <v>252</v>
      </c>
      <c r="AI97">
        <v>1</v>
      </c>
      <c r="AL97">
        <v>1928.56</v>
      </c>
      <c r="AM97">
        <f t="shared" si="15"/>
        <v>4.1523872141380229</v>
      </c>
      <c r="AN97">
        <f t="shared" si="51"/>
        <v>3.1696555734586913</v>
      </c>
      <c r="AO97">
        <v>2203.89</v>
      </c>
      <c r="AP97">
        <f t="shared" si="45"/>
        <v>3.6336332056944882</v>
      </c>
      <c r="AQ97">
        <v>1289.6600000000001</v>
      </c>
      <c r="AR97">
        <f t="shared" si="49"/>
        <v>6.2094876833413659</v>
      </c>
    </row>
    <row r="98" spans="1:48" ht="14.25" customHeight="1" x14ac:dyDescent="0.3">
      <c r="A98" s="342" t="s">
        <v>491</v>
      </c>
      <c r="B98" s="11" t="s">
        <v>588</v>
      </c>
      <c r="C98" s="11"/>
      <c r="D98">
        <v>2012</v>
      </c>
      <c r="E98" s="18">
        <f t="shared" si="61"/>
        <v>3831.3346914219278</v>
      </c>
      <c r="F98" s="75">
        <v>4500</v>
      </c>
      <c r="G98">
        <v>19</v>
      </c>
      <c r="H98">
        <v>18400</v>
      </c>
      <c r="I98" t="s">
        <v>574</v>
      </c>
      <c r="J98" s="74">
        <v>19</v>
      </c>
      <c r="K98" s="9">
        <f t="shared" si="46"/>
        <v>7.6893000000000003E-2</v>
      </c>
      <c r="L98" s="9">
        <f t="shared" si="47"/>
        <v>7.6890271979999998</v>
      </c>
      <c r="M98" s="1">
        <f t="shared" si="50"/>
        <v>4.9591073425507775</v>
      </c>
      <c r="N98" s="1">
        <f t="shared" si="48"/>
        <v>49.826833280297656</v>
      </c>
      <c r="O98" s="24" t="s">
        <v>909</v>
      </c>
      <c r="P98" s="88"/>
      <c r="Q98" s="88"/>
      <c r="R98" s="88"/>
      <c r="S98" s="88"/>
      <c r="U98" s="11"/>
      <c r="V98" s="11"/>
      <c r="W98">
        <v>42.189540000000001</v>
      </c>
      <c r="X98">
        <v>-72.683090000000007</v>
      </c>
      <c r="Y98" t="s">
        <v>91</v>
      </c>
      <c r="AA98" s="11" t="s">
        <v>96</v>
      </c>
      <c r="AB98" s="15">
        <v>0.14499999999999999</v>
      </c>
      <c r="AC98" s="11" t="s">
        <v>399</v>
      </c>
      <c r="AD98" s="11" t="s">
        <v>525</v>
      </c>
      <c r="AE98" t="s">
        <v>60</v>
      </c>
      <c r="AF98" s="11" t="s">
        <v>157</v>
      </c>
      <c r="AG98" s="15" t="s">
        <v>380</v>
      </c>
      <c r="AI98">
        <v>1</v>
      </c>
      <c r="AL98">
        <v>1521.55</v>
      </c>
      <c r="AM98">
        <f t="shared" ref="AM98:AM116" si="63">1/(AL98/$M98/1000)</f>
        <v>3.2592470458090621</v>
      </c>
      <c r="AO98">
        <v>2198.92</v>
      </c>
      <c r="AP98">
        <f t="shared" ref="AP98:AP116" si="64">1/(AO98/$M98/1000)</f>
        <v>2.2552468223267685</v>
      </c>
      <c r="AQ98">
        <v>1283.1600000000001</v>
      </c>
      <c r="AR98">
        <f t="shared" si="49"/>
        <v>3.8647614814604387</v>
      </c>
    </row>
    <row r="99" spans="1:48" ht="14.25" customHeight="1" x14ac:dyDescent="0.3">
      <c r="A99" s="342" t="s">
        <v>584</v>
      </c>
      <c r="B99" s="11" t="s">
        <v>585</v>
      </c>
      <c r="C99" s="11"/>
      <c r="D99">
        <v>2012</v>
      </c>
      <c r="E99" s="18">
        <f t="shared" si="61"/>
        <v>4257.0385460243642</v>
      </c>
      <c r="F99" s="75">
        <v>5000</v>
      </c>
      <c r="G99">
        <v>31</v>
      </c>
      <c r="H99">
        <v>21300</v>
      </c>
      <c r="I99" t="s">
        <v>586</v>
      </c>
      <c r="J99" s="74">
        <v>25</v>
      </c>
      <c r="K99" s="9">
        <f t="shared" si="46"/>
        <v>0.101175</v>
      </c>
      <c r="L99" s="9">
        <f t="shared" si="47"/>
        <v>10.117141050000001</v>
      </c>
      <c r="M99" s="1">
        <f t="shared" si="50"/>
        <v>5.8726271161785526</v>
      </c>
      <c r="N99" s="1">
        <f t="shared" si="48"/>
        <v>42.075992547806912</v>
      </c>
      <c r="O99" s="100">
        <v>22.9</v>
      </c>
      <c r="P99" s="105">
        <f t="shared" ref="P99:P105" si="65">O99*0.004047</f>
        <v>9.2676300000000003E-2</v>
      </c>
      <c r="Q99" s="105">
        <f>O99*0.4047</f>
        <v>9.2676299999999987</v>
      </c>
      <c r="R99" s="1">
        <f t="shared" ref="R99:R105" si="66">O99/(E99/1000)</f>
        <v>5.3793264384195538</v>
      </c>
      <c r="S99" s="105">
        <f t="shared" ref="S99:S105" si="67">E99/1000/P99</f>
        <v>45.934489681011911</v>
      </c>
      <c r="U99" s="11"/>
      <c r="V99" s="11"/>
      <c r="W99">
        <v>35.409700000000001</v>
      </c>
      <c r="X99">
        <v>-89.38964</v>
      </c>
      <c r="Y99" t="s">
        <v>91</v>
      </c>
      <c r="AA99" s="11" t="s">
        <v>95</v>
      </c>
      <c r="AB99" s="15"/>
      <c r="AE99" t="s">
        <v>109</v>
      </c>
      <c r="AF99" s="11" t="s">
        <v>427</v>
      </c>
      <c r="AG99" s="15" t="s">
        <v>444</v>
      </c>
      <c r="AH99">
        <v>1</v>
      </c>
      <c r="AI99">
        <v>1</v>
      </c>
      <c r="AL99">
        <v>1631.01</v>
      </c>
      <c r="AM99">
        <f t="shared" si="63"/>
        <v>3.6006076702034644</v>
      </c>
      <c r="AN99">
        <f t="shared" si="51"/>
        <v>3.2981566259063735</v>
      </c>
      <c r="AO99">
        <v>2203.56</v>
      </c>
      <c r="AP99">
        <f t="shared" si="64"/>
        <v>2.6650634047534685</v>
      </c>
      <c r="AQ99">
        <v>1294.1400000000001</v>
      </c>
      <c r="AR99">
        <f t="shared" ref="AR99:AR116" si="68">1/(AQ99/$M99/1000)</f>
        <v>4.5378607539976761</v>
      </c>
    </row>
    <row r="100" spans="1:48" ht="14.25" customHeight="1" x14ac:dyDescent="0.3">
      <c r="A100" s="342" t="s">
        <v>26</v>
      </c>
      <c r="B100" s="73" t="s">
        <v>382</v>
      </c>
      <c r="C100" s="73"/>
      <c r="D100">
        <v>2010</v>
      </c>
      <c r="E100" s="18">
        <f t="shared" si="61"/>
        <v>4257.0385460243642</v>
      </c>
      <c r="F100" s="18">
        <v>5000</v>
      </c>
      <c r="H100">
        <v>25000</v>
      </c>
      <c r="I100" t="s">
        <v>167</v>
      </c>
      <c r="J100" s="74">
        <v>13</v>
      </c>
      <c r="K100" s="9">
        <f t="shared" ref="K100:K128" si="69">J100*0.004047</f>
        <v>5.2611000000000005E-2</v>
      </c>
      <c r="L100" s="9">
        <f t="shared" ref="L100:L128" si="70">J100*0.404685642</f>
        <v>5.2609133460000006</v>
      </c>
      <c r="M100" s="1">
        <f t="shared" si="50"/>
        <v>3.0537661004128474</v>
      </c>
      <c r="N100" s="1">
        <f t="shared" ref="N100:N128" si="71">E100/1000/K100</f>
        <v>80.915370284244048</v>
      </c>
      <c r="O100">
        <v>13</v>
      </c>
      <c r="P100" s="1">
        <f t="shared" si="65"/>
        <v>5.2611000000000005E-2</v>
      </c>
      <c r="Q100" s="1">
        <f>O100*0.4047</f>
        <v>5.2610999999999999</v>
      </c>
      <c r="R100" s="1">
        <f t="shared" si="66"/>
        <v>3.0537661004128474</v>
      </c>
      <c r="S100" s="1">
        <f t="shared" si="67"/>
        <v>80.915370284244048</v>
      </c>
      <c r="T100">
        <v>0.9</v>
      </c>
      <c r="U100" s="1">
        <f>1/T100</f>
        <v>1.1111111111111112</v>
      </c>
      <c r="V100" s="1">
        <f>T100*R100</f>
        <v>2.7483894903715629</v>
      </c>
      <c r="W100">
        <v>37.749599456787102</v>
      </c>
      <c r="X100">
        <v>-122.48329925537099</v>
      </c>
      <c r="Y100" t="s">
        <v>91</v>
      </c>
      <c r="AA100" t="s">
        <v>96</v>
      </c>
      <c r="AB100" s="15"/>
      <c r="AC100" s="15"/>
      <c r="AD100" s="15"/>
      <c r="AE100" t="s">
        <v>29</v>
      </c>
      <c r="AF100" t="s">
        <v>157</v>
      </c>
      <c r="AG100" s="15" t="s">
        <v>380</v>
      </c>
      <c r="AI100">
        <v>1</v>
      </c>
      <c r="AL100">
        <v>1743.71</v>
      </c>
      <c r="AM100">
        <f t="shared" si="63"/>
        <v>1.7513038867775303</v>
      </c>
      <c r="AN100">
        <f t="shared" si="51"/>
        <v>1.7513038867775303</v>
      </c>
      <c r="AO100">
        <v>2204.7399999999998</v>
      </c>
      <c r="AP100">
        <f t="shared" si="64"/>
        <v>1.3850912581133592</v>
      </c>
      <c r="AQ100">
        <v>1292.56</v>
      </c>
      <c r="AR100">
        <f t="shared" si="68"/>
        <v>2.3625720279235374</v>
      </c>
    </row>
    <row r="101" spans="1:48" ht="14.25" customHeight="1" x14ac:dyDescent="0.3">
      <c r="A101" s="342" t="s">
        <v>160</v>
      </c>
      <c r="B101" s="11" t="s">
        <v>461</v>
      </c>
      <c r="C101" s="11"/>
      <c r="D101">
        <v>2011</v>
      </c>
      <c r="E101" s="18">
        <f t="shared" si="61"/>
        <v>4257.0385460243642</v>
      </c>
      <c r="F101" s="18">
        <v>5000</v>
      </c>
      <c r="H101">
        <v>78000</v>
      </c>
      <c r="I101" t="s">
        <v>462</v>
      </c>
      <c r="J101">
        <v>50</v>
      </c>
      <c r="K101" s="9">
        <f t="shared" si="69"/>
        <v>0.20235</v>
      </c>
      <c r="L101" s="9">
        <f t="shared" si="70"/>
        <v>20.234282100000001</v>
      </c>
      <c r="M101" s="1">
        <f t="shared" si="50"/>
        <v>11.745254232357105</v>
      </c>
      <c r="N101" s="1">
        <f t="shared" si="71"/>
        <v>21.037996273903456</v>
      </c>
      <c r="O101" s="11">
        <v>34.08</v>
      </c>
      <c r="P101" s="1">
        <f t="shared" si="65"/>
        <v>0.13792176</v>
      </c>
      <c r="Q101" s="1">
        <f>O101*0.4047</f>
        <v>13.792176</v>
      </c>
      <c r="R101" s="1">
        <f t="shared" si="66"/>
        <v>8.0055652847746028</v>
      </c>
      <c r="S101" s="1">
        <f t="shared" si="67"/>
        <v>30.865604861947556</v>
      </c>
      <c r="T101">
        <v>0.60396000000000005</v>
      </c>
      <c r="U101" s="1">
        <f>1/T101</f>
        <v>1.6557387906483871</v>
      </c>
      <c r="V101" s="1">
        <f>T101*R101</f>
        <v>4.83504120939247</v>
      </c>
      <c r="W101">
        <v>32.166899889707601</v>
      </c>
      <c r="X101">
        <v>-107.751079872251</v>
      </c>
      <c r="Y101" t="s">
        <v>91</v>
      </c>
      <c r="Z101" t="s">
        <v>463</v>
      </c>
      <c r="AA101" s="11"/>
      <c r="AB101" s="15">
        <v>0.107</v>
      </c>
      <c r="AC101" t="s">
        <v>366</v>
      </c>
      <c r="AD101" t="s">
        <v>102</v>
      </c>
      <c r="AE101" t="s">
        <v>29</v>
      </c>
      <c r="AF101" t="s">
        <v>157</v>
      </c>
      <c r="AG101" s="15" t="s">
        <v>444</v>
      </c>
      <c r="AH101">
        <v>1</v>
      </c>
      <c r="AI101">
        <v>1</v>
      </c>
      <c r="AL101">
        <v>2172.02</v>
      </c>
      <c r="AM101">
        <f t="shared" si="63"/>
        <v>5.4075258203686456</v>
      </c>
      <c r="AN101">
        <f t="shared" si="51"/>
        <v>3.6857695991632684</v>
      </c>
      <c r="AO101">
        <v>2157.4</v>
      </c>
      <c r="AP101">
        <f t="shared" si="64"/>
        <v>5.4441708688037007</v>
      </c>
      <c r="AQ101">
        <v>1279.8900000000001</v>
      </c>
      <c r="AR101">
        <f t="shared" si="68"/>
        <v>9.1767684975717483</v>
      </c>
    </row>
    <row r="102" spans="1:48" ht="14.25" customHeight="1" x14ac:dyDescent="0.3">
      <c r="A102" s="343" t="s">
        <v>26</v>
      </c>
      <c r="B102" t="s">
        <v>173</v>
      </c>
      <c r="D102">
        <v>2010</v>
      </c>
      <c r="E102">
        <v>5000</v>
      </c>
      <c r="F102">
        <v>6200</v>
      </c>
      <c r="H102">
        <v>50000</v>
      </c>
      <c r="J102">
        <v>48.7</v>
      </c>
      <c r="K102">
        <f t="shared" si="69"/>
        <v>0.19708890000000001</v>
      </c>
      <c r="L102">
        <f t="shared" si="70"/>
        <v>19.708190765400001</v>
      </c>
      <c r="M102" s="1">
        <f t="shared" si="50"/>
        <v>9.74</v>
      </c>
      <c r="N102">
        <f t="shared" si="71"/>
        <v>25.369262297369357</v>
      </c>
      <c r="O102">
        <v>37.5</v>
      </c>
      <c r="P102">
        <f t="shared" si="65"/>
        <v>0.15176250000000002</v>
      </c>
      <c r="Q102">
        <f>O102*0.404685642</f>
        <v>15.175711575000001</v>
      </c>
      <c r="R102" s="1">
        <f t="shared" si="66"/>
        <v>7.5</v>
      </c>
      <c r="S102">
        <f t="shared" si="67"/>
        <v>32.946215303517</v>
      </c>
      <c r="T102">
        <v>0.50600000000000001</v>
      </c>
      <c r="U102" s="1">
        <f>1/T102</f>
        <v>1.9762845849802371</v>
      </c>
      <c r="V102" s="1">
        <f>T102*R102</f>
        <v>3.7949999999999999</v>
      </c>
      <c r="W102">
        <v>36.759613000000002</v>
      </c>
      <c r="X102">
        <v>-120.365853</v>
      </c>
      <c r="Y102" t="s">
        <v>91</v>
      </c>
      <c r="AA102" t="s">
        <v>96</v>
      </c>
      <c r="AB102">
        <v>0.09</v>
      </c>
      <c r="AC102" t="s">
        <v>216</v>
      </c>
      <c r="AD102" t="s">
        <v>174</v>
      </c>
      <c r="AE102" t="s">
        <v>29</v>
      </c>
      <c r="AF102" t="s">
        <v>157</v>
      </c>
      <c r="AG102" t="s">
        <v>352</v>
      </c>
      <c r="AI102">
        <v>1</v>
      </c>
      <c r="AL102">
        <v>1877.16</v>
      </c>
      <c r="AM102">
        <f t="shared" si="63"/>
        <v>5.1886892965969871</v>
      </c>
      <c r="AN102">
        <f t="shared" si="51"/>
        <v>3.9953973023077411</v>
      </c>
      <c r="AO102">
        <v>2203.86</v>
      </c>
      <c r="AP102">
        <f t="shared" si="64"/>
        <v>4.4195184812102406</v>
      </c>
      <c r="AQ102">
        <v>1291.06</v>
      </c>
      <c r="AR102">
        <f t="shared" si="68"/>
        <v>7.5441884962743799</v>
      </c>
    </row>
    <row r="103" spans="1:48" ht="14.25" customHeight="1" x14ac:dyDescent="0.3">
      <c r="A103" s="343" t="s">
        <v>491</v>
      </c>
      <c r="B103" t="s">
        <v>700</v>
      </c>
      <c r="D103">
        <v>2011</v>
      </c>
      <c r="E103" s="108">
        <v>5000</v>
      </c>
      <c r="F103" s="98">
        <v>5742</v>
      </c>
      <c r="G103">
        <v>30</v>
      </c>
      <c r="H103">
        <v>24000</v>
      </c>
      <c r="I103" t="s">
        <v>701</v>
      </c>
      <c r="J103">
        <v>15</v>
      </c>
      <c r="K103" s="9">
        <f t="shared" si="69"/>
        <v>6.0705000000000002E-2</v>
      </c>
      <c r="L103" s="9">
        <f t="shared" si="70"/>
        <v>6.0702846299999997</v>
      </c>
      <c r="M103" s="1">
        <f t="shared" si="50"/>
        <v>3</v>
      </c>
      <c r="N103" s="9">
        <f t="shared" si="71"/>
        <v>82.365538258792512</v>
      </c>
      <c r="O103">
        <v>11.16</v>
      </c>
      <c r="P103" s="1">
        <f t="shared" si="65"/>
        <v>4.5164520000000007E-2</v>
      </c>
      <c r="Q103" s="1">
        <f>O103*0.4047</f>
        <v>4.5164520000000001</v>
      </c>
      <c r="R103" s="1">
        <f t="shared" si="66"/>
        <v>2.2320000000000002</v>
      </c>
      <c r="S103" s="1">
        <f t="shared" si="67"/>
        <v>110.70636862740929</v>
      </c>
      <c r="T103">
        <v>0.92</v>
      </c>
      <c r="U103" s="1">
        <f>1/T103</f>
        <v>1.0869565217391304</v>
      </c>
      <c r="V103" s="1">
        <f>T103*R103</f>
        <v>2.0534400000000002</v>
      </c>
      <c r="W103">
        <v>42.145809999999997</v>
      </c>
      <c r="X103">
        <v>-71.132459999999995</v>
      </c>
      <c r="Y103" t="s">
        <v>91</v>
      </c>
      <c r="Z103" t="s">
        <v>781</v>
      </c>
      <c r="AB103" s="15">
        <v>0.14899999999999999</v>
      </c>
      <c r="AC103" t="s">
        <v>399</v>
      </c>
      <c r="AD103" t="s">
        <v>703</v>
      </c>
      <c r="AE103" t="s">
        <v>29</v>
      </c>
      <c r="AF103" t="s">
        <v>694</v>
      </c>
      <c r="AG103" t="s">
        <v>702</v>
      </c>
      <c r="AI103">
        <v>1</v>
      </c>
      <c r="AK103">
        <v>1191</v>
      </c>
      <c r="AL103">
        <v>1367.6</v>
      </c>
      <c r="AM103">
        <f t="shared" si="63"/>
        <v>2.1936238666276688</v>
      </c>
      <c r="AN103">
        <f t="shared" si="51"/>
        <v>1.6320561567709859</v>
      </c>
      <c r="AO103">
        <v>1914</v>
      </c>
      <c r="AP103">
        <f t="shared" si="64"/>
        <v>1.567398119122257</v>
      </c>
      <c r="AQ103">
        <v>1165.94</v>
      </c>
      <c r="AR103">
        <f t="shared" si="68"/>
        <v>2.573031202291713</v>
      </c>
    </row>
    <row r="104" spans="1:48" ht="14.25" customHeight="1" x14ac:dyDescent="0.3">
      <c r="A104" s="342" t="s">
        <v>35</v>
      </c>
      <c r="B104" t="s">
        <v>36</v>
      </c>
      <c r="D104">
        <v>2001</v>
      </c>
      <c r="E104" s="42">
        <v>5324</v>
      </c>
      <c r="F104" s="94">
        <v>6480</v>
      </c>
      <c r="H104">
        <v>8400</v>
      </c>
      <c r="I104" t="s">
        <v>37</v>
      </c>
      <c r="J104">
        <v>70</v>
      </c>
      <c r="K104" s="9">
        <f t="shared" si="69"/>
        <v>0.28329000000000004</v>
      </c>
      <c r="L104" s="9">
        <f t="shared" si="70"/>
        <v>28.32799494</v>
      </c>
      <c r="M104" s="1">
        <f t="shared" si="50"/>
        <v>13.14800901577761</v>
      </c>
      <c r="N104" s="1">
        <f t="shared" si="71"/>
        <v>18.793462529563342</v>
      </c>
      <c r="O104">
        <v>37.19</v>
      </c>
      <c r="P104" s="1">
        <f t="shared" si="65"/>
        <v>0.15050793000000001</v>
      </c>
      <c r="Q104" s="1">
        <f>O104*0.4047</f>
        <v>15.050792999999999</v>
      </c>
      <c r="R104" s="1">
        <f t="shared" si="66"/>
        <v>6.9853493613824194</v>
      </c>
      <c r="S104" s="1">
        <f t="shared" si="67"/>
        <v>35.373551413536809</v>
      </c>
      <c r="U104" s="1"/>
      <c r="V104" s="1"/>
      <c r="W104">
        <v>34.297060999999999</v>
      </c>
      <c r="X104">
        <v>-109.26690000000001</v>
      </c>
      <c r="Y104" t="s">
        <v>91</v>
      </c>
      <c r="Z104" t="s">
        <v>88</v>
      </c>
      <c r="AA104" t="s">
        <v>94</v>
      </c>
      <c r="AB104" s="15">
        <v>0.10970000000000001</v>
      </c>
      <c r="AC104" s="15" t="s">
        <v>81</v>
      </c>
      <c r="AD104" s="15" t="s">
        <v>81</v>
      </c>
      <c r="AE104" t="s">
        <v>29</v>
      </c>
      <c r="AF104" t="s">
        <v>80</v>
      </c>
      <c r="AG104" s="15" t="s">
        <v>252</v>
      </c>
      <c r="AH104">
        <v>1</v>
      </c>
      <c r="AI104">
        <v>1</v>
      </c>
      <c r="AL104">
        <v>2129.36</v>
      </c>
      <c r="AM104">
        <f t="shared" si="63"/>
        <v>6.1746294735402225</v>
      </c>
      <c r="AN104">
        <f t="shared" si="51"/>
        <v>3.2804924302994412</v>
      </c>
      <c r="AO104">
        <v>2201.87</v>
      </c>
      <c r="AP104">
        <f t="shared" si="64"/>
        <v>5.9712921361286586</v>
      </c>
      <c r="AQ104">
        <v>1292.8900000000001</v>
      </c>
      <c r="AR104">
        <f t="shared" si="68"/>
        <v>10.169472279758997</v>
      </c>
    </row>
    <row r="105" spans="1:48" ht="14.25" customHeight="1" x14ac:dyDescent="0.3">
      <c r="A105" s="342" t="s">
        <v>26</v>
      </c>
      <c r="B105" s="11" t="s">
        <v>515</v>
      </c>
      <c r="C105" s="11"/>
      <c r="D105">
        <v>2011</v>
      </c>
      <c r="E105" s="18">
        <f>F105*$F$289</f>
        <v>5762.3273758985797</v>
      </c>
      <c r="F105" s="75">
        <v>6768</v>
      </c>
      <c r="G105">
        <v>18</v>
      </c>
      <c r="H105">
        <v>29428</v>
      </c>
      <c r="I105" t="s">
        <v>516</v>
      </c>
      <c r="J105" s="74">
        <v>32</v>
      </c>
      <c r="K105" s="9">
        <f t="shared" si="69"/>
        <v>0.12950400000000001</v>
      </c>
      <c r="L105" s="9">
        <f t="shared" si="70"/>
        <v>12.949940544</v>
      </c>
      <c r="M105" s="1">
        <f t="shared" si="50"/>
        <v>5.5533116937858651</v>
      </c>
      <c r="N105" s="1">
        <f t="shared" si="71"/>
        <v>44.49536211930581</v>
      </c>
      <c r="O105" s="11">
        <v>26.7</v>
      </c>
      <c r="P105" s="1">
        <f t="shared" si="65"/>
        <v>0.10805490000000001</v>
      </c>
      <c r="Q105" s="1">
        <f>O105*0.4047</f>
        <v>10.805490000000001</v>
      </c>
      <c r="R105" s="1">
        <f t="shared" si="66"/>
        <v>4.6335444445025811</v>
      </c>
      <c r="S105" s="1">
        <f t="shared" si="67"/>
        <v>53.327774824636172</v>
      </c>
      <c r="T105">
        <v>0.5</v>
      </c>
      <c r="U105" s="1">
        <f>1/T105</f>
        <v>2</v>
      </c>
      <c r="V105" s="1">
        <f>T105*R105</f>
        <v>2.3167722222512905</v>
      </c>
      <c r="W105">
        <v>36.028709999999997</v>
      </c>
      <c r="X105">
        <v>-119.07588</v>
      </c>
      <c r="Y105" t="s">
        <v>91</v>
      </c>
      <c r="Z105" t="s">
        <v>518</v>
      </c>
      <c r="AA105" s="11"/>
      <c r="AB105" s="15">
        <v>0.14099999999999999</v>
      </c>
      <c r="AC105" s="11" t="s">
        <v>399</v>
      </c>
      <c r="AD105" t="s">
        <v>517</v>
      </c>
      <c r="AE105" t="s">
        <v>29</v>
      </c>
      <c r="AF105" t="s">
        <v>157</v>
      </c>
      <c r="AG105" s="15" t="s">
        <v>380</v>
      </c>
      <c r="AI105">
        <v>1</v>
      </c>
      <c r="AJ105">
        <v>125</v>
      </c>
      <c r="AK105">
        <v>1548</v>
      </c>
      <c r="AL105">
        <v>1854.7</v>
      </c>
      <c r="AM105">
        <f t="shared" si="63"/>
        <v>2.9941832607892733</v>
      </c>
      <c r="AN105">
        <f t="shared" si="51"/>
        <v>2.4982716582210496</v>
      </c>
      <c r="AO105">
        <v>2164.54</v>
      </c>
      <c r="AP105">
        <f t="shared" si="64"/>
        <v>2.5655851561005409</v>
      </c>
      <c r="AQ105">
        <v>1282.78</v>
      </c>
      <c r="AR105">
        <f t="shared" si="68"/>
        <v>4.3291224479535577</v>
      </c>
    </row>
    <row r="106" spans="1:48" ht="14.25" customHeight="1" x14ac:dyDescent="0.3">
      <c r="A106" s="343" t="s">
        <v>738</v>
      </c>
      <c r="B106" t="s">
        <v>737</v>
      </c>
      <c r="D106">
        <v>2013</v>
      </c>
      <c r="E106" s="18">
        <f>F106*$F$289</f>
        <v>8514.0770920487284</v>
      </c>
      <c r="F106">
        <v>10000</v>
      </c>
      <c r="H106">
        <v>41000</v>
      </c>
      <c r="I106" t="s">
        <v>739</v>
      </c>
      <c r="J106">
        <v>60</v>
      </c>
      <c r="K106" s="9">
        <f t="shared" si="69"/>
        <v>0.24282000000000001</v>
      </c>
      <c r="L106" s="9">
        <f t="shared" si="70"/>
        <v>24.281138519999999</v>
      </c>
      <c r="M106" s="1">
        <f t="shared" si="50"/>
        <v>7.0471525394142631</v>
      </c>
      <c r="N106" s="9">
        <f t="shared" si="71"/>
        <v>35.063327123172421</v>
      </c>
      <c r="W106">
        <v>39.69556</v>
      </c>
      <c r="X106">
        <v>-86.315439999999995</v>
      </c>
      <c r="Y106" t="s">
        <v>91</v>
      </c>
      <c r="AB106" s="15"/>
      <c r="AD106" t="s">
        <v>740</v>
      </c>
      <c r="AE106" t="s">
        <v>109</v>
      </c>
      <c r="AF106" t="s">
        <v>611</v>
      </c>
      <c r="AG106" t="s">
        <v>444</v>
      </c>
      <c r="AI106">
        <v>1</v>
      </c>
      <c r="AL106">
        <v>1518.76</v>
      </c>
      <c r="AM106">
        <f t="shared" si="63"/>
        <v>4.6400698855739311</v>
      </c>
      <c r="AO106">
        <v>2203.89</v>
      </c>
      <c r="AP106">
        <f t="shared" si="64"/>
        <v>3.1975972210111498</v>
      </c>
      <c r="AQ106">
        <v>1289.6600000000001</v>
      </c>
      <c r="AR106">
        <f t="shared" si="68"/>
        <v>5.4643491613404018</v>
      </c>
    </row>
    <row r="107" spans="1:48" x14ac:dyDescent="0.3">
      <c r="A107" s="342" t="s">
        <v>148</v>
      </c>
      <c r="B107" t="s">
        <v>152</v>
      </c>
      <c r="D107">
        <v>2010</v>
      </c>
      <c r="E107" s="94">
        <v>10000</v>
      </c>
      <c r="F107" s="18">
        <f>E107/$F$289</f>
        <v>11745.254232357105</v>
      </c>
      <c r="G107">
        <v>74</v>
      </c>
      <c r="H107">
        <v>35000</v>
      </c>
      <c r="I107" t="s">
        <v>153</v>
      </c>
      <c r="J107">
        <v>45</v>
      </c>
      <c r="K107" s="9">
        <f t="shared" si="69"/>
        <v>0.182115</v>
      </c>
      <c r="L107" s="9">
        <f t="shared" si="70"/>
        <v>18.210853889999999</v>
      </c>
      <c r="M107" s="1">
        <f t="shared" si="50"/>
        <v>4.5</v>
      </c>
      <c r="N107" s="1">
        <f t="shared" si="71"/>
        <v>54.910358839195013</v>
      </c>
      <c r="O107">
        <v>30</v>
      </c>
      <c r="P107" s="1">
        <f t="shared" ref="P107:P114" si="72">O107*0.004047</f>
        <v>0.12141</v>
      </c>
      <c r="Q107" s="1">
        <f t="shared" ref="Q107:Q114" si="73">O107*0.4047</f>
        <v>12.141</v>
      </c>
      <c r="R107" s="1">
        <f t="shared" ref="R107:R114" si="74">O107/(E107/1000)</f>
        <v>3</v>
      </c>
      <c r="S107" s="1">
        <f t="shared" ref="S107:S114" si="75">E107/1000/P107</f>
        <v>82.365538258792512</v>
      </c>
      <c r="T107">
        <v>0.61839999999999995</v>
      </c>
      <c r="U107" s="1">
        <f t="shared" ref="U107:V109" si="76">1/T107</f>
        <v>1.6170763260025875</v>
      </c>
      <c r="V107" s="1">
        <f t="shared" si="76"/>
        <v>0.61839999999999995</v>
      </c>
      <c r="W107">
        <v>28.48742</v>
      </c>
      <c r="X107">
        <v>-80.679969999999997</v>
      </c>
      <c r="Y107" t="s">
        <v>91</v>
      </c>
      <c r="AA107" t="s">
        <v>95</v>
      </c>
      <c r="AB107" s="15"/>
      <c r="AC107" s="15"/>
      <c r="AD107" s="15"/>
      <c r="AE107" t="s">
        <v>29</v>
      </c>
      <c r="AF107" t="s">
        <v>110</v>
      </c>
      <c r="AG107" s="15" t="s">
        <v>252</v>
      </c>
      <c r="AH107">
        <v>1</v>
      </c>
      <c r="AI107">
        <v>1</v>
      </c>
      <c r="AL107">
        <v>1790.79</v>
      </c>
      <c r="AM107">
        <f t="shared" si="63"/>
        <v>2.5128574539728277</v>
      </c>
      <c r="AN107">
        <f t="shared" si="51"/>
        <v>1.6752383026485518</v>
      </c>
      <c r="AO107">
        <v>2182.4</v>
      </c>
      <c r="AP107">
        <f t="shared" si="64"/>
        <v>2.0619501466275656</v>
      </c>
      <c r="AQ107">
        <v>1289.48</v>
      </c>
      <c r="AR107">
        <f t="shared" si="68"/>
        <v>3.4897788255730986</v>
      </c>
    </row>
    <row r="108" spans="1:48" ht="14.25" customHeight="1" x14ac:dyDescent="0.3">
      <c r="A108" s="342" t="s">
        <v>107</v>
      </c>
      <c r="B108" t="s">
        <v>185</v>
      </c>
      <c r="D108">
        <v>2008</v>
      </c>
      <c r="E108" s="42">
        <v>10000</v>
      </c>
      <c r="F108" s="94">
        <v>12000</v>
      </c>
      <c r="H108">
        <v>167000</v>
      </c>
      <c r="I108" t="s">
        <v>186</v>
      </c>
      <c r="J108">
        <v>80</v>
      </c>
      <c r="K108" s="9">
        <f t="shared" si="69"/>
        <v>0.32376000000000005</v>
      </c>
      <c r="L108" s="9">
        <f t="shared" si="70"/>
        <v>32.374851360000001</v>
      </c>
      <c r="M108" s="1">
        <f t="shared" si="50"/>
        <v>8</v>
      </c>
      <c r="N108" s="1">
        <f t="shared" si="71"/>
        <v>30.88707684704719</v>
      </c>
      <c r="O108">
        <v>70</v>
      </c>
      <c r="P108" s="1">
        <f t="shared" si="72"/>
        <v>0.28329000000000004</v>
      </c>
      <c r="Q108" s="1">
        <f t="shared" si="73"/>
        <v>28.329000000000001</v>
      </c>
      <c r="R108" s="1">
        <f t="shared" si="74"/>
        <v>7</v>
      </c>
      <c r="S108" s="1">
        <f t="shared" si="75"/>
        <v>35.299516396625364</v>
      </c>
      <c r="T108">
        <v>0.46</v>
      </c>
      <c r="U108" s="1">
        <f t="shared" si="76"/>
        <v>2.1739130434782608</v>
      </c>
      <c r="V108" s="1">
        <f t="shared" si="76"/>
        <v>0.46</v>
      </c>
      <c r="W108">
        <v>35.788820000000001</v>
      </c>
      <c r="X108">
        <v>-114.99776</v>
      </c>
      <c r="Y108" t="s">
        <v>91</v>
      </c>
      <c r="AA108" t="s">
        <v>94</v>
      </c>
      <c r="AB108" s="15">
        <v>0.107</v>
      </c>
      <c r="AC108" s="15"/>
      <c r="AD108" s="15" t="s">
        <v>146</v>
      </c>
      <c r="AE108" t="s">
        <v>29</v>
      </c>
      <c r="AF108" t="s">
        <v>110</v>
      </c>
      <c r="AG108" s="15" t="s">
        <v>252</v>
      </c>
      <c r="AI108">
        <v>1</v>
      </c>
      <c r="AL108">
        <v>2124.63</v>
      </c>
      <c r="AM108">
        <f t="shared" si="63"/>
        <v>3.7653614982373398</v>
      </c>
      <c r="AN108">
        <f t="shared" si="51"/>
        <v>3.2946913109576728</v>
      </c>
      <c r="AO108">
        <v>2203.4</v>
      </c>
      <c r="AP108">
        <f t="shared" si="64"/>
        <v>3.630752473450122</v>
      </c>
      <c r="AQ108">
        <v>1293.23</v>
      </c>
      <c r="AR108">
        <f t="shared" si="68"/>
        <v>6.1860612574716018</v>
      </c>
    </row>
    <row r="109" spans="1:48" ht="14.25" customHeight="1" x14ac:dyDescent="0.3">
      <c r="A109" s="342" t="s">
        <v>196</v>
      </c>
      <c r="B109" t="s">
        <v>197</v>
      </c>
      <c r="D109">
        <v>2010</v>
      </c>
      <c r="E109" s="42">
        <v>10000</v>
      </c>
      <c r="F109" s="94">
        <v>12600</v>
      </c>
      <c r="H109">
        <v>159200</v>
      </c>
      <c r="I109" t="s">
        <v>199</v>
      </c>
      <c r="J109">
        <v>77</v>
      </c>
      <c r="K109" s="9">
        <f t="shared" si="69"/>
        <v>0.31161900000000003</v>
      </c>
      <c r="L109" s="9">
        <f t="shared" si="70"/>
        <v>31.160794434</v>
      </c>
      <c r="M109" s="1">
        <f t="shared" si="50"/>
        <v>7.7</v>
      </c>
      <c r="N109" s="1">
        <f t="shared" si="71"/>
        <v>32.090469451477603</v>
      </c>
      <c r="O109">
        <v>61.91</v>
      </c>
      <c r="P109" s="1">
        <f t="shared" si="72"/>
        <v>0.25054977</v>
      </c>
      <c r="Q109" s="1">
        <f t="shared" si="73"/>
        <v>25.054976999999997</v>
      </c>
      <c r="R109" s="1">
        <f t="shared" si="74"/>
        <v>6.1909999999999998</v>
      </c>
      <c r="S109" s="1">
        <f t="shared" si="75"/>
        <v>39.912229813661369</v>
      </c>
      <c r="T109">
        <v>0.48530000000000001</v>
      </c>
      <c r="U109" s="1">
        <f t="shared" si="76"/>
        <v>2.06058108386565</v>
      </c>
      <c r="V109" s="1">
        <f t="shared" si="76"/>
        <v>0.48530000000000001</v>
      </c>
      <c r="W109">
        <v>40.879255999999998</v>
      </c>
      <c r="X109">
        <v>-83.318020000000004</v>
      </c>
      <c r="Y109" t="s">
        <v>91</v>
      </c>
      <c r="AA109" t="s">
        <v>94</v>
      </c>
      <c r="AB109" s="15">
        <v>0.107</v>
      </c>
      <c r="AC109" s="15" t="s">
        <v>366</v>
      </c>
      <c r="AD109" s="15" t="s">
        <v>146</v>
      </c>
      <c r="AE109" t="s">
        <v>29</v>
      </c>
      <c r="AF109" t="s">
        <v>110</v>
      </c>
      <c r="AG109" s="15" t="s">
        <v>252</v>
      </c>
      <c r="AI109">
        <v>1</v>
      </c>
      <c r="AL109">
        <v>1453.5</v>
      </c>
      <c r="AM109">
        <f t="shared" si="63"/>
        <v>5.2975576195390435</v>
      </c>
      <c r="AN109">
        <f t="shared" si="51"/>
        <v>4.2593739250085996</v>
      </c>
      <c r="AO109">
        <v>2202.13</v>
      </c>
      <c r="AP109">
        <f t="shared" si="64"/>
        <v>3.4966146412791255</v>
      </c>
      <c r="AQ109">
        <v>1284.54</v>
      </c>
      <c r="AR109">
        <f t="shared" si="68"/>
        <v>5.9943637411057651</v>
      </c>
      <c r="AT109" s="11"/>
      <c r="AU109" s="11"/>
      <c r="AV109" s="11"/>
    </row>
    <row r="110" spans="1:48" ht="14.25" customHeight="1" x14ac:dyDescent="0.3">
      <c r="A110" s="342" t="s">
        <v>171</v>
      </c>
      <c r="B110" s="11" t="s">
        <v>577</v>
      </c>
      <c r="C110" s="11"/>
      <c r="D110">
        <v>2011</v>
      </c>
      <c r="E110" s="42">
        <v>10000</v>
      </c>
      <c r="F110" s="94">
        <f>235*H110/1000</f>
        <v>12502</v>
      </c>
      <c r="G110">
        <v>41</v>
      </c>
      <c r="H110">
        <v>53200</v>
      </c>
      <c r="I110" t="s">
        <v>576</v>
      </c>
      <c r="J110" s="74">
        <v>98</v>
      </c>
      <c r="K110" s="9">
        <f t="shared" si="69"/>
        <v>0.39660600000000001</v>
      </c>
      <c r="L110" s="9">
        <f t="shared" si="70"/>
        <v>39.659192916000002</v>
      </c>
      <c r="M110" s="1">
        <f t="shared" si="50"/>
        <v>9.8000000000000007</v>
      </c>
      <c r="N110" s="1">
        <f t="shared" si="71"/>
        <v>25.213940283303831</v>
      </c>
      <c r="O110" s="11">
        <v>78</v>
      </c>
      <c r="P110" s="25">
        <f t="shared" si="72"/>
        <v>0.315666</v>
      </c>
      <c r="Q110" s="1">
        <f t="shared" si="73"/>
        <v>31.566600000000001</v>
      </c>
      <c r="R110" s="1">
        <f t="shared" si="74"/>
        <v>7.8</v>
      </c>
      <c r="S110" s="1">
        <f t="shared" si="75"/>
        <v>31.679053176458662</v>
      </c>
      <c r="U110" s="11"/>
      <c r="V110" s="11"/>
      <c r="W110">
        <v>39.380499999999998</v>
      </c>
      <c r="X110">
        <v>-75.188900000000004</v>
      </c>
      <c r="Y110" t="s">
        <v>91</v>
      </c>
      <c r="Z110" t="s">
        <v>579</v>
      </c>
      <c r="AA110" s="11"/>
      <c r="AB110" s="15">
        <v>0.14399999999999999</v>
      </c>
      <c r="AC110" s="11" t="s">
        <v>399</v>
      </c>
      <c r="AD110" t="s">
        <v>578</v>
      </c>
      <c r="AE110" t="s">
        <v>29</v>
      </c>
      <c r="AF110" s="11" t="s">
        <v>157</v>
      </c>
      <c r="AG110" s="15" t="s">
        <v>380</v>
      </c>
      <c r="AI110">
        <v>1</v>
      </c>
      <c r="AL110">
        <v>1609.45</v>
      </c>
      <c r="AM110">
        <f t="shared" si="63"/>
        <v>6.0890366274193051</v>
      </c>
      <c r="AN110">
        <f t="shared" si="51"/>
        <v>4.8463760912112832</v>
      </c>
      <c r="AO110">
        <v>2203.34</v>
      </c>
      <c r="AP110">
        <f t="shared" si="64"/>
        <v>4.4477928962393456</v>
      </c>
      <c r="AQ110">
        <v>1286.79</v>
      </c>
      <c r="AR110">
        <f t="shared" si="68"/>
        <v>7.615850294142791</v>
      </c>
      <c r="AT110" s="11"/>
      <c r="AU110" s="11"/>
      <c r="AV110" s="11"/>
    </row>
    <row r="111" spans="1:48" ht="14.25" customHeight="1" x14ac:dyDescent="0.3">
      <c r="A111" s="342" t="s">
        <v>148</v>
      </c>
      <c r="B111" t="s">
        <v>195</v>
      </c>
      <c r="D111">
        <v>2010</v>
      </c>
      <c r="E111" s="42">
        <f>12600</f>
        <v>12600</v>
      </c>
      <c r="F111" s="94">
        <v>15010</v>
      </c>
      <c r="H111">
        <v>200000</v>
      </c>
      <c r="I111" t="s">
        <v>192</v>
      </c>
      <c r="J111">
        <v>96</v>
      </c>
      <c r="K111" s="9">
        <f t="shared" si="69"/>
        <v>0.38851200000000002</v>
      </c>
      <c r="L111" s="9">
        <f t="shared" si="70"/>
        <v>38.849821632000001</v>
      </c>
      <c r="M111" s="1">
        <f t="shared" si="50"/>
        <v>7.6190476190476195</v>
      </c>
      <c r="N111" s="1">
        <f t="shared" si="71"/>
        <v>32.431430689399555</v>
      </c>
      <c r="O111">
        <v>70.400000000000006</v>
      </c>
      <c r="P111" s="1">
        <f t="shared" si="72"/>
        <v>0.28490880000000002</v>
      </c>
      <c r="Q111" s="1">
        <f t="shared" si="73"/>
        <v>28.490880000000004</v>
      </c>
      <c r="R111" s="1">
        <f t="shared" si="74"/>
        <v>5.5873015873015879</v>
      </c>
      <c r="S111" s="1">
        <f t="shared" si="75"/>
        <v>44.224678212817572</v>
      </c>
      <c r="T111" s="1">
        <v>0.56999999999999995</v>
      </c>
      <c r="U111" s="1"/>
      <c r="V111" s="1"/>
      <c r="W111">
        <v>30.320170000000001</v>
      </c>
      <c r="X111">
        <v>-81.955389999999994</v>
      </c>
      <c r="Y111" t="s">
        <v>91</v>
      </c>
      <c r="AA111" t="s">
        <v>96</v>
      </c>
      <c r="AB111" s="15">
        <v>0.11</v>
      </c>
      <c r="AC111" s="15" t="s">
        <v>366</v>
      </c>
      <c r="AD111" s="15" t="s">
        <v>602</v>
      </c>
      <c r="AE111" t="s">
        <v>109</v>
      </c>
      <c r="AF111" t="s">
        <v>157</v>
      </c>
      <c r="AG111" s="15" t="s">
        <v>352</v>
      </c>
      <c r="AI111">
        <v>1</v>
      </c>
      <c r="AL111">
        <v>1700.72</v>
      </c>
      <c r="AM111">
        <f t="shared" si="63"/>
        <v>4.4798953496446323</v>
      </c>
      <c r="AN111">
        <f t="shared" si="51"/>
        <v>3.2852565897393973</v>
      </c>
      <c r="AO111">
        <v>2191.0100000000002</v>
      </c>
      <c r="AP111">
        <f t="shared" si="64"/>
        <v>3.477413439029315</v>
      </c>
      <c r="AQ111">
        <v>1291.77</v>
      </c>
      <c r="AR111">
        <f t="shared" si="68"/>
        <v>5.8981456598679491</v>
      </c>
    </row>
    <row r="112" spans="1:48" ht="14.25" customHeight="1" x14ac:dyDescent="0.3">
      <c r="A112" s="342" t="s">
        <v>190</v>
      </c>
      <c r="B112" t="s">
        <v>191</v>
      </c>
      <c r="D112">
        <v>2010</v>
      </c>
      <c r="E112" s="42">
        <v>14000</v>
      </c>
      <c r="F112" s="94">
        <v>16100</v>
      </c>
      <c r="H112">
        <v>214500</v>
      </c>
      <c r="I112" t="s">
        <v>192</v>
      </c>
      <c r="J112">
        <v>108</v>
      </c>
      <c r="K112" s="9">
        <f t="shared" si="69"/>
        <v>0.43707600000000002</v>
      </c>
      <c r="L112" s="9">
        <f t="shared" si="70"/>
        <v>43.706049336</v>
      </c>
      <c r="M112" s="1">
        <f t="shared" si="50"/>
        <v>7.7142857142857144</v>
      </c>
      <c r="N112" s="1">
        <f t="shared" si="71"/>
        <v>32.031042656197087</v>
      </c>
      <c r="O112">
        <v>83.2</v>
      </c>
      <c r="P112" s="1">
        <f t="shared" si="72"/>
        <v>0.33671040000000002</v>
      </c>
      <c r="Q112" s="1">
        <f t="shared" si="73"/>
        <v>33.671040000000005</v>
      </c>
      <c r="R112" s="1">
        <f t="shared" si="74"/>
        <v>5.9428571428571431</v>
      </c>
      <c r="S112" s="1">
        <f t="shared" si="75"/>
        <v>41.57875729410199</v>
      </c>
      <c r="T112" s="1">
        <v>0.59</v>
      </c>
      <c r="U112" s="1"/>
      <c r="V112" s="1"/>
      <c r="W112">
        <v>29.300809999999998</v>
      </c>
      <c r="X112">
        <v>-98.392099999999999</v>
      </c>
      <c r="Y112" t="s">
        <v>91</v>
      </c>
      <c r="Z112" t="s">
        <v>600</v>
      </c>
      <c r="AA112" t="s">
        <v>95</v>
      </c>
      <c r="AB112" s="15"/>
      <c r="AC112" s="15"/>
      <c r="AD112" s="15"/>
      <c r="AE112" t="s">
        <v>109</v>
      </c>
      <c r="AF112" t="s">
        <v>110</v>
      </c>
      <c r="AG112" s="15" t="s">
        <v>252</v>
      </c>
      <c r="AH112">
        <v>1</v>
      </c>
      <c r="AI112">
        <v>1</v>
      </c>
      <c r="AL112">
        <v>1637.73</v>
      </c>
      <c r="AM112">
        <f t="shared" si="63"/>
        <v>4.7103525698898565</v>
      </c>
      <c r="AN112">
        <f t="shared" si="51"/>
        <v>3.6287160538410745</v>
      </c>
      <c r="AO112">
        <v>2123.54</v>
      </c>
      <c r="AP112">
        <f t="shared" si="64"/>
        <v>3.6327480124159255</v>
      </c>
      <c r="AQ112">
        <v>1266.03</v>
      </c>
      <c r="AR112">
        <f t="shared" si="68"/>
        <v>6.0932882430003357</v>
      </c>
    </row>
    <row r="113" spans="1:44" ht="14.25" customHeight="1" x14ac:dyDescent="0.3">
      <c r="A113" s="342" t="s">
        <v>573</v>
      </c>
      <c r="B113" s="11" t="s">
        <v>572</v>
      </c>
      <c r="C113" s="11"/>
      <c r="D113">
        <v>2012</v>
      </c>
      <c r="E113" s="75">
        <f>F113*$F$289</f>
        <v>14814.494140164788</v>
      </c>
      <c r="F113" s="75">
        <v>17400</v>
      </c>
      <c r="G113">
        <v>60</v>
      </c>
      <c r="H113">
        <v>220000</v>
      </c>
      <c r="I113" t="s">
        <v>574</v>
      </c>
      <c r="J113" s="74">
        <v>135</v>
      </c>
      <c r="K113" s="9">
        <f t="shared" si="69"/>
        <v>0.54634500000000008</v>
      </c>
      <c r="L113" s="9">
        <f t="shared" si="70"/>
        <v>54.632561670000001</v>
      </c>
      <c r="M113" s="1">
        <f t="shared" si="50"/>
        <v>9.1126972492425811</v>
      </c>
      <c r="N113" s="1">
        <f t="shared" si="71"/>
        <v>27.115639641920005</v>
      </c>
      <c r="O113" s="11">
        <v>90</v>
      </c>
      <c r="P113" s="25">
        <f t="shared" si="72"/>
        <v>0.36423</v>
      </c>
      <c r="Q113" s="1">
        <f t="shared" si="73"/>
        <v>36.423000000000002</v>
      </c>
      <c r="R113" s="1">
        <f t="shared" si="74"/>
        <v>6.075131499495054</v>
      </c>
      <c r="S113" s="1">
        <f t="shared" si="75"/>
        <v>40.673459462880018</v>
      </c>
      <c r="T113" s="11"/>
      <c r="U113" s="11"/>
      <c r="V113" s="11"/>
      <c r="W113">
        <v>39.677639999999997</v>
      </c>
      <c r="X113">
        <v>-77.341440000000006</v>
      </c>
      <c r="Y113" t="s">
        <v>91</v>
      </c>
      <c r="Z113" t="s">
        <v>575</v>
      </c>
      <c r="AA113" s="11"/>
      <c r="AB113" s="15">
        <v>0.107</v>
      </c>
      <c r="AC113" s="11" t="s">
        <v>366</v>
      </c>
      <c r="AD113" t="s">
        <v>102</v>
      </c>
      <c r="AE113" t="s">
        <v>109</v>
      </c>
      <c r="AF113" s="11" t="s">
        <v>157</v>
      </c>
      <c r="AG113" s="15" t="s">
        <v>385</v>
      </c>
      <c r="AI113">
        <v>1</v>
      </c>
      <c r="AL113">
        <v>1543.06</v>
      </c>
      <c r="AM113">
        <f t="shared" si="63"/>
        <v>5.9056013695142004</v>
      </c>
      <c r="AN113">
        <f t="shared" si="51"/>
        <v>3.9370675796761336</v>
      </c>
      <c r="AO113">
        <v>2191.13</v>
      </c>
      <c r="AP113">
        <f t="shared" si="64"/>
        <v>4.1589030542425967</v>
      </c>
      <c r="AQ113">
        <v>1292.3800000000001</v>
      </c>
      <c r="AR113">
        <f t="shared" si="68"/>
        <v>7.0510973933692727</v>
      </c>
    </row>
    <row r="114" spans="1:44" ht="14.25" customHeight="1" x14ac:dyDescent="0.3">
      <c r="A114" s="343" t="s">
        <v>168</v>
      </c>
      <c r="B114" t="s">
        <v>736</v>
      </c>
      <c r="D114">
        <v>2013</v>
      </c>
      <c r="E114" s="75">
        <f>F114*$F$289</f>
        <v>17028.154184097457</v>
      </c>
      <c r="F114">
        <v>20000</v>
      </c>
      <c r="I114" t="s">
        <v>408</v>
      </c>
      <c r="J114">
        <v>100</v>
      </c>
      <c r="K114" s="9">
        <f t="shared" si="69"/>
        <v>0.4047</v>
      </c>
      <c r="L114" s="9">
        <f t="shared" si="70"/>
        <v>40.468564200000003</v>
      </c>
      <c r="M114" s="1">
        <f t="shared" si="50"/>
        <v>5.8726271161785526</v>
      </c>
      <c r="N114" s="9">
        <f t="shared" si="71"/>
        <v>42.075992547806912</v>
      </c>
      <c r="O114">
        <v>84.7</v>
      </c>
      <c r="P114" s="1">
        <f t="shared" si="72"/>
        <v>0.34278090000000005</v>
      </c>
      <c r="Q114" s="1">
        <f t="shared" si="73"/>
        <v>34.278089999999999</v>
      </c>
      <c r="R114" s="1">
        <f t="shared" si="74"/>
        <v>4.9741151674032347</v>
      </c>
      <c r="S114" s="1">
        <f t="shared" si="75"/>
        <v>49.676496514529994</v>
      </c>
      <c r="W114">
        <v>40.120260000000002</v>
      </c>
      <c r="X114">
        <v>-80.437110000000004</v>
      </c>
      <c r="Y114" t="s">
        <v>91</v>
      </c>
      <c r="AB114" s="15"/>
      <c r="AE114" t="s">
        <v>24</v>
      </c>
      <c r="AF114" t="s">
        <v>475</v>
      </c>
      <c r="AG114" t="s">
        <v>252</v>
      </c>
      <c r="AI114">
        <v>1</v>
      </c>
      <c r="AL114">
        <v>1454.98</v>
      </c>
      <c r="AM114">
        <f t="shared" si="63"/>
        <v>4.0362253200583877</v>
      </c>
      <c r="AN114">
        <f t="shared" si="51"/>
        <v>3.4186828460894545</v>
      </c>
      <c r="AO114">
        <v>2202.77</v>
      </c>
      <c r="AP114">
        <f t="shared" si="64"/>
        <v>2.6660192013594486</v>
      </c>
      <c r="AQ114">
        <v>1287.79</v>
      </c>
      <c r="AR114">
        <f t="shared" si="68"/>
        <v>4.5602366194632298</v>
      </c>
    </row>
    <row r="115" spans="1:44" ht="14.25" customHeight="1" x14ac:dyDescent="0.3">
      <c r="A115" s="343" t="s">
        <v>35</v>
      </c>
      <c r="B115" t="s">
        <v>642</v>
      </c>
      <c r="D115">
        <v>2011</v>
      </c>
      <c r="E115" s="98">
        <v>17280</v>
      </c>
      <c r="F115" s="18">
        <f>E115/$F$289</f>
        <v>20295.799313513078</v>
      </c>
      <c r="H115">
        <v>300000</v>
      </c>
      <c r="I115" t="s">
        <v>644</v>
      </c>
      <c r="J115">
        <v>200</v>
      </c>
      <c r="K115">
        <f t="shared" si="69"/>
        <v>0.80940000000000001</v>
      </c>
      <c r="L115" s="9">
        <f t="shared" si="70"/>
        <v>80.937128400000006</v>
      </c>
      <c r="M115" s="1">
        <f t="shared" si="50"/>
        <v>11.574074074074073</v>
      </c>
      <c r="N115" s="98">
        <f t="shared" si="71"/>
        <v>21.349147516679022</v>
      </c>
      <c r="W115">
        <v>33.031500000000001</v>
      </c>
      <c r="X115">
        <v>-112.6606</v>
      </c>
      <c r="Y115" t="s">
        <v>91</v>
      </c>
      <c r="AB115" s="15">
        <v>0.106</v>
      </c>
      <c r="AC115" t="s">
        <v>366</v>
      </c>
      <c r="AD115" t="s">
        <v>102</v>
      </c>
      <c r="AE115" t="s">
        <v>29</v>
      </c>
      <c r="AF115" t="s">
        <v>645</v>
      </c>
      <c r="AG115" t="s">
        <v>380</v>
      </c>
      <c r="AI115">
        <v>1</v>
      </c>
      <c r="AK115">
        <v>1761</v>
      </c>
      <c r="AL115">
        <v>2109.5</v>
      </c>
      <c r="AM115">
        <f t="shared" si="63"/>
        <v>5.4866433155127146</v>
      </c>
      <c r="AO115">
        <v>2200.21</v>
      </c>
      <c r="AP115">
        <f t="shared" si="64"/>
        <v>5.2604406279737264</v>
      </c>
      <c r="AQ115">
        <v>1294.4000000000001</v>
      </c>
      <c r="AR115">
        <f t="shared" si="68"/>
        <v>8.9416517877580901</v>
      </c>
    </row>
    <row r="116" spans="1:44" ht="14.25" customHeight="1" x14ac:dyDescent="0.3">
      <c r="A116" s="343" t="s">
        <v>26</v>
      </c>
      <c r="B116" t="s">
        <v>650</v>
      </c>
      <c r="D116">
        <v>2011</v>
      </c>
      <c r="E116" s="98">
        <v>18000</v>
      </c>
      <c r="F116" s="18">
        <f>E116/$F$289</f>
        <v>21141.457618242788</v>
      </c>
      <c r="H116">
        <v>281880</v>
      </c>
      <c r="I116" t="s">
        <v>167</v>
      </c>
      <c r="J116">
        <v>139.19999999999999</v>
      </c>
      <c r="K116" s="9">
        <f t="shared" si="69"/>
        <v>0.56334240000000002</v>
      </c>
      <c r="L116" s="9">
        <f t="shared" si="70"/>
        <v>56.332241366399998</v>
      </c>
      <c r="M116" s="1">
        <f t="shared" si="50"/>
        <v>7.7333333333333325</v>
      </c>
      <c r="N116" s="9">
        <f t="shared" si="71"/>
        <v>31.952148462462613</v>
      </c>
      <c r="O116">
        <v>100.07</v>
      </c>
      <c r="P116" s="1">
        <f>O116*0.004047</f>
        <v>0.40498329</v>
      </c>
      <c r="Q116" s="1">
        <f>O116*0.4047</f>
        <v>40.498328999999998</v>
      </c>
      <c r="R116" s="1">
        <f t="shared" ref="R116:R117" si="77">O116/(E116/1000)</f>
        <v>5.559444444444444</v>
      </c>
      <c r="S116" s="1">
        <f>E116/1000/P116</f>
        <v>44.446278264962487</v>
      </c>
      <c r="T116">
        <v>0.58758500000000002</v>
      </c>
      <c r="W116">
        <v>38.365569999999998</v>
      </c>
      <c r="X116">
        <v>-121.41294000000001</v>
      </c>
      <c r="Y116" t="s">
        <v>91</v>
      </c>
      <c r="Z116" t="s">
        <v>653</v>
      </c>
      <c r="AA116" t="s">
        <v>96</v>
      </c>
      <c r="AB116" s="15">
        <v>0.107</v>
      </c>
      <c r="AC116" t="s">
        <v>366</v>
      </c>
      <c r="AD116" t="s">
        <v>146</v>
      </c>
      <c r="AE116" t="s">
        <v>29</v>
      </c>
      <c r="AF116" t="s">
        <v>493</v>
      </c>
      <c r="AG116" t="s">
        <v>647</v>
      </c>
      <c r="AI116">
        <v>1</v>
      </c>
      <c r="AK116">
        <v>1484</v>
      </c>
      <c r="AL116">
        <v>1805.1</v>
      </c>
      <c r="AM116">
        <f t="shared" si="63"/>
        <v>4.2841578490573005</v>
      </c>
      <c r="AN116">
        <f t="shared" si="51"/>
        <v>3.0798539939307763</v>
      </c>
      <c r="AO116">
        <v>2123.37</v>
      </c>
      <c r="AP116">
        <f t="shared" si="64"/>
        <v>3.6420093216600651</v>
      </c>
      <c r="AQ116">
        <v>1265.07</v>
      </c>
      <c r="AR116">
        <f t="shared" si="68"/>
        <v>6.1129687158286368</v>
      </c>
    </row>
    <row r="117" spans="1:44" ht="14.25" customHeight="1" thickBot="1" x14ac:dyDescent="0.35">
      <c r="A117" s="344" t="s">
        <v>491</v>
      </c>
      <c r="B117" s="11" t="s">
        <v>559</v>
      </c>
      <c r="C117" s="11"/>
      <c r="D117">
        <v>2011</v>
      </c>
      <c r="E117" s="18">
        <f t="shared" ref="E117:E128" si="78">F117*$F$289</f>
        <v>1702.8154184097457</v>
      </c>
      <c r="F117" s="75">
        <v>2000</v>
      </c>
      <c r="H117">
        <v>18000</v>
      </c>
      <c r="I117" t="s">
        <v>558</v>
      </c>
      <c r="J117" s="74">
        <v>11</v>
      </c>
      <c r="K117" s="9">
        <f t="shared" si="69"/>
        <v>4.4517000000000001E-2</v>
      </c>
      <c r="L117" s="9">
        <f t="shared" si="70"/>
        <v>4.4515420619999997</v>
      </c>
      <c r="M117" s="1">
        <f t="shared" si="50"/>
        <v>6.4598898277964079</v>
      </c>
      <c r="N117" s="1">
        <f t="shared" si="71"/>
        <v>38.250902316188103</v>
      </c>
      <c r="O117" s="11">
        <v>7.9</v>
      </c>
      <c r="P117" s="25">
        <f>O117*0.004047</f>
        <v>3.1971300000000001E-2</v>
      </c>
      <c r="Q117" s="1">
        <f>O117*0.4047</f>
        <v>3.19713</v>
      </c>
      <c r="R117" s="1">
        <f t="shared" si="77"/>
        <v>4.6393754217810566</v>
      </c>
      <c r="S117" s="1">
        <f>E117/1000/P117</f>
        <v>53.260750060515079</v>
      </c>
      <c r="T117" s="11">
        <v>0.52844999999999998</v>
      </c>
      <c r="U117" s="11"/>
      <c r="V117" s="11"/>
      <c r="W117">
        <v>42.610520000000001</v>
      </c>
      <c r="X117">
        <v>-72.475325999999995</v>
      </c>
      <c r="Y117" t="s">
        <v>91</v>
      </c>
      <c r="AA117" s="11"/>
      <c r="AB117" s="15"/>
      <c r="AC117" s="11" t="s">
        <v>366</v>
      </c>
      <c r="AD117" t="s">
        <v>560</v>
      </c>
      <c r="AE117" t="s">
        <v>29</v>
      </c>
      <c r="AF117" t="s">
        <v>157</v>
      </c>
      <c r="AG117" s="15" t="s">
        <v>380</v>
      </c>
      <c r="AI117">
        <v>1</v>
      </c>
    </row>
    <row r="118" spans="1:44" ht="14.25" customHeight="1" x14ac:dyDescent="0.3">
      <c r="A118" s="11" t="s">
        <v>491</v>
      </c>
      <c r="B118" s="11" t="s">
        <v>535</v>
      </c>
      <c r="C118" s="11"/>
      <c r="D118">
        <v>2011</v>
      </c>
      <c r="E118" s="18">
        <f t="shared" si="78"/>
        <v>1958.2377311712075</v>
      </c>
      <c r="F118" s="75">
        <v>2300</v>
      </c>
      <c r="H118">
        <v>8200</v>
      </c>
      <c r="I118" t="s">
        <v>536</v>
      </c>
      <c r="J118" s="74">
        <v>12</v>
      </c>
      <c r="K118" s="9">
        <f t="shared" si="69"/>
        <v>4.8564000000000003E-2</v>
      </c>
      <c r="L118" s="9">
        <f t="shared" si="70"/>
        <v>4.8562277040000001</v>
      </c>
      <c r="M118" s="1">
        <f t="shared" si="50"/>
        <v>6.1279587299254459</v>
      </c>
      <c r="N118" s="1">
        <f t="shared" si="71"/>
        <v>40.322826191648289</v>
      </c>
      <c r="O118" s="24" t="s">
        <v>598</v>
      </c>
      <c r="P118" s="88"/>
      <c r="Q118" s="88"/>
      <c r="R118" s="88"/>
      <c r="S118" s="88"/>
      <c r="T118" s="11"/>
      <c r="U118" s="11"/>
      <c r="V118" s="11"/>
      <c r="W118">
        <v>42.152920000000002</v>
      </c>
      <c r="X118">
        <v>-72.49915</v>
      </c>
      <c r="Y118" t="s">
        <v>203</v>
      </c>
      <c r="AA118" s="11"/>
      <c r="AB118" s="15"/>
      <c r="AC118" s="11"/>
      <c r="AE118" t="s">
        <v>29</v>
      </c>
      <c r="AF118" t="s">
        <v>157</v>
      </c>
      <c r="AG118" s="15" t="s">
        <v>444</v>
      </c>
      <c r="AI118">
        <v>1</v>
      </c>
    </row>
    <row r="119" spans="1:44" ht="14.25" customHeight="1" x14ac:dyDescent="0.3">
      <c r="A119" s="11" t="s">
        <v>171</v>
      </c>
      <c r="B119" s="11" t="s">
        <v>436</v>
      </c>
      <c r="C119" s="11"/>
      <c r="D119">
        <v>2010</v>
      </c>
      <c r="E119" s="18">
        <f t="shared" si="78"/>
        <v>2724.5046694555931</v>
      </c>
      <c r="F119" s="94">
        <v>3200</v>
      </c>
      <c r="H119">
        <v>11484</v>
      </c>
      <c r="I119" t="s">
        <v>438</v>
      </c>
      <c r="J119" s="74">
        <v>10</v>
      </c>
      <c r="K119" s="9">
        <f t="shared" si="69"/>
        <v>4.0470000000000006E-2</v>
      </c>
      <c r="L119" s="9">
        <f t="shared" si="70"/>
        <v>4.0468564200000001</v>
      </c>
      <c r="M119" s="1">
        <f t="shared" si="50"/>
        <v>3.6703919476115949</v>
      </c>
      <c r="N119" s="1">
        <f t="shared" si="71"/>
        <v>67.321588076491054</v>
      </c>
      <c r="O119" s="24" t="s">
        <v>598</v>
      </c>
      <c r="P119" s="88"/>
      <c r="Q119" s="88"/>
      <c r="R119" s="88"/>
      <c r="S119" s="88"/>
      <c r="Y119" t="s">
        <v>203</v>
      </c>
      <c r="AA119" s="11"/>
      <c r="AB119" s="111"/>
      <c r="AE119" t="s">
        <v>29</v>
      </c>
      <c r="AF119" t="s">
        <v>157</v>
      </c>
      <c r="AG119" s="15" t="s">
        <v>444</v>
      </c>
      <c r="AI119">
        <v>1</v>
      </c>
    </row>
    <row r="120" spans="1:44" ht="14.25" customHeight="1" x14ac:dyDescent="0.3">
      <c r="A120" s="11" t="s">
        <v>491</v>
      </c>
      <c r="B120" s="11" t="s">
        <v>533</v>
      </c>
      <c r="C120" s="11"/>
      <c r="D120">
        <v>2011</v>
      </c>
      <c r="E120" s="18">
        <f t="shared" si="78"/>
        <v>3575.9123786604659</v>
      </c>
      <c r="F120" s="75">
        <v>4200</v>
      </c>
      <c r="G120">
        <v>22</v>
      </c>
      <c r="H120">
        <v>17000</v>
      </c>
      <c r="I120" t="s">
        <v>536</v>
      </c>
      <c r="J120" s="74">
        <v>62</v>
      </c>
      <c r="K120" s="9">
        <f t="shared" si="69"/>
        <v>0.25091400000000003</v>
      </c>
      <c r="L120" s="9">
        <f t="shared" si="70"/>
        <v>25.090509804</v>
      </c>
      <c r="M120" s="1">
        <f t="shared" si="50"/>
        <v>17.338232438241441</v>
      </c>
      <c r="N120" s="1">
        <f t="shared" si="71"/>
        <v>14.251545862966855</v>
      </c>
      <c r="O120" s="11">
        <v>40</v>
      </c>
      <c r="P120" s="1">
        <f>O120*0.004047</f>
        <v>0.16188000000000002</v>
      </c>
      <c r="Q120" s="1">
        <f>O120*0.4047</f>
        <v>16.187999999999999</v>
      </c>
      <c r="R120" s="1">
        <f t="shared" ref="R120" si="79">O120/(E120/1000)</f>
        <v>11.185956411768672</v>
      </c>
      <c r="S120" s="1">
        <f>E120/1000/P120</f>
        <v>22.089896087598625</v>
      </c>
      <c r="T120" s="11"/>
      <c r="U120" s="11"/>
      <c r="V120" s="11"/>
      <c r="W120">
        <v>42.144219999999997</v>
      </c>
      <c r="X120">
        <v>-72.543379999999999</v>
      </c>
      <c r="Y120" t="s">
        <v>203</v>
      </c>
      <c r="AA120" s="11"/>
      <c r="AB120" s="15"/>
      <c r="AC120" s="11"/>
      <c r="AE120" t="s">
        <v>29</v>
      </c>
      <c r="AF120" t="s">
        <v>157</v>
      </c>
      <c r="AG120" s="15" t="s">
        <v>380</v>
      </c>
      <c r="AI120">
        <v>1</v>
      </c>
      <c r="AJ120">
        <v>59.1</v>
      </c>
    </row>
    <row r="121" spans="1:44" ht="14.25" customHeight="1" x14ac:dyDescent="0.3">
      <c r="A121" s="11" t="s">
        <v>47</v>
      </c>
      <c r="B121" s="11" t="s">
        <v>561</v>
      </c>
      <c r="C121" s="11"/>
      <c r="D121">
        <v>2012</v>
      </c>
      <c r="E121" s="18">
        <f t="shared" si="78"/>
        <v>4257.0385460243642</v>
      </c>
      <c r="F121" s="75">
        <v>5000</v>
      </c>
      <c r="G121">
        <v>22</v>
      </c>
      <c r="H121">
        <v>22000</v>
      </c>
      <c r="I121" t="s">
        <v>562</v>
      </c>
      <c r="J121" s="74">
        <v>28</v>
      </c>
      <c r="K121" s="9">
        <f t="shared" si="69"/>
        <v>0.113316</v>
      </c>
      <c r="L121" s="9">
        <f t="shared" si="70"/>
        <v>11.331197976</v>
      </c>
      <c r="M121" s="1">
        <f t="shared" si="50"/>
        <v>6.5773423701199789</v>
      </c>
      <c r="N121" s="1">
        <f t="shared" si="71"/>
        <v>37.567850489113312</v>
      </c>
      <c r="O121" s="24" t="s">
        <v>598</v>
      </c>
      <c r="P121" s="88"/>
      <c r="Q121" s="88"/>
      <c r="R121" s="88"/>
      <c r="S121" s="88"/>
      <c r="T121" s="11"/>
      <c r="U121" s="11"/>
      <c r="V121" s="11"/>
      <c r="W121">
        <v>35.199890000000003</v>
      </c>
      <c r="X121">
        <v>-81.409350000000003</v>
      </c>
      <c r="Y121" t="s">
        <v>203</v>
      </c>
      <c r="AA121" s="11"/>
      <c r="AB121" s="15"/>
      <c r="AC121" s="11"/>
      <c r="AD121" s="11" t="s">
        <v>563</v>
      </c>
      <c r="AE121" t="s">
        <v>29</v>
      </c>
      <c r="AF121" t="s">
        <v>157</v>
      </c>
      <c r="AG121" s="15" t="s">
        <v>380</v>
      </c>
      <c r="AI121">
        <v>1</v>
      </c>
    </row>
    <row r="122" spans="1:44" ht="14.25" customHeight="1" x14ac:dyDescent="0.3">
      <c r="A122" s="11" t="s">
        <v>107</v>
      </c>
      <c r="B122" s="11" t="s">
        <v>384</v>
      </c>
      <c r="C122" s="11"/>
      <c r="D122">
        <v>2012</v>
      </c>
      <c r="E122" s="18">
        <f t="shared" si="78"/>
        <v>4257.0385460243642</v>
      </c>
      <c r="F122" s="18">
        <v>5000</v>
      </c>
      <c r="H122">
        <v>78000</v>
      </c>
      <c r="I122" t="s">
        <v>428</v>
      </c>
      <c r="J122" s="74">
        <v>50</v>
      </c>
      <c r="K122" s="9">
        <f t="shared" si="69"/>
        <v>0.20235</v>
      </c>
      <c r="L122" s="9">
        <f t="shared" si="70"/>
        <v>20.234282100000001</v>
      </c>
      <c r="M122" s="1">
        <f t="shared" si="50"/>
        <v>11.745254232357105</v>
      </c>
      <c r="N122" s="1">
        <f t="shared" si="71"/>
        <v>21.037996273903456</v>
      </c>
      <c r="O122" s="24" t="s">
        <v>598</v>
      </c>
      <c r="P122" s="88"/>
      <c r="Q122" s="88"/>
      <c r="R122" s="88"/>
      <c r="S122" s="88"/>
      <c r="T122" s="1"/>
      <c r="U122" s="1"/>
      <c r="V122" s="1"/>
      <c r="Y122" t="s">
        <v>203</v>
      </c>
      <c r="AA122" s="24"/>
      <c r="AB122" s="15">
        <v>0.107</v>
      </c>
      <c r="AC122" s="15" t="s">
        <v>366</v>
      </c>
      <c r="AD122" s="15" t="s">
        <v>146</v>
      </c>
      <c r="AE122" t="s">
        <v>29</v>
      </c>
      <c r="AF122" t="s">
        <v>157</v>
      </c>
      <c r="AG122" s="15" t="s">
        <v>385</v>
      </c>
      <c r="AI122">
        <v>1</v>
      </c>
    </row>
    <row r="123" spans="1:44" ht="14.25" customHeight="1" x14ac:dyDescent="0.3">
      <c r="A123" s="11" t="s">
        <v>160</v>
      </c>
      <c r="B123" s="11" t="s">
        <v>386</v>
      </c>
      <c r="C123" s="11"/>
      <c r="D123">
        <v>2011</v>
      </c>
      <c r="E123" s="18">
        <f t="shared" si="78"/>
        <v>4257.0385460243642</v>
      </c>
      <c r="F123" s="18">
        <v>5000</v>
      </c>
      <c r="H123">
        <v>78000</v>
      </c>
      <c r="I123" t="s">
        <v>387</v>
      </c>
      <c r="J123" s="74">
        <v>50</v>
      </c>
      <c r="K123" s="9">
        <f t="shared" si="69"/>
        <v>0.20235</v>
      </c>
      <c r="L123" s="9">
        <f t="shared" si="70"/>
        <v>20.234282100000001</v>
      </c>
      <c r="M123" s="1">
        <f t="shared" si="50"/>
        <v>11.745254232357105</v>
      </c>
      <c r="N123" s="1">
        <f t="shared" si="71"/>
        <v>21.037996273903456</v>
      </c>
      <c r="O123" s="24" t="s">
        <v>707</v>
      </c>
      <c r="P123" s="88"/>
      <c r="Q123" s="88"/>
      <c r="R123" s="88"/>
      <c r="S123" s="88"/>
      <c r="T123" s="1"/>
      <c r="U123" s="1"/>
      <c r="V123" s="1"/>
      <c r="W123">
        <v>32.865855000000003</v>
      </c>
      <c r="X123">
        <v>-106.000299</v>
      </c>
      <c r="Y123" t="s">
        <v>91</v>
      </c>
      <c r="AA123" s="11" t="s">
        <v>94</v>
      </c>
      <c r="AB123" s="15">
        <v>0.107</v>
      </c>
      <c r="AC123" t="s">
        <v>366</v>
      </c>
      <c r="AD123" t="s">
        <v>146</v>
      </c>
      <c r="AE123" t="s">
        <v>29</v>
      </c>
      <c r="AF123" t="s">
        <v>157</v>
      </c>
      <c r="AG123" s="15" t="s">
        <v>385</v>
      </c>
      <c r="AI123">
        <v>1</v>
      </c>
    </row>
    <row r="124" spans="1:44" ht="14.25" customHeight="1" x14ac:dyDescent="0.3">
      <c r="A124" t="s">
        <v>148</v>
      </c>
      <c r="B124" t="s">
        <v>609</v>
      </c>
      <c r="D124">
        <v>2012</v>
      </c>
      <c r="E124" s="18">
        <f t="shared" si="78"/>
        <v>6811.2616736389828</v>
      </c>
      <c r="F124">
        <v>8000</v>
      </c>
      <c r="I124" t="s">
        <v>567</v>
      </c>
      <c r="J124">
        <v>24</v>
      </c>
      <c r="K124" s="1">
        <f t="shared" si="69"/>
        <v>9.7128000000000006E-2</v>
      </c>
      <c r="L124" s="9">
        <f t="shared" si="70"/>
        <v>9.7124554080000003</v>
      </c>
      <c r="M124" s="1">
        <f t="shared" si="50"/>
        <v>3.5235762697071316</v>
      </c>
      <c r="N124" s="1">
        <f t="shared" si="71"/>
        <v>70.126654246344842</v>
      </c>
      <c r="P124" s="1"/>
      <c r="Q124" s="1"/>
      <c r="R124" s="1"/>
      <c r="S124" s="1"/>
      <c r="W124">
        <v>28.768840000000001</v>
      </c>
      <c r="X124">
        <v>-81.348789999999994</v>
      </c>
      <c r="Y124" t="s">
        <v>203</v>
      </c>
      <c r="AB124" s="15">
        <v>0.158</v>
      </c>
      <c r="AC124" t="s">
        <v>391</v>
      </c>
      <c r="AD124" t="s">
        <v>610</v>
      </c>
      <c r="AE124" t="s">
        <v>109</v>
      </c>
      <c r="AF124" t="s">
        <v>611</v>
      </c>
      <c r="AG124" t="s">
        <v>252</v>
      </c>
      <c r="AI124">
        <v>1</v>
      </c>
    </row>
    <row r="125" spans="1:44" ht="14.25" customHeight="1" x14ac:dyDescent="0.3">
      <c r="A125" t="s">
        <v>171</v>
      </c>
      <c r="B125" t="s">
        <v>670</v>
      </c>
      <c r="D125">
        <v>2012</v>
      </c>
      <c r="E125" s="18">
        <f t="shared" si="78"/>
        <v>16925.985258992871</v>
      </c>
      <c r="F125">
        <v>19880</v>
      </c>
      <c r="G125">
        <v>80</v>
      </c>
      <c r="H125">
        <v>85000</v>
      </c>
      <c r="I125" t="s">
        <v>671</v>
      </c>
      <c r="J125">
        <v>95</v>
      </c>
      <c r="K125" s="9">
        <f t="shared" si="69"/>
        <v>0.384465</v>
      </c>
      <c r="L125" s="9">
        <f t="shared" si="70"/>
        <v>38.445135990000004</v>
      </c>
      <c r="M125" s="1">
        <f t="shared" si="50"/>
        <v>5.6126717911163233</v>
      </c>
      <c r="N125" s="9">
        <f t="shared" si="71"/>
        <v>44.024775360547437</v>
      </c>
      <c r="W125">
        <v>40.26643</v>
      </c>
      <c r="X125">
        <v>-74.084199999999996</v>
      </c>
      <c r="Y125" t="s">
        <v>203</v>
      </c>
      <c r="AB125" s="111"/>
      <c r="AE125" t="s">
        <v>109</v>
      </c>
      <c r="AF125" t="s">
        <v>645</v>
      </c>
      <c r="AG125" t="s">
        <v>380</v>
      </c>
      <c r="AI125">
        <v>1</v>
      </c>
    </row>
    <row r="126" spans="1:44" ht="14.25" customHeight="1" x14ac:dyDescent="0.3">
      <c r="A126" t="s">
        <v>26</v>
      </c>
      <c r="B126" t="s">
        <v>672</v>
      </c>
      <c r="D126">
        <v>2013</v>
      </c>
      <c r="E126" s="18">
        <f t="shared" si="78"/>
        <v>17028.154184097457</v>
      </c>
      <c r="F126">
        <v>20000</v>
      </c>
      <c r="I126" t="s">
        <v>8</v>
      </c>
      <c r="J126">
        <v>200</v>
      </c>
      <c r="K126" s="9">
        <f t="shared" si="69"/>
        <v>0.80940000000000001</v>
      </c>
      <c r="L126" s="9">
        <f t="shared" si="70"/>
        <v>80.937128400000006</v>
      </c>
      <c r="M126" s="1">
        <f t="shared" si="50"/>
        <v>11.745254232357105</v>
      </c>
      <c r="N126" s="9">
        <f t="shared" si="71"/>
        <v>21.037996273903456</v>
      </c>
      <c r="W126">
        <v>34.7119</v>
      </c>
      <c r="X126">
        <v>-118.3296</v>
      </c>
      <c r="Y126" t="s">
        <v>203</v>
      </c>
      <c r="AB126" s="111"/>
      <c r="AE126" t="s">
        <v>24</v>
      </c>
      <c r="AF126" t="s">
        <v>475</v>
      </c>
      <c r="AG126" t="s">
        <v>385</v>
      </c>
      <c r="AI126">
        <v>1</v>
      </c>
    </row>
    <row r="127" spans="1:44" ht="14.25" customHeight="1" x14ac:dyDescent="0.3">
      <c r="A127" t="s">
        <v>26</v>
      </c>
      <c r="B127" t="s">
        <v>674</v>
      </c>
      <c r="D127">
        <v>2013</v>
      </c>
      <c r="E127" s="18">
        <f t="shared" si="78"/>
        <v>17028.154184097457</v>
      </c>
      <c r="F127">
        <v>20000</v>
      </c>
      <c r="I127" t="s">
        <v>8</v>
      </c>
      <c r="J127">
        <v>174</v>
      </c>
      <c r="K127" s="9">
        <f t="shared" si="69"/>
        <v>0.70417800000000008</v>
      </c>
      <c r="L127" s="9">
        <f t="shared" si="70"/>
        <v>70.415301708000001</v>
      </c>
      <c r="M127" s="1">
        <f t="shared" si="50"/>
        <v>10.218371182150682</v>
      </c>
      <c r="N127" s="9">
        <f t="shared" si="71"/>
        <v>24.181604912532702</v>
      </c>
      <c r="W127">
        <v>34.935099999999998</v>
      </c>
      <c r="X127">
        <v>-118.1452</v>
      </c>
      <c r="Y127" t="s">
        <v>203</v>
      </c>
      <c r="AB127" s="111"/>
      <c r="AE127" t="s">
        <v>24</v>
      </c>
      <c r="AF127" t="s">
        <v>475</v>
      </c>
      <c r="AG127" t="s">
        <v>385</v>
      </c>
      <c r="AI127">
        <v>1</v>
      </c>
    </row>
    <row r="128" spans="1:44" ht="14.25" customHeight="1" x14ac:dyDescent="0.3">
      <c r="A128" t="s">
        <v>180</v>
      </c>
      <c r="B128" t="s">
        <v>615</v>
      </c>
      <c r="D128">
        <v>2012</v>
      </c>
      <c r="E128" s="18">
        <f t="shared" si="78"/>
        <v>19582.377311712076</v>
      </c>
      <c r="F128">
        <v>23000</v>
      </c>
      <c r="I128" t="s">
        <v>616</v>
      </c>
      <c r="J128">
        <v>160</v>
      </c>
      <c r="K128" s="9">
        <f t="shared" si="69"/>
        <v>0.6475200000000001</v>
      </c>
      <c r="L128" s="9">
        <f t="shared" si="70"/>
        <v>64.749702720000002</v>
      </c>
      <c r="M128" s="1">
        <f t="shared" si="50"/>
        <v>8.1706116399005939</v>
      </c>
      <c r="N128" s="1">
        <f t="shared" si="71"/>
        <v>30.242119643736213</v>
      </c>
      <c r="W128">
        <v>41.150500000000001</v>
      </c>
      <c r="X128">
        <v>-88.758799999999994</v>
      </c>
      <c r="Y128" t="s">
        <v>203</v>
      </c>
      <c r="AB128" s="15">
        <v>0.12</v>
      </c>
      <c r="AC128" t="s">
        <v>366</v>
      </c>
      <c r="AD128" t="s">
        <v>617</v>
      </c>
      <c r="AE128" t="s">
        <v>109</v>
      </c>
      <c r="AF128" t="s">
        <v>611</v>
      </c>
      <c r="AG128" t="s">
        <v>380</v>
      </c>
      <c r="AI128">
        <v>1</v>
      </c>
    </row>
    <row r="129" spans="1:449" ht="14.25" customHeight="1" x14ac:dyDescent="0.3">
      <c r="A129" s="11"/>
      <c r="B129" s="11"/>
      <c r="C129" s="11"/>
      <c r="E129" s="18"/>
      <c r="F129" s="18"/>
      <c r="AA129" s="11"/>
      <c r="AG129" s="15"/>
    </row>
    <row r="130" spans="1:449" ht="14.25" customHeight="1" x14ac:dyDescent="0.3"/>
    <row r="131" spans="1:449" s="24" customFormat="1" ht="15" customHeight="1" x14ac:dyDescent="0.3"/>
    <row r="132" spans="1:449" s="11" customFormat="1" ht="15" customHeight="1" x14ac:dyDescent="0.3">
      <c r="T132" s="25">
        <f>MAX(T3:T129)</f>
        <v>0.92</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row>
    <row r="133" spans="1:449" s="11" customFormat="1" ht="15" customHeight="1" x14ac:dyDescent="0.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row>
    <row r="134" spans="1:449" s="11" customFormat="1" x14ac:dyDescent="0.3">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row>
    <row r="135" spans="1:449" s="11" customFormat="1" ht="15" customHeight="1" x14ac:dyDescent="0.3">
      <c r="D135"/>
      <c r="E135" s="75"/>
      <c r="F135" s="75"/>
      <c r="G135"/>
      <c r="H135"/>
      <c r="I135"/>
      <c r="J135" s="74"/>
      <c r="K135" s="9"/>
      <c r="L135" s="9"/>
      <c r="M135" s="1"/>
      <c r="N135" s="1"/>
      <c r="Q135" s="1"/>
      <c r="R135" s="1"/>
      <c r="S135" s="1"/>
      <c r="Y135"/>
      <c r="Z135"/>
      <c r="AB135" s="23"/>
      <c r="AD135"/>
      <c r="AE135"/>
      <c r="AF135"/>
      <c r="AG135" s="1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row>
    <row r="136" spans="1:449" s="11" customFormat="1" ht="15" customHeight="1" x14ac:dyDescent="0.3">
      <c r="D136"/>
      <c r="E136" s="75"/>
      <c r="F136" s="75"/>
      <c r="G136"/>
      <c r="H136"/>
      <c r="I136"/>
      <c r="J136" s="74"/>
      <c r="K136" s="9"/>
      <c r="L136" s="9"/>
      <c r="M136" s="1"/>
      <c r="N136" s="1"/>
      <c r="P136" s="1"/>
      <c r="Q136" s="1"/>
      <c r="R136" s="1"/>
      <c r="S136" s="1"/>
      <c r="Y136"/>
      <c r="Z136"/>
      <c r="AB136" s="23"/>
      <c r="AD136"/>
      <c r="AE136"/>
      <c r="AF136"/>
      <c r="AG136" s="15"/>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row>
    <row r="137" spans="1:449" s="11" customFormat="1" ht="15" customHeight="1" x14ac:dyDescent="0.3">
      <c r="B137" s="86"/>
      <c r="C137" s="86"/>
      <c r="D137"/>
      <c r="E137" s="75"/>
      <c r="F137" s="75"/>
      <c r="G137"/>
      <c r="H137"/>
      <c r="I137"/>
      <c r="J137" s="74"/>
      <c r="K137" s="9"/>
      <c r="L137" s="9"/>
      <c r="M137" s="9"/>
      <c r="N137" s="9"/>
      <c r="O137" s="9"/>
      <c r="P137" s="9"/>
      <c r="Q137" s="9"/>
      <c r="R137" s="9"/>
      <c r="S137" s="9"/>
      <c r="T137" s="9"/>
      <c r="Y137"/>
      <c r="Z137"/>
      <c r="AB137" s="23"/>
      <c r="AD137"/>
      <c r="AE137"/>
      <c r="AF137"/>
      <c r="AG137" s="15"/>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row>
    <row r="138" spans="1:449" s="11" customFormat="1" ht="15" customHeight="1" x14ac:dyDescent="0.3">
      <c r="A138"/>
      <c r="D138"/>
      <c r="E138"/>
      <c r="F138"/>
      <c r="G138"/>
      <c r="H138"/>
      <c r="I138"/>
      <c r="J138" s="74"/>
      <c r="K138" s="9"/>
      <c r="L138" s="9"/>
      <c r="M138" s="1"/>
      <c r="N138" s="1"/>
      <c r="Y138"/>
      <c r="Z138"/>
      <c r="AB138"/>
      <c r="AC138"/>
      <c r="AD138"/>
      <c r="AE138"/>
      <c r="AF138"/>
      <c r="AG138" s="15"/>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row>
    <row r="139" spans="1:449" s="11" customFormat="1" x14ac:dyDescent="0.3">
      <c r="A139"/>
      <c r="D139"/>
      <c r="E139"/>
      <c r="F139"/>
      <c r="G139"/>
      <c r="H139"/>
      <c r="I139"/>
      <c r="J139"/>
      <c r="K139" s="9"/>
      <c r="L139" s="9"/>
      <c r="M139" s="1"/>
      <c r="N139"/>
      <c r="O139"/>
      <c r="P139"/>
      <c r="Q139"/>
      <c r="R139"/>
      <c r="S139"/>
      <c r="T139"/>
      <c r="U139"/>
      <c r="V139"/>
      <c r="W139"/>
      <c r="X139"/>
      <c r="Y139"/>
      <c r="Z139"/>
      <c r="AA139"/>
      <c r="AB139"/>
      <c r="AC139"/>
      <c r="AD139"/>
      <c r="AE139"/>
      <c r="AF139"/>
      <c r="AG139" s="15"/>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row>
    <row r="140" spans="1:449" s="11" customFormat="1" ht="15" customHeight="1"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row>
    <row r="141" spans="1:449" s="11" customFormat="1" ht="15" customHeigh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row>
    <row r="142" spans="1:449" s="11" customFormat="1" ht="15" customHeight="1"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row>
    <row r="143" spans="1:449" s="11" customFormat="1" ht="15" customHeight="1"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row>
    <row r="144" spans="1:449" s="11" customFormat="1" ht="15" customHeight="1" x14ac:dyDescent="0.3">
      <c r="A144" s="24" t="s">
        <v>596</v>
      </c>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row>
    <row r="145" spans="1:45" s="11" customFormat="1" ht="15" customHeight="1" thickBot="1" x14ac:dyDescent="0.35">
      <c r="D145" s="11" t="s">
        <v>742</v>
      </c>
      <c r="I145" s="11" t="s">
        <v>131</v>
      </c>
      <c r="V145" s="11" t="s">
        <v>841</v>
      </c>
      <c r="AG145" s="11" t="s">
        <v>892</v>
      </c>
      <c r="AJ145" s="11" t="s">
        <v>131</v>
      </c>
      <c r="AK145"/>
      <c r="AM145" s="11" t="s">
        <v>855</v>
      </c>
    </row>
    <row r="146" spans="1:45" s="11" customFormat="1" ht="17.25" customHeight="1" x14ac:dyDescent="0.3">
      <c r="A146" s="11" t="s">
        <v>211</v>
      </c>
      <c r="I146" t="s">
        <v>134</v>
      </c>
      <c r="J146" s="26">
        <f t="shared" ref="J146:S146" si="80">MAX(J$3:J$57)</f>
        <v>212</v>
      </c>
      <c r="K146" s="26">
        <f t="shared" si="80"/>
        <v>0.85796400000000006</v>
      </c>
      <c r="L146" s="26">
        <f t="shared" si="80"/>
        <v>85.793356103999997</v>
      </c>
      <c r="M146" s="246">
        <f t="shared" si="80"/>
        <v>12.903225806451612</v>
      </c>
      <c r="N146" s="26">
        <f t="shared" si="80"/>
        <v>58.959989557436444</v>
      </c>
      <c r="O146" s="26">
        <f t="shared" si="80"/>
        <v>116.5</v>
      </c>
      <c r="P146" s="26">
        <f t="shared" si="80"/>
        <v>0.47147550000000005</v>
      </c>
      <c r="Q146" s="26">
        <f t="shared" si="80"/>
        <v>47.147550000000003</v>
      </c>
      <c r="R146" s="246">
        <f t="shared" si="80"/>
        <v>10.570728809121395</v>
      </c>
      <c r="S146" s="26">
        <f t="shared" si="80"/>
        <v>65.743738355948295</v>
      </c>
      <c r="V146" s="171" t="s">
        <v>842</v>
      </c>
      <c r="W146" s="118" t="s">
        <v>13</v>
      </c>
      <c r="X146" s="118"/>
      <c r="Y146" s="118"/>
      <c r="Z146" s="118" t="s">
        <v>9</v>
      </c>
      <c r="AA146" s="118"/>
      <c r="AB146" s="119"/>
      <c r="AG146" s="11">
        <v>2007</v>
      </c>
      <c r="AH146" s="11">
        <v>2009</v>
      </c>
      <c r="AI146" s="11">
        <v>2011</v>
      </c>
      <c r="AJ146" t="s">
        <v>134</v>
      </c>
      <c r="AK146" s="26">
        <f t="shared" ref="AK146:AR146" si="81">MAX(AK$3:AK$57)</f>
        <v>2305</v>
      </c>
      <c r="AL146" s="26">
        <f t="shared" si="81"/>
        <v>2757.95</v>
      </c>
      <c r="AM146" s="247">
        <f t="shared" si="81"/>
        <v>6.6074496020911253</v>
      </c>
      <c r="AN146" s="247">
        <f t="shared" si="81"/>
        <v>4.2702941367779053</v>
      </c>
      <c r="AO146" s="26">
        <f t="shared" si="81"/>
        <v>2893.82</v>
      </c>
      <c r="AP146" s="247">
        <f t="shared" si="81"/>
        <v>4.8306605892125791</v>
      </c>
      <c r="AQ146" s="25">
        <f t="shared" si="81"/>
        <v>1589.11</v>
      </c>
      <c r="AR146" s="247">
        <f t="shared" si="81"/>
        <v>8.768756919097255</v>
      </c>
      <c r="AS146" s="26"/>
    </row>
    <row r="147" spans="1:45" ht="15" customHeight="1" thickBot="1" x14ac:dyDescent="0.35">
      <c r="A147" s="11">
        <f>COUNTA(A3:A128)</f>
        <v>126</v>
      </c>
      <c r="B147" s="11" t="s">
        <v>846</v>
      </c>
      <c r="C147" s="11"/>
      <c r="G147" s="11"/>
      <c r="H147" s="11"/>
      <c r="I147" t="s">
        <v>135</v>
      </c>
      <c r="J147" s="26">
        <f t="shared" ref="J147:S147" si="82">MIN(J$3:J$57)</f>
        <v>4.42</v>
      </c>
      <c r="K147" s="26">
        <f t="shared" si="82"/>
        <v>1.7887739999999999E-2</v>
      </c>
      <c r="L147" s="26">
        <f t="shared" si="82"/>
        <v>1.7887105376400001</v>
      </c>
      <c r="M147" s="246">
        <f t="shared" si="82"/>
        <v>4.1909202601819668</v>
      </c>
      <c r="N147" s="26">
        <f t="shared" si="82"/>
        <v>19.149987645169261</v>
      </c>
      <c r="O147" s="26">
        <f t="shared" si="82"/>
        <v>3.04</v>
      </c>
      <c r="P147" s="26">
        <f t="shared" si="82"/>
        <v>1.230288E-2</v>
      </c>
      <c r="Q147" s="26">
        <f t="shared" si="82"/>
        <v>1.2302443516800001</v>
      </c>
      <c r="R147" s="246">
        <f t="shared" si="82"/>
        <v>3.7584813543542737</v>
      </c>
      <c r="S147" s="26">
        <f t="shared" si="82"/>
        <v>23.375551415448282</v>
      </c>
      <c r="T147" s="11"/>
      <c r="U147" s="11"/>
      <c r="V147" s="179" t="str">
        <f t="shared" ref="V147:V174" si="83">I145</f>
        <v>1 Axis Tracking</v>
      </c>
      <c r="W147" s="180" t="s">
        <v>761</v>
      </c>
      <c r="X147" s="181" t="s">
        <v>239</v>
      </c>
      <c r="Y147" s="182" t="s">
        <v>762</v>
      </c>
      <c r="Z147" s="182" t="s">
        <v>761</v>
      </c>
      <c r="AA147" s="182" t="s">
        <v>239</v>
      </c>
      <c r="AB147" s="183" t="s">
        <v>762</v>
      </c>
      <c r="AC147" s="11"/>
      <c r="AD147" s="11"/>
      <c r="AF147" t="s">
        <v>893</v>
      </c>
      <c r="AG147" s="29">
        <f>(COUNTIFS($D$3:$D$128,"&gt;2007",$AE$3:$AE$128,"=completed")+2)/(COUNTIF($AE$3:$AE$128,"=completed")+2)</f>
        <v>0.91428571428571426</v>
      </c>
      <c r="AH147" s="29">
        <f>(COUNTIFS($D$3:$D$128,"&gt;2009",$AE$3:$AE$128,"=completed")+2)/(COUNTIF($AE$3:$AE$128,"=completed")+2)</f>
        <v>0.65714285714285714</v>
      </c>
      <c r="AI147" s="29">
        <f>(COUNTIFS($D$3:$D$128,"&gt;2011",$AE$3:$AE$128,"=completed")+2)/(COUNTIF($AE$3:$AE$128,"=completed")+2)</f>
        <v>9.5238095238095233E-2</v>
      </c>
      <c r="AJ147" t="s">
        <v>135</v>
      </c>
      <c r="AK147" s="26">
        <f t="shared" ref="AK147:AR147" si="84">MIN(AK$3:AK$57)</f>
        <v>1426</v>
      </c>
      <c r="AL147" s="26">
        <f t="shared" si="84"/>
        <v>1727.11</v>
      </c>
      <c r="AM147" s="247">
        <f t="shared" si="84"/>
        <v>2.0845819352592625</v>
      </c>
      <c r="AN147" s="247">
        <f t="shared" si="84"/>
        <v>2.0712288712446481</v>
      </c>
      <c r="AO147" s="26">
        <f t="shared" si="84"/>
        <v>2670.14</v>
      </c>
      <c r="AP147" s="247">
        <f t="shared" si="84"/>
        <v>1.5684229621273351</v>
      </c>
      <c r="AQ147" s="25">
        <f t="shared" si="84"/>
        <v>1462.8</v>
      </c>
      <c r="AR147" s="247">
        <f t="shared" si="84"/>
        <v>2.8521497085062282</v>
      </c>
      <c r="AS147" s="26"/>
    </row>
    <row r="148" spans="1:45" ht="15" customHeight="1" x14ac:dyDescent="0.3">
      <c r="A148" s="11"/>
      <c r="B148" s="11" t="s">
        <v>847</v>
      </c>
      <c r="C148" s="11"/>
      <c r="G148" s="11"/>
      <c r="H148" s="11"/>
      <c r="I148" t="s">
        <v>137</v>
      </c>
      <c r="J148" s="26">
        <f t="shared" ref="J148:S148" si="85">wtavg($E$3:$E$57,J$3:J$57)</f>
        <v>93.443337595911416</v>
      </c>
      <c r="K148" s="26">
        <f t="shared" si="85"/>
        <v>0.37816518725065351</v>
      </c>
      <c r="L148" s="26">
        <f t="shared" si="85"/>
        <v>37.815177065624155</v>
      </c>
      <c r="M148" s="246">
        <f t="shared" si="85"/>
        <v>8.6549953577241894</v>
      </c>
      <c r="N148" s="26">
        <f t="shared" si="85"/>
        <v>30.326687368528695</v>
      </c>
      <c r="O148" s="26">
        <f t="shared" si="85"/>
        <v>58.649892715583704</v>
      </c>
      <c r="P148" s="26">
        <f t="shared" si="85"/>
        <v>0.23735611581996724</v>
      </c>
      <c r="Q148" s="26">
        <f t="shared" si="85"/>
        <v>23.735532557922689</v>
      </c>
      <c r="R148" s="246">
        <f t="shared" si="85"/>
        <v>6.3296340120722956</v>
      </c>
      <c r="S148" s="26">
        <f t="shared" si="85"/>
        <v>41.340805776963421</v>
      </c>
      <c r="T148" s="11"/>
      <c r="U148" s="11"/>
      <c r="V148" s="120" t="str">
        <f t="shared" si="83"/>
        <v>Max</v>
      </c>
      <c r="W148" s="164">
        <f>M146</f>
        <v>12.903225806451612</v>
      </c>
      <c r="X148" s="123">
        <f>W148*2.47105381</f>
        <v>31.884565290322577</v>
      </c>
      <c r="Y148" s="9">
        <f>N146</f>
        <v>58.959989557436444</v>
      </c>
      <c r="Z148" s="9">
        <f>R146</f>
        <v>10.570728809121395</v>
      </c>
      <c r="AA148" s="123">
        <f>Z148*2.47105381</f>
        <v>26.120839698256184</v>
      </c>
      <c r="AB148" s="161">
        <f>S146</f>
        <v>65.743738355948295</v>
      </c>
      <c r="AC148" s="11"/>
      <c r="AD148" s="11"/>
      <c r="AF148" s="11" t="s">
        <v>894</v>
      </c>
      <c r="AG148" s="29">
        <f>(COUNTIFS($D$178:$D$242,"&gt;2007",$AE$178:$AE$242,"=completed")+2)/(COUNTIF($AE$178:$AE$242,"=completed")+2)</f>
        <v>1</v>
      </c>
      <c r="AH148" s="29">
        <f>(COUNTIFS($D$178:$D$242,"&gt;2009",$AE$178:$AE$242,"=completed")+2)/(COUNTIF($AE$178:$AE$242,"=completed")+2)</f>
        <v>0.83333333333333337</v>
      </c>
      <c r="AI148" s="29">
        <f>(COUNTIFS($D$178:$D$242,"&gt;2011",$AE$178:$AE$242,"=completed")+2)/(COUNTIF($AE$178:$AE$242,"=completed")+2)</f>
        <v>0.33333333333333331</v>
      </c>
      <c r="AJ148" t="s">
        <v>137</v>
      </c>
      <c r="AK148" s="26">
        <f t="shared" ref="AK148:AR148" si="86">wtavg($E$3:$E$57,AK$3:AK$57)</f>
        <v>1847.950907793047</v>
      </c>
      <c r="AL148" s="26">
        <f t="shared" si="86"/>
        <v>2335.4393191543936</v>
      </c>
      <c r="AM148" s="247">
        <f t="shared" si="86"/>
        <v>3.7698746455017944</v>
      </c>
      <c r="AN148" s="247">
        <f t="shared" si="86"/>
        <v>2.8696312580571086</v>
      </c>
      <c r="AO148" s="26">
        <f t="shared" si="86"/>
        <v>2689.442174589994</v>
      </c>
      <c r="AP148" s="247">
        <f t="shared" si="86"/>
        <v>3.2177890725731007</v>
      </c>
      <c r="AQ148" s="25">
        <f t="shared" si="86"/>
        <v>1478.9940580518992</v>
      </c>
      <c r="AR148" s="247">
        <f t="shared" si="86"/>
        <v>5.8510161153245646</v>
      </c>
      <c r="AS148" s="26"/>
    </row>
    <row r="149" spans="1:45" ht="15" customHeight="1" x14ac:dyDescent="0.3">
      <c r="A149" s="11"/>
      <c r="B149" s="11"/>
      <c r="C149" s="11"/>
      <c r="G149" s="11"/>
      <c r="H149" s="11"/>
      <c r="I149" t="s">
        <v>136</v>
      </c>
      <c r="J149" s="26">
        <f t="shared" ref="J149:S149" si="87">wtstd($E$3:$E$57,J$3:J$57)</f>
        <v>15.404162145446163</v>
      </c>
      <c r="K149" s="26">
        <f t="shared" si="87"/>
        <v>6.2340644202620629E-2</v>
      </c>
      <c r="L149" s="26">
        <f t="shared" si="87"/>
        <v>6.2338432473019774</v>
      </c>
      <c r="M149" s="246">
        <f t="shared" si="87"/>
        <v>0.56288916925369625</v>
      </c>
      <c r="N149" s="26">
        <f t="shared" si="87"/>
        <v>2.143650798987514</v>
      </c>
      <c r="O149" s="26">
        <f t="shared" si="87"/>
        <v>12.137493116061787</v>
      </c>
      <c r="P149" s="26">
        <f t="shared" si="87"/>
        <v>4.9120434640702058E-2</v>
      </c>
      <c r="Q149" s="26">
        <f t="shared" si="87"/>
        <v>4.9120683996603409</v>
      </c>
      <c r="R149" s="246">
        <f t="shared" si="87"/>
        <v>0.45851014921561423</v>
      </c>
      <c r="S149" s="26">
        <f t="shared" si="87"/>
        <v>3.2933109413402164</v>
      </c>
      <c r="T149" s="11"/>
      <c r="U149" s="11"/>
      <c r="V149" s="120" t="str">
        <f t="shared" si="83"/>
        <v>Min</v>
      </c>
      <c r="W149" s="164">
        <f t="shared" ref="W149:W174" si="88">M147</f>
        <v>4.1909202601819668</v>
      </c>
      <c r="X149" s="123">
        <f t="shared" ref="X149:X174" si="89">W149*2.47105381</f>
        <v>10.35598947632884</v>
      </c>
      <c r="Y149" s="9">
        <f t="shared" ref="Y149:Y174" si="90">N147</f>
        <v>19.149987645169261</v>
      </c>
      <c r="Z149" s="9">
        <f t="shared" ref="Z149:Z174" si="91">R147</f>
        <v>3.7584813543542737</v>
      </c>
      <c r="AA149" s="123">
        <f t="shared" ref="AA149:AA174" si="92">Z149*2.47105381</f>
        <v>9.2874096704910869</v>
      </c>
      <c r="AB149" s="161">
        <f t="shared" ref="AB149:AB174" si="93">S147</f>
        <v>23.375551415448282</v>
      </c>
      <c r="AC149" s="11"/>
      <c r="AD149" s="11"/>
      <c r="AF149" s="11" t="s">
        <v>246</v>
      </c>
      <c r="AG149" s="29">
        <f>(COUNTIFS($D$3:$D$242,"&gt;2007",$AE$3:$AE$242,"=completed")+2)/(COUNTIF($AE$3:$AE$242,"=completed")+2)</f>
        <v>0.92173913043478262</v>
      </c>
      <c r="AH149" s="29">
        <f>(COUNTIFS($D$3:$D$242,"&gt;2009",$AE$3:$AE$242,"=completed")+2)/(COUNTIF($AE$3:$AE$242,"=completed")+2)</f>
        <v>0.66956521739130437</v>
      </c>
      <c r="AI149" s="29">
        <f>(COUNTIFS($D$3:$D$242,"&gt;2011",$AE$3:$AE$242,"=completed")+2)/(COUNTIF($AE$3:$AE$242,"=completed")+2)</f>
        <v>0.10434782608695652</v>
      </c>
      <c r="AJ149" t="s">
        <v>136</v>
      </c>
      <c r="AK149" s="26">
        <f>wtstd($E$3:$E$57,AK$3:AK$57)</f>
        <v>136.46657355274323</v>
      </c>
      <c r="AL149" s="26">
        <f t="shared" ref="AL149:AR149" si="94">wtstd($E$3:$E$57,AL$3:AL$57)</f>
        <v>94.197496782877835</v>
      </c>
      <c r="AM149" s="247">
        <f t="shared" si="94"/>
        <v>0.27524595660805184</v>
      </c>
      <c r="AN149" s="247">
        <f t="shared" si="94"/>
        <v>0.16149712062283608</v>
      </c>
      <c r="AO149" s="26">
        <f t="shared" si="94"/>
        <v>16.308810059072343</v>
      </c>
      <c r="AP149" s="247">
        <f t="shared" si="94"/>
        <v>0.20847813604348484</v>
      </c>
      <c r="AQ149" s="25">
        <f t="shared" si="94"/>
        <v>8.5313992260660303</v>
      </c>
      <c r="AR149" s="247">
        <f t="shared" si="94"/>
        <v>0.37875632477451804</v>
      </c>
      <c r="AS149" s="26"/>
    </row>
    <row r="150" spans="1:45" ht="15" customHeight="1" x14ac:dyDescent="0.3">
      <c r="A150" s="11"/>
      <c r="B150" s="11"/>
      <c r="D150" t="s">
        <v>962</v>
      </c>
      <c r="E150" s="11" t="s">
        <v>956</v>
      </c>
      <c r="F150" t="s">
        <v>955</v>
      </c>
      <c r="G150" s="11"/>
      <c r="I150" s="11" t="s">
        <v>139</v>
      </c>
      <c r="J150" s="26"/>
      <c r="K150" s="25"/>
      <c r="L150" s="26"/>
      <c r="M150" s="246"/>
      <c r="N150" s="26"/>
      <c r="O150" s="26"/>
      <c r="P150" s="26"/>
      <c r="Q150" s="26"/>
      <c r="R150" s="246"/>
      <c r="S150" s="26"/>
      <c r="T150" s="11"/>
      <c r="U150" s="11"/>
      <c r="V150" s="178" t="str">
        <f t="shared" si="83"/>
        <v>W. Average</v>
      </c>
      <c r="W150" s="168">
        <f t="shared" si="88"/>
        <v>8.6549953577241894</v>
      </c>
      <c r="X150" s="169">
        <f t="shared" si="89"/>
        <v>21.386959254236672</v>
      </c>
      <c r="Y150" s="170">
        <f t="shared" si="90"/>
        <v>30.326687368528695</v>
      </c>
      <c r="Z150" s="170">
        <f t="shared" si="91"/>
        <v>6.3296340120722956</v>
      </c>
      <c r="AA150" s="169">
        <f t="shared" si="92"/>
        <v>15.640866241436832</v>
      </c>
      <c r="AB150" s="172">
        <f t="shared" si="93"/>
        <v>41.340805776963421</v>
      </c>
      <c r="AC150" s="11"/>
      <c r="AD150" s="11"/>
      <c r="AE150" s="11"/>
      <c r="AJ150" s="11" t="s">
        <v>139</v>
      </c>
      <c r="AK150" s="26"/>
      <c r="AL150" s="26"/>
      <c r="AM150" s="247"/>
      <c r="AN150" s="247"/>
      <c r="AO150" s="26"/>
      <c r="AP150" s="247"/>
      <c r="AQ150" s="25"/>
      <c r="AR150" s="247"/>
      <c r="AS150" s="26"/>
    </row>
    <row r="151" spans="1:45" ht="15" customHeight="1" thickBot="1" x14ac:dyDescent="0.35">
      <c r="A151" s="11"/>
      <c r="B151" s="11"/>
      <c r="E151" s="11" t="s">
        <v>217</v>
      </c>
      <c r="G151" s="11"/>
      <c r="H151" s="11"/>
      <c r="I151" t="s">
        <v>134</v>
      </c>
      <c r="J151" s="26">
        <f>MAX(J$58:J$65)</f>
        <v>39</v>
      </c>
      <c r="K151" s="26">
        <f t="shared" ref="K151:S151" si="95">MAX(K$58:K$65)</f>
        <v>0.157833</v>
      </c>
      <c r="L151" s="26">
        <f t="shared" si="95"/>
        <v>15.782740038</v>
      </c>
      <c r="M151" s="246">
        <f t="shared" si="95"/>
        <v>17</v>
      </c>
      <c r="N151" s="26">
        <f t="shared" si="95"/>
        <v>32.392326615848411</v>
      </c>
      <c r="O151" s="26">
        <f t="shared" si="95"/>
        <v>30.28</v>
      </c>
      <c r="P151" s="26">
        <f t="shared" si="95"/>
        <v>0.12254316000000001</v>
      </c>
      <c r="Q151" s="26">
        <f t="shared" si="95"/>
        <v>12.254316000000001</v>
      </c>
      <c r="R151" s="246">
        <f t="shared" si="95"/>
        <v>11.745254232357103</v>
      </c>
      <c r="S151" s="26">
        <f t="shared" si="95"/>
        <v>42.809876138757026</v>
      </c>
      <c r="T151" s="11"/>
      <c r="U151" s="11"/>
      <c r="V151" s="120" t="str">
        <f t="shared" si="83"/>
        <v>SD</v>
      </c>
      <c r="W151" s="164">
        <f t="shared" si="88"/>
        <v>0.56288916925369625</v>
      </c>
      <c r="X151" s="123">
        <f t="shared" si="89"/>
        <v>1.3909294262920808</v>
      </c>
      <c r="Y151" s="9">
        <f t="shared" si="90"/>
        <v>2.143650798987514</v>
      </c>
      <c r="Z151" s="9">
        <f t="shared" si="91"/>
        <v>0.45851014921561423</v>
      </c>
      <c r="AA151" s="123">
        <f t="shared" si="92"/>
        <v>1.133003251142912</v>
      </c>
      <c r="AB151" s="161">
        <f t="shared" si="93"/>
        <v>3.2933109413402164</v>
      </c>
      <c r="AC151" s="11"/>
      <c r="AD151" s="11"/>
      <c r="AJ151" t="s">
        <v>134</v>
      </c>
      <c r="AK151" s="26">
        <f t="shared" ref="AK151:AR151" si="96">MAX(AK$58:AK$65)</f>
        <v>2528</v>
      </c>
      <c r="AL151" s="26">
        <f t="shared" si="96"/>
        <v>3085.39</v>
      </c>
      <c r="AM151" s="247">
        <f t="shared" si="96"/>
        <v>7.106964754790579</v>
      </c>
      <c r="AN151" s="247">
        <f t="shared" si="96"/>
        <v>5.7908601705701015</v>
      </c>
      <c r="AO151" s="26">
        <f t="shared" si="96"/>
        <v>3154.59</v>
      </c>
      <c r="AP151" s="247">
        <f t="shared" si="96"/>
        <v>4.5751290033029521</v>
      </c>
      <c r="AQ151" s="25">
        <f t="shared" si="96"/>
        <v>1682.24</v>
      </c>
      <c r="AR151" s="247">
        <f t="shared" si="96"/>
        <v>10.105573521019593</v>
      </c>
      <c r="AS151" s="26"/>
    </row>
    <row r="152" spans="1:45" ht="15" customHeight="1" thickBot="1" x14ac:dyDescent="0.35">
      <c r="A152" s="11"/>
      <c r="B152" s="11"/>
      <c r="D152" s="11">
        <f>COUNTIF($AE$3:$AE$128,"=proposed")</f>
        <v>6</v>
      </c>
      <c r="E152" s="11">
        <f>SUMIF($AE$3:$AE$128,"=proposed",$E$3:$E$128)/1000</f>
        <v>69.985713696640545</v>
      </c>
      <c r="F152" s="11">
        <f>SUMIF($AE$3:$AE$128,"=proposed",$F$3:$F$128)/1000</f>
        <v>82.2</v>
      </c>
      <c r="G152" s="11"/>
      <c r="H152" s="11"/>
      <c r="I152" t="s">
        <v>135</v>
      </c>
      <c r="J152" s="26">
        <f>MIN(J$58:J$65)</f>
        <v>1.635</v>
      </c>
      <c r="K152" s="26">
        <f t="shared" ref="K152:S152" si="97">MIN(K$58:K$65)</f>
        <v>6.6168450000000005E-3</v>
      </c>
      <c r="L152" s="26">
        <f t="shared" si="97"/>
        <v>0.66166102466999999</v>
      </c>
      <c r="M152" s="246">
        <f t="shared" si="97"/>
        <v>7.6282453467075744</v>
      </c>
      <c r="N152" s="26">
        <f t="shared" si="97"/>
        <v>14.535094986845738</v>
      </c>
      <c r="O152" s="26">
        <f t="shared" si="97"/>
        <v>0.86</v>
      </c>
      <c r="P152" s="26">
        <f t="shared" si="97"/>
        <v>3.4804200000000001E-3</v>
      </c>
      <c r="Q152" s="26">
        <f t="shared" si="97"/>
        <v>0.34804200000000002</v>
      </c>
      <c r="R152" s="246">
        <f t="shared" si="97"/>
        <v>5.7719535084726346</v>
      </c>
      <c r="S152" s="26">
        <f t="shared" si="97"/>
        <v>21.037996273903456</v>
      </c>
      <c r="T152" s="11"/>
      <c r="U152" s="11"/>
      <c r="V152" s="173" t="s">
        <v>243</v>
      </c>
      <c r="W152" s="174"/>
      <c r="X152" s="175"/>
      <c r="Y152" s="176"/>
      <c r="Z152" s="176"/>
      <c r="AA152" s="175"/>
      <c r="AB152" s="177"/>
      <c r="AC152" s="11"/>
      <c r="AD152" s="11"/>
      <c r="AJ152" t="s">
        <v>135</v>
      </c>
      <c r="AK152" s="26">
        <f t="shared" ref="AK152:AR152" si="98">MIN(AK$58:AK$65)</f>
        <v>1694</v>
      </c>
      <c r="AL152" s="26">
        <f t="shared" si="98"/>
        <v>2028.24</v>
      </c>
      <c r="AM152" s="247">
        <f t="shared" si="98"/>
        <v>2.5724537536137038</v>
      </c>
      <c r="AN152" s="247">
        <f t="shared" si="98"/>
        <v>1.8707370894676638</v>
      </c>
      <c r="AO152" s="26">
        <f t="shared" si="98"/>
        <v>3150.65</v>
      </c>
      <c r="AP152" s="247">
        <f t="shared" si="98"/>
        <v>3.0556417144099863</v>
      </c>
      <c r="AQ152" s="25">
        <f t="shared" si="98"/>
        <v>1679.85</v>
      </c>
      <c r="AR152" s="247">
        <f t="shared" si="98"/>
        <v>4.5345761286781761</v>
      </c>
      <c r="AS152" s="26"/>
    </row>
    <row r="153" spans="1:45" ht="15" customHeight="1" x14ac:dyDescent="0.3">
      <c r="A153" s="11"/>
      <c r="B153" s="11"/>
      <c r="E153" s="11" t="s">
        <v>218</v>
      </c>
      <c r="G153" s="11"/>
      <c r="H153" s="11"/>
      <c r="I153" t="s">
        <v>137</v>
      </c>
      <c r="J153" s="26">
        <f t="shared" ref="J153:S153" si="99">wtavg($E58:$E65,J$58:J$65)</f>
        <v>25.582508538388133</v>
      </c>
      <c r="K153" s="26">
        <f t="shared" si="99"/>
        <v>0.10353241205485676</v>
      </c>
      <c r="L153" s="26">
        <f t="shared" si="99"/>
        <v>10.352873891828082</v>
      </c>
      <c r="M153" s="246">
        <f t="shared" si="99"/>
        <v>10.512526103776027</v>
      </c>
      <c r="N153" s="26">
        <f t="shared" si="99"/>
        <v>25.646375158344341</v>
      </c>
      <c r="O153" s="26">
        <f t="shared" si="99"/>
        <v>19.693444493274846</v>
      </c>
      <c r="P153" s="26">
        <f t="shared" si="99"/>
        <v>7.9699369864283304E-2</v>
      </c>
      <c r="Q153" s="26">
        <f t="shared" si="99"/>
        <v>7.9699369864283298</v>
      </c>
      <c r="R153" s="246">
        <f t="shared" si="99"/>
        <v>7.8491180422906561</v>
      </c>
      <c r="S153" s="26">
        <f t="shared" si="99"/>
        <v>33.723618018882398</v>
      </c>
      <c r="T153" s="11"/>
      <c r="U153" s="11"/>
      <c r="V153" s="120" t="str">
        <f>I156</f>
        <v>Max</v>
      </c>
      <c r="W153" s="164">
        <f t="shared" si="88"/>
        <v>17</v>
      </c>
      <c r="X153" s="123">
        <f t="shared" si="89"/>
        <v>42.007914769999999</v>
      </c>
      <c r="Y153" s="9">
        <f t="shared" si="90"/>
        <v>32.392326615848411</v>
      </c>
      <c r="Z153" s="9">
        <f t="shared" si="91"/>
        <v>11.745254232357103</v>
      </c>
      <c r="AA153" s="123">
        <f t="shared" si="92"/>
        <v>29.023155220284643</v>
      </c>
      <c r="AB153" s="161">
        <f t="shared" si="93"/>
        <v>42.809876138757026</v>
      </c>
      <c r="AC153" s="11"/>
      <c r="AD153" s="11"/>
      <c r="AJ153" t="s">
        <v>137</v>
      </c>
      <c r="AK153" s="26">
        <f t="shared" ref="AK153:AR153" si="100">wtavg($E58:$E65,AK$58:AK$65)</f>
        <v>2007.4600739371533</v>
      </c>
      <c r="AL153" s="26">
        <f t="shared" si="100"/>
        <v>2731.0051830417437</v>
      </c>
      <c r="AM153" s="247">
        <f t="shared" si="100"/>
        <v>4.0215018926701367</v>
      </c>
      <c r="AN153" s="247">
        <f t="shared" ref="AN153" si="101">wtavg($E58:$E65,AN$58:AN$65)</f>
        <v>3.0382158723169788</v>
      </c>
      <c r="AO153" s="26">
        <f t="shared" si="100"/>
        <v>3152.3491861509074</v>
      </c>
      <c r="AP153" s="247">
        <f t="shared" si="100"/>
        <v>4.0085596999858257</v>
      </c>
      <c r="AQ153" s="25">
        <f t="shared" si="100"/>
        <v>1681.2092754059217</v>
      </c>
      <c r="AR153" s="247">
        <f t="shared" si="100"/>
        <v>6.2519462469858658</v>
      </c>
      <c r="AS153" s="26"/>
    </row>
    <row r="154" spans="1:45" ht="15" customHeight="1" x14ac:dyDescent="0.3">
      <c r="A154" s="11"/>
      <c r="B154" s="11"/>
      <c r="D154" s="11">
        <f>COUNTIF($AE$3:$AE$128,"=construction")</f>
        <v>17</v>
      </c>
      <c r="E154" s="11">
        <f>SUMIF($AE$3:$AE$128,"=construction",$E$3:$E$128)/1000</f>
        <v>165.21364855248811</v>
      </c>
      <c r="F154" s="11">
        <f>SUMIF($AE$3:$AE$128,"=construction",$F$3:$F$128)/1000</f>
        <v>193.92</v>
      </c>
      <c r="G154" s="11"/>
      <c r="H154" s="11"/>
      <c r="I154" t="s">
        <v>136</v>
      </c>
      <c r="J154" s="26">
        <f>wtstd($E$58:$E$65,J$58:J$65)</f>
        <v>9.9244520634258464</v>
      </c>
      <c r="K154" s="26">
        <f t="shared" ref="K154:S154" si="102">wtstd($E$58:$E$65,K$58:K$65)</f>
        <v>4.0164257500684399E-2</v>
      </c>
      <c r="L154" s="26">
        <f t="shared" si="102"/>
        <v>4.016283254785713</v>
      </c>
      <c r="M154" s="246">
        <f t="shared" si="102"/>
        <v>2.4870209262632375</v>
      </c>
      <c r="N154" s="26">
        <f t="shared" si="102"/>
        <v>5.2504839814744537</v>
      </c>
      <c r="O154" s="26">
        <f t="shared" si="102"/>
        <v>7.9569912884388616</v>
      </c>
      <c r="P154" s="26">
        <f t="shared" si="102"/>
        <v>3.2201943744312074E-2</v>
      </c>
      <c r="Q154" s="26">
        <f t="shared" si="102"/>
        <v>3.2201943744312072</v>
      </c>
      <c r="R154" s="246">
        <f t="shared" si="102"/>
        <v>1.6758802957949033</v>
      </c>
      <c r="S154" s="26">
        <f t="shared" si="102"/>
        <v>6.0768129271162277</v>
      </c>
      <c r="T154" s="11"/>
      <c r="U154" s="11"/>
      <c r="V154" s="120" t="str">
        <f>I157</f>
        <v>Min</v>
      </c>
      <c r="W154" s="164">
        <f t="shared" si="88"/>
        <v>7.6282453467075744</v>
      </c>
      <c r="X154" s="123">
        <f t="shared" si="89"/>
        <v>18.849804727596521</v>
      </c>
      <c r="Y154" s="9">
        <f t="shared" si="90"/>
        <v>14.535094986845738</v>
      </c>
      <c r="Z154" s="9">
        <f t="shared" si="91"/>
        <v>5.7719535084726346</v>
      </c>
      <c r="AA154" s="123">
        <f t="shared" si="92"/>
        <v>14.26280770825417</v>
      </c>
      <c r="AB154" s="161">
        <f t="shared" si="93"/>
        <v>21.037996273903456</v>
      </c>
      <c r="AC154" s="11"/>
      <c r="AD154" s="11"/>
      <c r="AJ154" t="s">
        <v>136</v>
      </c>
      <c r="AK154" s="26">
        <f t="shared" ref="AK154:AR154" si="103">wtstd($E$58:$E$65,AK$58:AK$65)</f>
        <v>355.07942682347715</v>
      </c>
      <c r="AL154" s="26">
        <f t="shared" si="103"/>
        <v>283.86448030373015</v>
      </c>
      <c r="AM154" s="247">
        <f t="shared" si="103"/>
        <v>1.2636923368434865</v>
      </c>
      <c r="AN154" s="247">
        <f t="shared" si="103"/>
        <v>1.0120558689495531</v>
      </c>
      <c r="AO154" s="26">
        <f t="shared" si="103"/>
        <v>1.4750418607405771</v>
      </c>
      <c r="AP154" s="247">
        <f t="shared" si="103"/>
        <v>0.59814021820966778</v>
      </c>
      <c r="AQ154" s="25">
        <f t="shared" si="103"/>
        <v>0.89475889522083185</v>
      </c>
      <c r="AR154" s="247">
        <f t="shared" si="103"/>
        <v>1.4766001574419114</v>
      </c>
      <c r="AS154" s="26"/>
    </row>
    <row r="155" spans="1:45" ht="15" customHeight="1" x14ac:dyDescent="0.3">
      <c r="A155" s="11"/>
      <c r="B155" s="11"/>
      <c r="E155" s="11" t="s">
        <v>595</v>
      </c>
      <c r="G155" s="11"/>
      <c r="I155" s="11" t="s">
        <v>138</v>
      </c>
      <c r="J155" s="26"/>
      <c r="K155" s="26"/>
      <c r="L155" s="26"/>
      <c r="M155" s="246"/>
      <c r="N155" s="26"/>
      <c r="O155" s="26"/>
      <c r="P155" s="26"/>
      <c r="Q155" s="26"/>
      <c r="R155" s="246"/>
      <c r="S155" s="26"/>
      <c r="T155" s="11"/>
      <c r="U155" s="11"/>
      <c r="V155" s="178" t="str">
        <f>I158</f>
        <v>W. Average</v>
      </c>
      <c r="W155" s="168">
        <f t="shared" si="88"/>
        <v>10.512526103776027</v>
      </c>
      <c r="X155" s="169">
        <f t="shared" si="89"/>
        <v>25.977017681460207</v>
      </c>
      <c r="Y155" s="170">
        <f t="shared" si="90"/>
        <v>25.646375158344341</v>
      </c>
      <c r="Z155" s="170">
        <f t="shared" si="91"/>
        <v>7.8491180422906561</v>
      </c>
      <c r="AA155" s="169">
        <f t="shared" si="92"/>
        <v>19.395593043542068</v>
      </c>
      <c r="AB155" s="172">
        <f t="shared" si="93"/>
        <v>33.723618018882398</v>
      </c>
      <c r="AC155" s="11"/>
      <c r="AD155" s="11"/>
      <c r="AE155" s="11"/>
      <c r="AG155" s="11"/>
      <c r="AH155" s="11"/>
      <c r="AI155" s="11"/>
      <c r="AJ155" s="11" t="s">
        <v>138</v>
      </c>
      <c r="AK155" s="26"/>
      <c r="AL155" s="26"/>
      <c r="AM155" s="247"/>
      <c r="AN155" s="247"/>
      <c r="AO155" s="26"/>
      <c r="AP155" s="247"/>
      <c r="AQ155" s="25"/>
      <c r="AR155" s="247"/>
      <c r="AS155" s="26"/>
    </row>
    <row r="156" spans="1:45" ht="15" customHeight="1" thickBot="1" x14ac:dyDescent="0.35">
      <c r="A156" s="11"/>
      <c r="B156" s="11"/>
      <c r="D156" s="11">
        <f>COUNTIF($AE$3:$AE$129,"=completed")</f>
        <v>103</v>
      </c>
      <c r="E156" s="11">
        <f>SUMIF($AE$3:$AE$129,"=completed",$E$3:$E$129)/1000</f>
        <v>412.7275710883294</v>
      </c>
      <c r="F156" s="11">
        <f>SUMIF($AE$3:$AE$129,"=completed",$F$3:$F$129)/1000</f>
        <v>486.03279081970578</v>
      </c>
      <c r="G156" s="11"/>
      <c r="H156" s="11"/>
      <c r="I156" t="s">
        <v>134</v>
      </c>
      <c r="J156" s="26">
        <f>MAX(J$66:J$116)</f>
        <v>200</v>
      </c>
      <c r="K156" s="26">
        <f t="shared" ref="K156:S156" si="104">MAX(K$66:K$116)</f>
        <v>0.80940000000000001</v>
      </c>
      <c r="L156" s="26">
        <f t="shared" si="104"/>
        <v>80.937128400000006</v>
      </c>
      <c r="M156" s="246">
        <f t="shared" si="104"/>
        <v>13.14800901577761</v>
      </c>
      <c r="N156" s="26">
        <f t="shared" si="104"/>
        <v>82.365538258792512</v>
      </c>
      <c r="O156" s="26">
        <f t="shared" si="104"/>
        <v>100.07</v>
      </c>
      <c r="P156" s="26">
        <f t="shared" si="104"/>
        <v>0.40498329</v>
      </c>
      <c r="Q156" s="26">
        <f t="shared" si="104"/>
        <v>40.498328999999998</v>
      </c>
      <c r="R156" s="246">
        <f t="shared" si="104"/>
        <v>8.0055652847746028</v>
      </c>
      <c r="S156" s="26">
        <f t="shared" si="104"/>
        <v>110.70636862740929</v>
      </c>
      <c r="T156" s="11"/>
      <c r="U156" s="11"/>
      <c r="V156" s="120" t="str">
        <f>I159</f>
        <v>SD</v>
      </c>
      <c r="W156" s="164">
        <f t="shared" si="88"/>
        <v>2.4870209262632375</v>
      </c>
      <c r="X156" s="123">
        <f t="shared" si="89"/>
        <v>6.1455625353925019</v>
      </c>
      <c r="Y156" s="9">
        <f t="shared" si="90"/>
        <v>5.2504839814744537</v>
      </c>
      <c r="Z156" s="9">
        <f t="shared" si="91"/>
        <v>1.6758802957949033</v>
      </c>
      <c r="AA156" s="123">
        <f t="shared" si="92"/>
        <v>4.1411903900279228</v>
      </c>
      <c r="AB156" s="161">
        <f t="shared" si="93"/>
        <v>6.0768129271162277</v>
      </c>
      <c r="AC156" s="11"/>
      <c r="AD156" s="11"/>
      <c r="AG156" s="11"/>
      <c r="AH156" s="11"/>
      <c r="AI156" s="11"/>
      <c r="AJ156" t="s">
        <v>134</v>
      </c>
      <c r="AK156" s="26">
        <f t="shared" ref="AK156:AR156" si="105">MAX(AK$66:AK$116)</f>
        <v>1796</v>
      </c>
      <c r="AL156" s="26">
        <f t="shared" si="105"/>
        <v>2172.02</v>
      </c>
      <c r="AM156" s="247">
        <f t="shared" si="105"/>
        <v>6.9300286581421302</v>
      </c>
      <c r="AN156" s="247">
        <f t="shared" si="105"/>
        <v>5.1033441810728712</v>
      </c>
      <c r="AO156" s="26">
        <f t="shared" si="105"/>
        <v>2204.7399999999998</v>
      </c>
      <c r="AP156" s="247">
        <f t="shared" si="105"/>
        <v>5.9712921361286586</v>
      </c>
      <c r="AQ156" s="25">
        <f t="shared" si="105"/>
        <v>1294.68</v>
      </c>
      <c r="AR156" s="247">
        <f t="shared" si="105"/>
        <v>10.169472279758997</v>
      </c>
      <c r="AS156" s="26"/>
    </row>
    <row r="157" spans="1:45" ht="15" customHeight="1" thickBot="1" x14ac:dyDescent="0.35">
      <c r="E157" s="279" t="s">
        <v>958</v>
      </c>
      <c r="H157" s="11"/>
      <c r="I157" t="s">
        <v>135</v>
      </c>
      <c r="J157" s="26">
        <f>MIN(J$66:J$116)</f>
        <v>3.8</v>
      </c>
      <c r="K157" s="26">
        <f t="shared" ref="K157:S157" si="106">MIN(K$66:K$116)</f>
        <v>1.5378600000000001E-2</v>
      </c>
      <c r="L157" s="26">
        <f t="shared" si="106"/>
        <v>1.5378054396</v>
      </c>
      <c r="M157" s="246">
        <f t="shared" si="106"/>
        <v>3</v>
      </c>
      <c r="N157" s="26">
        <f t="shared" si="106"/>
        <v>18.793462529563342</v>
      </c>
      <c r="O157" s="26">
        <f t="shared" si="106"/>
        <v>2.5</v>
      </c>
      <c r="P157" s="26">
        <f t="shared" si="106"/>
        <v>1.0117500000000001E-2</v>
      </c>
      <c r="Q157" s="26">
        <f t="shared" si="106"/>
        <v>1.0117499999999999</v>
      </c>
      <c r="R157" s="246">
        <f t="shared" si="106"/>
        <v>2.2320000000000002</v>
      </c>
      <c r="S157" s="26">
        <f t="shared" si="106"/>
        <v>30.865604861947556</v>
      </c>
      <c r="V157" s="173" t="s">
        <v>138</v>
      </c>
      <c r="W157" s="174"/>
      <c r="X157" s="175"/>
      <c r="Y157" s="176"/>
      <c r="Z157" s="176"/>
      <c r="AA157" s="175"/>
      <c r="AB157" s="177"/>
      <c r="AC157" s="11"/>
      <c r="AD157" s="11"/>
      <c r="AG157" s="11"/>
      <c r="AH157" s="11"/>
      <c r="AJ157" t="s">
        <v>135</v>
      </c>
      <c r="AK157" s="26">
        <f t="shared" ref="AK157:AR157" si="107">MIN(AK$66:AK$116)</f>
        <v>1191</v>
      </c>
      <c r="AL157" s="26">
        <f t="shared" si="107"/>
        <v>1352.9</v>
      </c>
      <c r="AM157" s="247">
        <f t="shared" si="107"/>
        <v>1.7513038867775303</v>
      </c>
      <c r="AN157" s="247">
        <f t="shared" si="107"/>
        <v>1.5985002231506311</v>
      </c>
      <c r="AO157" s="26">
        <f t="shared" si="107"/>
        <v>1894.92</v>
      </c>
      <c r="AP157" s="247">
        <f t="shared" si="107"/>
        <v>1.3850912581133592</v>
      </c>
      <c r="AQ157" s="25">
        <f t="shared" si="107"/>
        <v>1155.58</v>
      </c>
      <c r="AR157" s="247">
        <f t="shared" si="107"/>
        <v>2.3625720279235374</v>
      </c>
      <c r="AS157" s="26"/>
    </row>
    <row r="158" spans="1:45" ht="15" customHeight="1" thickBot="1" x14ac:dyDescent="0.35">
      <c r="D158" s="280">
        <f>D154+D156</f>
        <v>120</v>
      </c>
      <c r="E158" s="280">
        <f>E154+E156</f>
        <v>577.94121964081751</v>
      </c>
      <c r="F158" s="11">
        <f>F154+F156</f>
        <v>679.9527908197058</v>
      </c>
      <c r="I158" t="s">
        <v>137</v>
      </c>
      <c r="J158" s="26">
        <f>wtavg($E66:$E116,J$66:J$116)</f>
        <v>77.926048948130642</v>
      </c>
      <c r="K158" s="26">
        <f t="shared" ref="K158:S158" si="108">wtavg($E66:$E116,K$66:K$116)</f>
        <v>0.31536672009308475</v>
      </c>
      <c r="L158" s="26">
        <f t="shared" si="108"/>
        <v>31.535553147097673</v>
      </c>
      <c r="M158" s="246">
        <f t="shared" si="108"/>
        <v>7.6387893428383045</v>
      </c>
      <c r="N158" s="26">
        <f t="shared" si="108"/>
        <v>35.945734345687107</v>
      </c>
      <c r="O158" s="26">
        <f t="shared" si="108"/>
        <v>53.827481354445659</v>
      </c>
      <c r="P158" s="26">
        <f t="shared" si="108"/>
        <v>0.21783981704144162</v>
      </c>
      <c r="Q158" s="26">
        <f t="shared" si="108"/>
        <v>21.783960553532314</v>
      </c>
      <c r="R158" s="246">
        <f t="shared" si="108"/>
        <v>5.4891203975884473</v>
      </c>
      <c r="S158" s="26">
        <f t="shared" si="108"/>
        <v>49.000305208219842</v>
      </c>
      <c r="V158" s="120" t="str">
        <f>I151</f>
        <v>Max</v>
      </c>
      <c r="W158" s="164">
        <f t="shared" si="88"/>
        <v>13.14800901577761</v>
      </c>
      <c r="X158" s="123">
        <f t="shared" si="89"/>
        <v>32.489437772351614</v>
      </c>
      <c r="Y158" s="9">
        <f t="shared" si="90"/>
        <v>82.365538258792512</v>
      </c>
      <c r="Z158" s="9">
        <f t="shared" si="91"/>
        <v>8.0055652847746028</v>
      </c>
      <c r="AA158" s="123">
        <f t="shared" si="92"/>
        <v>19.782182598146015</v>
      </c>
      <c r="AB158" s="161">
        <f t="shared" si="93"/>
        <v>110.70636862740929</v>
      </c>
      <c r="AC158" s="11"/>
      <c r="AD158" s="11"/>
      <c r="AG158" s="11"/>
      <c r="AH158" s="11"/>
      <c r="AJ158" t="s">
        <v>137</v>
      </c>
      <c r="AK158" s="26">
        <f t="shared" ref="AK158:AR158" si="109">wtavg($E66:$E116,AK$66:AK$116)</f>
        <v>1562.765608431409</v>
      </c>
      <c r="AL158" s="26">
        <f t="shared" si="109"/>
        <v>1726.467171190277</v>
      </c>
      <c r="AM158" s="247">
        <f t="shared" si="109"/>
        <v>4.4289941380902258</v>
      </c>
      <c r="AN158" s="247">
        <f t="shared" ref="AN158" si="110">wtavg($E66:$E116,AN$66:AN$116)</f>
        <v>3.2331670711942553</v>
      </c>
      <c r="AO158" s="26">
        <f t="shared" si="109"/>
        <v>2175.9816364114836</v>
      </c>
      <c r="AP158" s="247">
        <f t="shared" si="109"/>
        <v>3.5041536412911016</v>
      </c>
      <c r="AQ158" s="25">
        <f t="shared" si="109"/>
        <v>1281.6033957447812</v>
      </c>
      <c r="AR158" s="247">
        <f t="shared" si="109"/>
        <v>5.9505609796185217</v>
      </c>
      <c r="AS158" s="26"/>
    </row>
    <row r="159" spans="1:45" ht="15" customHeight="1" x14ac:dyDescent="0.3">
      <c r="I159" t="s">
        <v>136</v>
      </c>
      <c r="J159" s="26">
        <f>wtstd($E$66:$E$116,J$66:J$116)</f>
        <v>15.702064846096556</v>
      </c>
      <c r="K159" s="26">
        <f t="shared" ref="K159:S159" si="111">wtstd($E$66:$E$116,K$66:K$116)</f>
        <v>6.3546256432152767E-2</v>
      </c>
      <c r="L159" s="26">
        <f t="shared" si="111"/>
        <v>6.3544001929682166</v>
      </c>
      <c r="M159" s="246">
        <f t="shared" si="111"/>
        <v>0.64858823751538885</v>
      </c>
      <c r="N159" s="26">
        <f t="shared" si="111"/>
        <v>3.762692178206708</v>
      </c>
      <c r="O159" s="26">
        <f t="shared" si="111"/>
        <v>10.44688552776112</v>
      </c>
      <c r="P159" s="26">
        <f t="shared" si="111"/>
        <v>4.227854573084925E-2</v>
      </c>
      <c r="Q159" s="26">
        <f t="shared" si="111"/>
        <v>4.227858877760772</v>
      </c>
      <c r="R159" s="246">
        <f t="shared" si="111"/>
        <v>0.43193860335572687</v>
      </c>
      <c r="S159" s="26">
        <f t="shared" si="111"/>
        <v>5.2942094888122551</v>
      </c>
      <c r="V159" s="120" t="str">
        <f>I152</f>
        <v>Min</v>
      </c>
      <c r="W159" s="164">
        <f t="shared" si="88"/>
        <v>3</v>
      </c>
      <c r="X159" s="123">
        <f t="shared" si="89"/>
        <v>7.4131614299999997</v>
      </c>
      <c r="Y159" s="9">
        <f t="shared" si="90"/>
        <v>18.793462529563342</v>
      </c>
      <c r="Z159" s="9">
        <f t="shared" si="91"/>
        <v>2.2320000000000002</v>
      </c>
      <c r="AA159" s="123">
        <f t="shared" si="92"/>
        <v>5.51539210392</v>
      </c>
      <c r="AB159" s="161">
        <f t="shared" si="93"/>
        <v>30.865604861947556</v>
      </c>
      <c r="AC159" s="11"/>
      <c r="AD159" s="11"/>
      <c r="AG159" s="11"/>
      <c r="AH159" s="11"/>
      <c r="AJ159" t="s">
        <v>136</v>
      </c>
      <c r="AK159" s="26">
        <f t="shared" ref="AK159:AR159" si="112">wtstd($E$66:$E$116,AK$66:AK$116)</f>
        <v>116.87959187241422</v>
      </c>
      <c r="AL159" s="26">
        <f t="shared" si="112"/>
        <v>67.264105759306545</v>
      </c>
      <c r="AM159" s="247">
        <f t="shared" si="112"/>
        <v>0.32428009087875642</v>
      </c>
      <c r="AN159" s="247">
        <f t="shared" si="112"/>
        <v>0.25708044533693875</v>
      </c>
      <c r="AO159" s="26">
        <f t="shared" si="112"/>
        <v>16.09977740428408</v>
      </c>
      <c r="AP159" s="247">
        <f t="shared" si="112"/>
        <v>0.29207725818101943</v>
      </c>
      <c r="AQ159" s="25">
        <f t="shared" si="112"/>
        <v>6.7660996514436702</v>
      </c>
      <c r="AR159" s="247">
        <f t="shared" si="112"/>
        <v>0.49735016201313287</v>
      </c>
      <c r="AS159" s="26"/>
    </row>
    <row r="160" spans="1:45" ht="15" customHeight="1" x14ac:dyDescent="0.3">
      <c r="E160" t="s">
        <v>246</v>
      </c>
      <c r="I160" t="s">
        <v>203</v>
      </c>
      <c r="J160" s="26"/>
      <c r="K160" s="26"/>
      <c r="L160" s="26"/>
      <c r="M160" s="246"/>
      <c r="N160" s="26"/>
      <c r="O160" s="26"/>
      <c r="P160" s="26"/>
      <c r="Q160" s="26"/>
      <c r="R160" s="246"/>
      <c r="S160" s="26"/>
      <c r="V160" s="178" t="str">
        <f>I153</f>
        <v>W. Average</v>
      </c>
      <c r="W160" s="168">
        <f t="shared" si="88"/>
        <v>7.6387893428383045</v>
      </c>
      <c r="X160" s="169">
        <f t="shared" si="89"/>
        <v>18.875859509407988</v>
      </c>
      <c r="Y160" s="170">
        <f t="shared" si="90"/>
        <v>35.945734345687107</v>
      </c>
      <c r="Z160" s="170">
        <f t="shared" si="91"/>
        <v>5.4891203975884473</v>
      </c>
      <c r="AA160" s="169">
        <f t="shared" si="92"/>
        <v>13.563911872009648</v>
      </c>
      <c r="AB160" s="172">
        <f t="shared" si="93"/>
        <v>49.000305208219842</v>
      </c>
      <c r="AC160" s="11"/>
      <c r="AD160" s="11"/>
      <c r="AG160" s="11"/>
      <c r="AH160" s="11"/>
      <c r="AJ160" t="s">
        <v>203</v>
      </c>
      <c r="AK160" s="26"/>
      <c r="AL160" s="26"/>
      <c r="AM160" s="247"/>
      <c r="AN160" s="247"/>
      <c r="AO160" s="26"/>
      <c r="AP160" s="247"/>
      <c r="AQ160" s="25"/>
      <c r="AR160" s="247"/>
      <c r="AS160" s="26"/>
    </row>
    <row r="161" spans="4:45" ht="15" customHeight="1" thickBot="1" x14ac:dyDescent="0.35">
      <c r="D161">
        <f>SUM(D152:D156)</f>
        <v>126</v>
      </c>
      <c r="E161">
        <f>E152+E154+E156</f>
        <v>647.92693333745808</v>
      </c>
      <c r="I161" t="s">
        <v>134</v>
      </c>
      <c r="J161" s="26">
        <f t="shared" ref="J161:S161" si="113">MAX(J$83:J$128)</f>
        <v>200</v>
      </c>
      <c r="K161" s="26">
        <f t="shared" si="113"/>
        <v>0.80940000000000001</v>
      </c>
      <c r="L161" s="26">
        <f t="shared" si="113"/>
        <v>80.937128400000006</v>
      </c>
      <c r="M161" s="246">
        <f t="shared" si="113"/>
        <v>17.338232438241441</v>
      </c>
      <c r="N161" s="26">
        <f t="shared" si="113"/>
        <v>82.365538258792512</v>
      </c>
      <c r="O161" s="26">
        <f t="shared" si="113"/>
        <v>100.07</v>
      </c>
      <c r="P161" s="26">
        <f t="shared" si="113"/>
        <v>0.40498329</v>
      </c>
      <c r="Q161" s="26">
        <f t="shared" si="113"/>
        <v>40.498328999999998</v>
      </c>
      <c r="R161" s="246">
        <f t="shared" si="113"/>
        <v>11.185956411768672</v>
      </c>
      <c r="S161" s="26">
        <f t="shared" si="113"/>
        <v>110.70636862740929</v>
      </c>
      <c r="V161" s="120" t="str">
        <f>I154</f>
        <v>SD</v>
      </c>
      <c r="W161" s="164">
        <f t="shared" si="88"/>
        <v>0.64858823751538885</v>
      </c>
      <c r="X161" s="123">
        <f t="shared" si="89"/>
        <v>1.6026964354335864</v>
      </c>
      <c r="Y161" s="9">
        <f t="shared" si="90"/>
        <v>3.762692178206708</v>
      </c>
      <c r="Z161" s="9">
        <f t="shared" si="91"/>
        <v>0.43193860335572687</v>
      </c>
      <c r="AA161" s="123">
        <f t="shared" si="92"/>
        <v>1.0673435315082476</v>
      </c>
      <c r="AB161" s="161">
        <f t="shared" si="93"/>
        <v>5.2942094888122551</v>
      </c>
      <c r="AC161" s="11"/>
      <c r="AD161" s="11"/>
      <c r="AG161" s="11"/>
      <c r="AH161" s="11"/>
      <c r="AJ161" t="s">
        <v>134</v>
      </c>
      <c r="AK161" s="26">
        <f t="shared" ref="AK161:AR161" si="114">MAX(AK$83:AK$128)</f>
        <v>1761</v>
      </c>
      <c r="AL161" s="26">
        <f t="shared" si="114"/>
        <v>2172.02</v>
      </c>
      <c r="AM161" s="247">
        <f t="shared" si="114"/>
        <v>6.1746294735402225</v>
      </c>
      <c r="AN161" s="247">
        <f t="shared" si="114"/>
        <v>4.8463760912112832</v>
      </c>
      <c r="AO161" s="26">
        <f t="shared" si="114"/>
        <v>2204.7399999999998</v>
      </c>
      <c r="AP161" s="247">
        <f t="shared" si="114"/>
        <v>5.9712921361286586</v>
      </c>
      <c r="AQ161" s="25">
        <f t="shared" si="114"/>
        <v>1294.68</v>
      </c>
      <c r="AR161" s="247">
        <f t="shared" si="114"/>
        <v>10.169472279758997</v>
      </c>
      <c r="AS161" s="26"/>
    </row>
    <row r="162" spans="4:45" ht="15" customHeight="1" thickBot="1" x14ac:dyDescent="0.35">
      <c r="I162" t="s">
        <v>135</v>
      </c>
      <c r="J162" s="26">
        <f t="shared" ref="J162:S162" si="115">MIN(J$83:J$128)</f>
        <v>8</v>
      </c>
      <c r="K162" s="26">
        <f t="shared" si="115"/>
        <v>3.2376000000000002E-2</v>
      </c>
      <c r="L162" s="26">
        <f t="shared" si="115"/>
        <v>3.2374851360000001</v>
      </c>
      <c r="M162" s="246">
        <f t="shared" si="115"/>
        <v>3</v>
      </c>
      <c r="N162" s="26">
        <f t="shared" si="115"/>
        <v>14.251545862966855</v>
      </c>
      <c r="O162" s="26">
        <f t="shared" si="115"/>
        <v>4.7846000000000002</v>
      </c>
      <c r="P162" s="26">
        <f t="shared" si="115"/>
        <v>1.9363276200000001E-2</v>
      </c>
      <c r="Q162" s="26">
        <f t="shared" si="115"/>
        <v>1.9363276200000001</v>
      </c>
      <c r="R162" s="246">
        <f t="shared" si="115"/>
        <v>2.2320000000000002</v>
      </c>
      <c r="S162" s="26">
        <f t="shared" si="115"/>
        <v>22.089896087598625</v>
      </c>
      <c r="V162" s="173" t="str">
        <f t="shared" si="83"/>
        <v>unknown</v>
      </c>
      <c r="W162" s="174"/>
      <c r="X162" s="175"/>
      <c r="Y162" s="176"/>
      <c r="Z162" s="176"/>
      <c r="AA162" s="175"/>
      <c r="AB162" s="177"/>
      <c r="AC162" s="11"/>
      <c r="AD162" s="11"/>
      <c r="AG162" s="11"/>
      <c r="AH162" s="11"/>
      <c r="AJ162" t="s">
        <v>135</v>
      </c>
      <c r="AK162" s="26">
        <f t="shared" ref="AK162:AR162" si="116">MIN(AK$83:AK$128)</f>
        <v>1191</v>
      </c>
      <c r="AL162" s="26">
        <f t="shared" si="116"/>
        <v>1352.9</v>
      </c>
      <c r="AM162" s="247">
        <f t="shared" si="116"/>
        <v>1.7513038867775303</v>
      </c>
      <c r="AN162" s="247">
        <f t="shared" si="116"/>
        <v>1.6320561567709859</v>
      </c>
      <c r="AO162" s="26">
        <f t="shared" si="116"/>
        <v>1894.92</v>
      </c>
      <c r="AP162" s="247">
        <f t="shared" si="116"/>
        <v>1.3850912581133592</v>
      </c>
      <c r="AQ162" s="25">
        <f t="shared" si="116"/>
        <v>1155.58</v>
      </c>
      <c r="AR162" s="247">
        <f t="shared" si="116"/>
        <v>2.3625720279235374</v>
      </c>
      <c r="AS162" s="26"/>
    </row>
    <row r="163" spans="4:45" ht="15" customHeight="1" x14ac:dyDescent="0.3">
      <c r="I163" t="s">
        <v>137</v>
      </c>
      <c r="J163" s="26">
        <f t="shared" ref="J163:S163" si="117">wtavg($E83:$E128,J$83:J$128)</f>
        <v>95.889914329430425</v>
      </c>
      <c r="K163" s="26">
        <f t="shared" si="117"/>
        <v>0.38806648329120486</v>
      </c>
      <c r="L163" s="26">
        <f t="shared" si="117"/>
        <v>38.805271541730541</v>
      </c>
      <c r="M163" s="246">
        <f t="shared" si="117"/>
        <v>8.064444089149891</v>
      </c>
      <c r="N163" s="26">
        <f t="shared" si="117"/>
        <v>34.639099621937348</v>
      </c>
      <c r="O163" s="26">
        <f t="shared" si="117"/>
        <v>56.870371032581076</v>
      </c>
      <c r="P163" s="26">
        <f t="shared" si="117"/>
        <v>0.23015439156885567</v>
      </c>
      <c r="Q163" s="26">
        <f t="shared" si="117"/>
        <v>23.015416961527816</v>
      </c>
      <c r="R163" s="246">
        <f t="shared" si="117"/>
        <v>5.6625838346923354</v>
      </c>
      <c r="S163" s="26">
        <f t="shared" si="117"/>
        <v>47.771550326162114</v>
      </c>
      <c r="V163" s="120" t="str">
        <f t="shared" si="83"/>
        <v>Max</v>
      </c>
      <c r="W163" s="164">
        <f t="shared" si="88"/>
        <v>17.338232438241441</v>
      </c>
      <c r="X163" s="123">
        <f t="shared" si="89"/>
        <v>42.8437053251821</v>
      </c>
      <c r="Y163" s="9">
        <f t="shared" si="90"/>
        <v>82.365538258792512</v>
      </c>
      <c r="Z163" s="9">
        <f t="shared" si="91"/>
        <v>11.185956411768672</v>
      </c>
      <c r="AA163" s="123">
        <f t="shared" si="92"/>
        <v>27.641100209794903</v>
      </c>
      <c r="AB163" s="161">
        <f t="shared" si="93"/>
        <v>110.70636862740929</v>
      </c>
      <c r="AC163" s="11"/>
      <c r="AD163" s="11"/>
      <c r="AG163" s="11"/>
      <c r="AH163" s="11"/>
      <c r="AJ163" t="s">
        <v>137</v>
      </c>
      <c r="AK163" s="26">
        <f t="shared" ref="AK163:AR163" si="118">wtavg($E83:$E128,AK$83:AK$128)</f>
        <v>1567.1416652742723</v>
      </c>
      <c r="AL163" s="26">
        <f t="shared" si="118"/>
        <v>1721.6552686572588</v>
      </c>
      <c r="AM163" s="247">
        <f t="shared" si="118"/>
        <v>4.4817267375958609</v>
      </c>
      <c r="AN163" s="247">
        <f t="shared" ref="AN163" si="119">wtavg($E83:$E128,AN$83:AN$128)</f>
        <v>3.2790670475572647</v>
      </c>
      <c r="AO163" s="26">
        <f t="shared" si="118"/>
        <v>2174.8199827670619</v>
      </c>
      <c r="AP163" s="247">
        <f t="shared" si="118"/>
        <v>3.5515152896209239</v>
      </c>
      <c r="AQ163" s="25">
        <f t="shared" si="118"/>
        <v>1281.2140665830304</v>
      </c>
      <c r="AR163" s="247">
        <f t="shared" si="118"/>
        <v>6.0298295819789862</v>
      </c>
      <c r="AS163" s="26"/>
    </row>
    <row r="164" spans="4:45" ht="15" customHeight="1" x14ac:dyDescent="0.3">
      <c r="I164" t="s">
        <v>136</v>
      </c>
      <c r="J164" s="26">
        <f t="shared" ref="J164:S164" si="120">wtstd($E$83:$E$128,J$83:J$128)</f>
        <v>17.967436335614892</v>
      </c>
      <c r="K164" s="26">
        <f t="shared" si="120"/>
        <v>7.2714214850233466E-2</v>
      </c>
      <c r="L164" s="26">
        <f t="shared" si="120"/>
        <v>7.2711635085724406</v>
      </c>
      <c r="M164" s="246">
        <f t="shared" si="120"/>
        <v>0.78731326146012237</v>
      </c>
      <c r="N164" s="26">
        <f t="shared" si="120"/>
        <v>4.0950005210563782</v>
      </c>
      <c r="O164" s="26">
        <f t="shared" si="120"/>
        <v>11.595325549313413</v>
      </c>
      <c r="P164" s="26">
        <f t="shared" si="120"/>
        <v>4.6926282498071382E-2</v>
      </c>
      <c r="Q164" s="26">
        <f t="shared" si="120"/>
        <v>4.6926345886117957</v>
      </c>
      <c r="R164" s="246">
        <f t="shared" si="120"/>
        <v>0.56718703250170688</v>
      </c>
      <c r="S164" s="26">
        <f t="shared" si="120"/>
        <v>6.16318660930476</v>
      </c>
      <c r="V164" s="120" t="str">
        <f t="shared" si="83"/>
        <v>Min</v>
      </c>
      <c r="W164" s="164">
        <f t="shared" si="88"/>
        <v>3</v>
      </c>
      <c r="X164" s="123">
        <f t="shared" si="89"/>
        <v>7.4131614299999997</v>
      </c>
      <c r="Y164" s="9">
        <f t="shared" si="90"/>
        <v>14.251545862966855</v>
      </c>
      <c r="Z164" s="9">
        <f t="shared" si="91"/>
        <v>2.2320000000000002</v>
      </c>
      <c r="AA164" s="123">
        <f t="shared" si="92"/>
        <v>5.51539210392</v>
      </c>
      <c r="AB164" s="161">
        <f t="shared" si="93"/>
        <v>22.089896087598625</v>
      </c>
      <c r="AC164" s="11"/>
      <c r="AD164" s="11"/>
      <c r="AG164" s="11"/>
      <c r="AH164" s="11"/>
      <c r="AJ164" t="s">
        <v>136</v>
      </c>
      <c r="AK164" s="26">
        <f t="shared" ref="AK164:AR164" si="121">wtstd($E$83:$E$128,AK$83:AK$128)</f>
        <v>176.92164270476911</v>
      </c>
      <c r="AL164" s="26">
        <f t="shared" si="121"/>
        <v>82.517521208584441</v>
      </c>
      <c r="AM164" s="247">
        <f t="shared" si="121"/>
        <v>0.38235720386194616</v>
      </c>
      <c r="AN164" s="247">
        <f t="shared" si="121"/>
        <v>0.29753042696472864</v>
      </c>
      <c r="AO164" s="26">
        <f t="shared" si="121"/>
        <v>20.405179665227738</v>
      </c>
      <c r="AP164" s="247">
        <f t="shared" si="121"/>
        <v>0.35720998099441659</v>
      </c>
      <c r="AQ164" s="25">
        <f t="shared" si="121"/>
        <v>8.6011136731070241</v>
      </c>
      <c r="AR164" s="247">
        <f t="shared" si="121"/>
        <v>0.60835857364845936</v>
      </c>
      <c r="AS164" s="26"/>
    </row>
    <row r="165" spans="4:45" ht="15" customHeight="1" x14ac:dyDescent="0.3">
      <c r="I165" t="s">
        <v>230</v>
      </c>
      <c r="M165" s="10"/>
      <c r="R165" s="10"/>
      <c r="V165" s="178" t="str">
        <f t="shared" si="83"/>
        <v>W. Average</v>
      </c>
      <c r="W165" s="168">
        <f t="shared" si="88"/>
        <v>8.064444089149891</v>
      </c>
      <c r="X165" s="169">
        <f t="shared" si="89"/>
        <v>19.927675292025818</v>
      </c>
      <c r="Y165" s="170">
        <f t="shared" si="90"/>
        <v>34.639099621937348</v>
      </c>
      <c r="Z165" s="170">
        <f t="shared" si="91"/>
        <v>5.6625838346923354</v>
      </c>
      <c r="AA165" s="169">
        <f t="shared" si="92"/>
        <v>13.992549359160906</v>
      </c>
      <c r="AB165" s="172">
        <f t="shared" si="93"/>
        <v>47.771550326162114</v>
      </c>
      <c r="AC165" s="11"/>
      <c r="AD165" s="11"/>
      <c r="AG165" s="11"/>
      <c r="AH165" s="11"/>
      <c r="AJ165" t="s">
        <v>230</v>
      </c>
      <c r="AM165" s="247"/>
      <c r="AN165" s="247"/>
      <c r="AP165" s="247"/>
      <c r="AQ165" s="1"/>
      <c r="AR165" s="247"/>
    </row>
    <row r="166" spans="4:45" ht="15" customHeight="1" x14ac:dyDescent="0.3">
      <c r="I166" t="s">
        <v>134</v>
      </c>
      <c r="J166" s="26">
        <f>MAX(J$3:J$117)</f>
        <v>212</v>
      </c>
      <c r="K166" s="26">
        <f t="shared" ref="K166:S166" si="122">MAX(K$3:K$117)</f>
        <v>0.85796400000000006</v>
      </c>
      <c r="L166" s="26">
        <f t="shared" si="122"/>
        <v>85.793356103999997</v>
      </c>
      <c r="M166" s="26">
        <f t="shared" si="122"/>
        <v>17</v>
      </c>
      <c r="N166" s="26">
        <f t="shared" si="122"/>
        <v>82.365538258792512</v>
      </c>
      <c r="O166" s="26">
        <f t="shared" si="122"/>
        <v>116.5</v>
      </c>
      <c r="P166" s="26">
        <f t="shared" si="122"/>
        <v>0.47147550000000005</v>
      </c>
      <c r="Q166" s="26">
        <f t="shared" si="122"/>
        <v>47.147550000000003</v>
      </c>
      <c r="R166" s="26">
        <f t="shared" si="122"/>
        <v>11.745254232357103</v>
      </c>
      <c r="S166" s="26">
        <f t="shared" si="122"/>
        <v>110.70636862740929</v>
      </c>
      <c r="T166" s="59">
        <f>M166-M167</f>
        <v>7.2605763017051643</v>
      </c>
      <c r="U166" s="59">
        <f>R166-R167</f>
        <v>4.7018589015384276</v>
      </c>
      <c r="V166" s="120" t="str">
        <f t="shared" si="83"/>
        <v>SD</v>
      </c>
      <c r="W166" s="164">
        <f t="shared" si="88"/>
        <v>0.78731326146012237</v>
      </c>
      <c r="X166" s="123">
        <f t="shared" si="89"/>
        <v>1.9454934343945616</v>
      </c>
      <c r="Y166" s="9">
        <f t="shared" si="90"/>
        <v>4.0950005210563782</v>
      </c>
      <c r="Z166" s="9">
        <f t="shared" si="91"/>
        <v>0.56718703250170688</v>
      </c>
      <c r="AA166" s="123">
        <f t="shared" si="92"/>
        <v>1.4015496776459366</v>
      </c>
      <c r="AB166" s="161">
        <f t="shared" si="93"/>
        <v>6.16318660930476</v>
      </c>
      <c r="AC166" s="11"/>
      <c r="AD166" s="11"/>
      <c r="AG166" s="11"/>
      <c r="AH166" s="11"/>
      <c r="AJ166" t="s">
        <v>134</v>
      </c>
      <c r="AK166" s="26">
        <f t="shared" ref="AK166:AR166" si="123">MAX(AK$3:AK$128)</f>
        <v>2528</v>
      </c>
      <c r="AL166" s="26">
        <f t="shared" si="123"/>
        <v>3085.39</v>
      </c>
      <c r="AM166" s="247">
        <f t="shared" si="123"/>
        <v>7.106964754790579</v>
      </c>
      <c r="AN166" s="247">
        <f t="shared" si="123"/>
        <v>5.7908601705701015</v>
      </c>
      <c r="AO166" s="26">
        <f t="shared" si="123"/>
        <v>3154.59</v>
      </c>
      <c r="AP166" s="247">
        <f t="shared" si="123"/>
        <v>5.9712921361286586</v>
      </c>
      <c r="AQ166" s="25">
        <f t="shared" si="123"/>
        <v>1682.24</v>
      </c>
      <c r="AR166" s="247">
        <f t="shared" si="123"/>
        <v>10.169472279758997</v>
      </c>
      <c r="AS166" s="26"/>
    </row>
    <row r="167" spans="4:45" s="260" customFormat="1" ht="15" customHeight="1" x14ac:dyDescent="0.3">
      <c r="J167" s="26"/>
      <c r="K167" s="26"/>
      <c r="L167" s="26"/>
      <c r="M167" s="26">
        <f>PERCENTILE(M3:M117,0.75)</f>
        <v>9.7394236982948357</v>
      </c>
      <c r="N167" s="26"/>
      <c r="O167" s="26"/>
      <c r="P167" s="26"/>
      <c r="Q167" s="26"/>
      <c r="R167" s="26">
        <f>PERCENTILE(R3:R117,0.75)</f>
        <v>7.0433953308186759</v>
      </c>
      <c r="S167" s="26"/>
      <c r="T167" s="59">
        <f>M167-M168</f>
        <v>1.5201118632752824</v>
      </c>
      <c r="U167" s="59">
        <f t="shared" ref="U167:U168" si="124">R167-R168</f>
        <v>1.0394141793756999</v>
      </c>
      <c r="V167" s="120"/>
      <c r="W167" s="164"/>
      <c r="X167" s="123"/>
      <c r="Y167" s="9"/>
      <c r="Z167" s="9"/>
      <c r="AA167" s="123"/>
      <c r="AB167" s="161"/>
      <c r="AC167" s="11"/>
      <c r="AD167" s="11"/>
      <c r="AG167" s="11"/>
      <c r="AH167" s="11"/>
      <c r="AK167" s="26"/>
      <c r="AL167" s="26"/>
      <c r="AM167" s="247"/>
      <c r="AN167" s="247"/>
      <c r="AO167" s="26"/>
      <c r="AP167" s="247"/>
      <c r="AQ167" s="25"/>
      <c r="AR167" s="247"/>
      <c r="AS167" s="26"/>
    </row>
    <row r="168" spans="4:45" s="260" customFormat="1" ht="15" customHeight="1" x14ac:dyDescent="0.3">
      <c r="J168" s="26"/>
      <c r="K168" s="26"/>
      <c r="L168" s="26"/>
      <c r="M168" s="26">
        <f>AVERAGE(M$3:M$117)</f>
        <v>8.2193118350195533</v>
      </c>
      <c r="N168" s="277">
        <f>M168-M171</f>
        <v>-4.3654502893634373E-2</v>
      </c>
      <c r="O168" s="26"/>
      <c r="P168" s="26"/>
      <c r="Q168" s="26"/>
      <c r="R168" s="26">
        <f>AVERAGE(R3:R117)</f>
        <v>6.0039811514429759</v>
      </c>
      <c r="S168" s="277">
        <f>R168-R171</f>
        <v>6.648279792100098E-2</v>
      </c>
      <c r="T168" s="59">
        <f>M168-M169</f>
        <v>1.7924359748297896</v>
      </c>
      <c r="U168" s="59">
        <f t="shared" si="124"/>
        <v>1.2444557282072664</v>
      </c>
      <c r="V168" s="120"/>
      <c r="W168" s="164"/>
      <c r="X168" s="123"/>
      <c r="Y168" s="9"/>
      <c r="Z168" s="9"/>
      <c r="AA168" s="123"/>
      <c r="AB168" s="161"/>
      <c r="AC168" s="11"/>
      <c r="AD168" s="11"/>
      <c r="AG168" s="11"/>
      <c r="AH168" s="11"/>
      <c r="AK168" s="26"/>
      <c r="AL168" s="26"/>
      <c r="AM168" s="247"/>
      <c r="AN168" s="247"/>
      <c r="AO168" s="26"/>
      <c r="AP168" s="247"/>
      <c r="AQ168" s="25"/>
      <c r="AR168" s="247"/>
      <c r="AS168" s="26"/>
    </row>
    <row r="169" spans="4:45" s="260" customFormat="1" ht="15" customHeight="1" thickBot="1" x14ac:dyDescent="0.35">
      <c r="J169" s="26"/>
      <c r="K169" s="26"/>
      <c r="L169" s="26"/>
      <c r="M169" s="26">
        <f>PERCENTILE(M3:M117,0.25)</f>
        <v>6.4268758601897638</v>
      </c>
      <c r="N169" s="26"/>
      <c r="O169" s="26"/>
      <c r="P169" s="26"/>
      <c r="Q169" s="26"/>
      <c r="R169" s="26">
        <f>PERCENTILE(R3:R117,0.25)</f>
        <v>4.7595254232357096</v>
      </c>
      <c r="S169" s="26"/>
      <c r="T169" s="59">
        <f>M169</f>
        <v>6.4268758601897638</v>
      </c>
      <c r="U169" s="59">
        <f>R169</f>
        <v>4.7595254232357096</v>
      </c>
      <c r="V169" s="120"/>
      <c r="W169" s="164"/>
      <c r="X169" s="123"/>
      <c r="Y169" s="9"/>
      <c r="Z169" s="9"/>
      <c r="AA169" s="123"/>
      <c r="AB169" s="161"/>
      <c r="AC169" s="11"/>
      <c r="AD169" s="11"/>
      <c r="AG169" s="11"/>
      <c r="AH169" s="11"/>
      <c r="AK169" s="26"/>
      <c r="AL169" s="26"/>
      <c r="AM169" s="247"/>
      <c r="AN169" s="247"/>
      <c r="AO169" s="26"/>
      <c r="AP169" s="247"/>
      <c r="AQ169" s="25"/>
      <c r="AR169" s="247"/>
      <c r="AS169" s="26"/>
    </row>
    <row r="170" spans="4:45" ht="15" customHeight="1" thickBot="1" x14ac:dyDescent="0.35">
      <c r="I170" t="s">
        <v>135</v>
      </c>
      <c r="J170" s="26">
        <f>MIN(J$3:J$117)</f>
        <v>1.635</v>
      </c>
      <c r="K170" s="26">
        <f t="shared" ref="K170:S170" si="125">MIN(K$3:K$117)</f>
        <v>6.6168450000000005E-3</v>
      </c>
      <c r="L170" s="26">
        <f t="shared" si="125"/>
        <v>0.66166102466999999</v>
      </c>
      <c r="M170" s="26">
        <f t="shared" si="125"/>
        <v>3</v>
      </c>
      <c r="N170" s="26">
        <f t="shared" si="125"/>
        <v>14.535094986845738</v>
      </c>
      <c r="O170" s="26">
        <f t="shared" si="125"/>
        <v>0.86</v>
      </c>
      <c r="P170" s="26">
        <f t="shared" si="125"/>
        <v>3.4804200000000001E-3</v>
      </c>
      <c r="Q170" s="26">
        <f t="shared" si="125"/>
        <v>0.34804200000000002</v>
      </c>
      <c r="R170" s="26">
        <f t="shared" si="125"/>
        <v>2.2320000000000002</v>
      </c>
      <c r="S170" s="26">
        <f t="shared" si="125"/>
        <v>21.037996273903456</v>
      </c>
      <c r="T170" s="59">
        <f>M169-M170</f>
        <v>3.4268758601897638</v>
      </c>
      <c r="U170" s="59">
        <f>R169-R170</f>
        <v>2.5275254232357094</v>
      </c>
      <c r="V170" s="173" t="str">
        <f>I165</f>
        <v>All small scale</v>
      </c>
      <c r="W170" s="174"/>
      <c r="X170" s="175"/>
      <c r="Y170" s="176"/>
      <c r="Z170" s="176"/>
      <c r="AA170" s="175"/>
      <c r="AB170" s="177"/>
      <c r="AC170" s="11"/>
      <c r="AD170" s="11"/>
      <c r="AG170" s="11"/>
      <c r="AH170" s="11"/>
      <c r="AJ170" t="s">
        <v>135</v>
      </c>
      <c r="AK170" s="26">
        <f t="shared" ref="AK170:AR170" si="126">MIN(AK$3:AK$128)</f>
        <v>1191</v>
      </c>
      <c r="AL170" s="26">
        <f t="shared" si="126"/>
        <v>1352.9</v>
      </c>
      <c r="AM170" s="247">
        <f t="shared" si="126"/>
        <v>1.7513038867775303</v>
      </c>
      <c r="AN170" s="247">
        <f t="shared" si="126"/>
        <v>1.5985002231506311</v>
      </c>
      <c r="AO170" s="26">
        <f t="shared" si="126"/>
        <v>1894.92</v>
      </c>
      <c r="AP170" s="247">
        <f t="shared" si="126"/>
        <v>1.3850912581133592</v>
      </c>
      <c r="AQ170" s="25">
        <f t="shared" si="126"/>
        <v>1155.58</v>
      </c>
      <c r="AR170" s="247">
        <f t="shared" si="126"/>
        <v>2.3625720279235374</v>
      </c>
      <c r="AS170" s="26"/>
    </row>
    <row r="171" spans="4:45" ht="15" customHeight="1" x14ac:dyDescent="0.3">
      <c r="I171" t="s">
        <v>137</v>
      </c>
      <c r="J171" s="26">
        <f>wtavg($E3:$E117,J$3:J$117)</f>
        <v>85.259125417452665</v>
      </c>
      <c r="K171" s="26">
        <f t="shared" ref="K171:S171" si="127">wtavg($E3:$E117,K$3:K$117)</f>
        <v>0.34504368056443097</v>
      </c>
      <c r="L171" s="26">
        <f t="shared" si="127"/>
        <v>34.503143905920346</v>
      </c>
      <c r="M171" s="26">
        <f t="shared" si="127"/>
        <v>8.2629663379131877</v>
      </c>
      <c r="N171" s="26">
        <f t="shared" si="127"/>
        <v>32.600228565985361</v>
      </c>
      <c r="O171" s="26">
        <f t="shared" si="127"/>
        <v>54.722422127349923</v>
      </c>
      <c r="P171" s="26">
        <f t="shared" si="127"/>
        <v>0.22146164234938509</v>
      </c>
      <c r="Q171" s="26">
        <f t="shared" si="127"/>
        <v>22.146117783059676</v>
      </c>
      <c r="R171" s="26">
        <f t="shared" si="127"/>
        <v>5.937498353521975</v>
      </c>
      <c r="S171" s="26">
        <f t="shared" si="127"/>
        <v>45.093199934800154</v>
      </c>
      <c r="V171" s="120" t="str">
        <f>I166</f>
        <v>Max</v>
      </c>
      <c r="W171" s="164">
        <f>M166</f>
        <v>17</v>
      </c>
      <c r="X171" s="123">
        <f t="shared" si="89"/>
        <v>42.007914769999999</v>
      </c>
      <c r="Y171" s="9">
        <f>N166</f>
        <v>82.365538258792512</v>
      </c>
      <c r="Z171" s="9">
        <f>R166</f>
        <v>11.745254232357103</v>
      </c>
      <c r="AA171" s="123">
        <f t="shared" si="92"/>
        <v>29.023155220284643</v>
      </c>
      <c r="AB171" s="161">
        <f>S166</f>
        <v>110.70636862740929</v>
      </c>
      <c r="AC171" s="11"/>
      <c r="AD171" s="11"/>
      <c r="AG171" s="11"/>
      <c r="AH171" s="11"/>
      <c r="AJ171" t="s">
        <v>137</v>
      </c>
      <c r="AK171" s="26">
        <f t="shared" ref="AK171:AR171" si="128">wtavg($E3:$E128,AK$3:AK$128)</f>
        <v>1734.6129124547183</v>
      </c>
      <c r="AL171" s="26">
        <f t="shared" si="128"/>
        <v>2081.5588546427452</v>
      </c>
      <c r="AM171" s="247">
        <f t="shared" si="128"/>
        <v>4.0596420649165514</v>
      </c>
      <c r="AN171" s="247">
        <f t="shared" ref="AN171" si="129">wtavg($E3:$E128,AN$3:AN$128)</f>
        <v>3.0621421635007522</v>
      </c>
      <c r="AO171" s="26">
        <f t="shared" si="128"/>
        <v>2484.0456955615691</v>
      </c>
      <c r="AP171" s="247">
        <f t="shared" si="128"/>
        <v>3.3463397291493955</v>
      </c>
      <c r="AQ171" s="25">
        <f t="shared" si="128"/>
        <v>1400.5505914049077</v>
      </c>
      <c r="AR171" s="247">
        <f t="shared" si="128"/>
        <v>5.9013039238533516</v>
      </c>
      <c r="AS171" s="26"/>
    </row>
    <row r="172" spans="4:45" ht="15" customHeight="1" x14ac:dyDescent="0.3">
      <c r="I172" t="s">
        <v>136</v>
      </c>
      <c r="J172" s="26">
        <f>wtstd($E$3:$E$117,J$3:J$117)</f>
        <v>10.647288351239975</v>
      </c>
      <c r="K172" s="26">
        <f t="shared" ref="K172:S172" si="130">wtstd($E$3:$E$117,K$3:K$117)</f>
        <v>4.3089575957468193E-2</v>
      </c>
      <c r="L172" s="26">
        <f t="shared" si="130"/>
        <v>4.3088047219806711</v>
      </c>
      <c r="M172" s="26">
        <f t="shared" si="130"/>
        <v>0.4263101375049716</v>
      </c>
      <c r="N172" s="26">
        <f t="shared" si="130"/>
        <v>2.0371720798313535</v>
      </c>
      <c r="O172" s="26">
        <f t="shared" si="130"/>
        <v>7.5517108700619513</v>
      </c>
      <c r="P172" s="26">
        <f t="shared" si="130"/>
        <v>3.0561773891140721E-2</v>
      </c>
      <c r="Q172" s="26">
        <f t="shared" si="130"/>
        <v>3.0561859434262688</v>
      </c>
      <c r="R172" s="26">
        <f t="shared" si="130"/>
        <v>0.3232760976847488</v>
      </c>
      <c r="S172" s="26">
        <f t="shared" si="130"/>
        <v>3.088645447753458</v>
      </c>
      <c r="V172" s="120" t="str">
        <f t="shared" si="83"/>
        <v>Min</v>
      </c>
      <c r="W172" s="164">
        <f t="shared" si="88"/>
        <v>3</v>
      </c>
      <c r="X172" s="123">
        <f t="shared" si="89"/>
        <v>7.4131614299999997</v>
      </c>
      <c r="Y172" s="9">
        <f t="shared" si="90"/>
        <v>14.535094986845738</v>
      </c>
      <c r="Z172" s="9">
        <f t="shared" si="91"/>
        <v>2.2320000000000002</v>
      </c>
      <c r="AA172" s="123">
        <f t="shared" si="92"/>
        <v>5.51539210392</v>
      </c>
      <c r="AB172" s="161">
        <f t="shared" si="93"/>
        <v>21.037996273903456</v>
      </c>
      <c r="AC172" s="11"/>
      <c r="AD172" s="11"/>
      <c r="AG172" s="11"/>
      <c r="AH172" s="11"/>
      <c r="AJ172" t="s">
        <v>136</v>
      </c>
      <c r="AK172" s="26">
        <f t="shared" ref="AK172:AR172" si="131">wtstd($E$3:$E$128,AK$3:AK$128)</f>
        <v>102.38065513731964</v>
      </c>
      <c r="AL172" s="26">
        <f t="shared" si="131"/>
        <v>82.898247084295051</v>
      </c>
      <c r="AM172" s="247">
        <f t="shared" si="131"/>
        <v>0.21407890043787337</v>
      </c>
      <c r="AN172" s="247">
        <f t="shared" si="131"/>
        <v>0.15678869296331102</v>
      </c>
      <c r="AO172" s="26">
        <f t="shared" si="131"/>
        <v>51.964654831766588</v>
      </c>
      <c r="AP172" s="247">
        <f t="shared" si="131"/>
        <v>0.17185512419209864</v>
      </c>
      <c r="AQ172" s="25">
        <f t="shared" si="131"/>
        <v>20.475831569172158</v>
      </c>
      <c r="AR172" s="247">
        <f t="shared" si="131"/>
        <v>0.29546228899477628</v>
      </c>
      <c r="AS172" s="26"/>
    </row>
    <row r="173" spans="4:45" ht="15" customHeight="1" x14ac:dyDescent="0.3">
      <c r="I173" s="11"/>
      <c r="V173" s="178" t="str">
        <f t="shared" si="83"/>
        <v>W. Average</v>
      </c>
      <c r="W173" s="168">
        <f t="shared" si="88"/>
        <v>8.2629663379131877</v>
      </c>
      <c r="X173" s="169">
        <f t="shared" si="89"/>
        <v>20.418234451202128</v>
      </c>
      <c r="Y173" s="170">
        <f t="shared" si="90"/>
        <v>32.600228565985361</v>
      </c>
      <c r="Z173" s="170">
        <f t="shared" si="91"/>
        <v>5.937498353521975</v>
      </c>
      <c r="AA173" s="169">
        <f t="shared" si="92"/>
        <v>14.671877928339203</v>
      </c>
      <c r="AB173" s="172">
        <f t="shared" si="93"/>
        <v>45.093199934800154</v>
      </c>
      <c r="AK173" s="11"/>
    </row>
    <row r="174" spans="4:45" ht="15" customHeight="1" thickBot="1" x14ac:dyDescent="0.35">
      <c r="M174">
        <f>1-M158/M148</f>
        <v>0.11741265857282834</v>
      </c>
      <c r="R174">
        <f>1-R158/R148</f>
        <v>0.13279023919562571</v>
      </c>
      <c r="V174" s="160" t="str">
        <f t="shared" si="83"/>
        <v>SD</v>
      </c>
      <c r="W174" s="166">
        <f t="shared" si="88"/>
        <v>0.4263101375049716</v>
      </c>
      <c r="X174" s="167">
        <f t="shared" si="89"/>
        <v>1.0534352895232839</v>
      </c>
      <c r="Y174" s="162">
        <f t="shared" si="90"/>
        <v>2.0371720798313535</v>
      </c>
      <c r="Z174" s="162">
        <f t="shared" si="91"/>
        <v>0.3232760976847488</v>
      </c>
      <c r="AA174" s="167">
        <f t="shared" si="92"/>
        <v>0.79883263286583062</v>
      </c>
      <c r="AB174" s="163">
        <f t="shared" si="93"/>
        <v>3.088645447753458</v>
      </c>
      <c r="AI174" t="s">
        <v>915</v>
      </c>
      <c r="AM174">
        <f>1-AM158/AM148</f>
        <v>-0.17483857012988246</v>
      </c>
      <c r="AN174" s="91">
        <f>1-AN158/AN148</f>
        <v>-0.1266838072370593</v>
      </c>
      <c r="AP174">
        <f>1-AP158/AP148</f>
        <v>-8.899420137846703E-2</v>
      </c>
      <c r="AR174">
        <f>1-AR158/AR148</f>
        <v>-1.7013261001492808E-2</v>
      </c>
    </row>
    <row r="175" spans="4:45" ht="15" customHeight="1" x14ac:dyDescent="0.3">
      <c r="V175" s="30"/>
      <c r="W175" s="30"/>
      <c r="X175" s="30"/>
      <c r="Y175" s="30"/>
      <c r="Z175" s="30"/>
      <c r="AA175" s="30"/>
      <c r="AB175" s="30"/>
      <c r="AI175" t="s">
        <v>916</v>
      </c>
      <c r="AM175">
        <f>1-AM158/AM153</f>
        <v>-0.10132837340268619</v>
      </c>
      <c r="AN175">
        <f>1-AN158/AN153</f>
        <v>-6.4166342047513814E-2</v>
      </c>
    </row>
    <row r="176" spans="4:45" ht="15" customHeight="1" x14ac:dyDescent="0.3"/>
    <row r="177" spans="1:44" ht="15" customHeight="1" thickBot="1" x14ac:dyDescent="0.35">
      <c r="A177" s="19" t="s">
        <v>118</v>
      </c>
      <c r="AL177" s="11"/>
    </row>
    <row r="178" spans="1:44" ht="15" customHeight="1" x14ac:dyDescent="0.3">
      <c r="A178" s="350" t="s">
        <v>3</v>
      </c>
      <c r="B178" s="11" t="s">
        <v>388</v>
      </c>
      <c r="C178" s="11"/>
      <c r="D178">
        <v>2010</v>
      </c>
      <c r="E178" s="94">
        <v>17000</v>
      </c>
      <c r="F178" s="94">
        <v>20000</v>
      </c>
      <c r="H178">
        <v>50000</v>
      </c>
      <c r="I178" t="s">
        <v>389</v>
      </c>
      <c r="J178" s="74">
        <v>175.63</v>
      </c>
      <c r="K178" s="9">
        <f t="shared" ref="K178:K208" si="132">J178*0.004047</f>
        <v>0.71077460999999997</v>
      </c>
      <c r="L178" s="9">
        <f t="shared" ref="L178:L208" si="133">J178*0.4047</f>
        <v>71.077461</v>
      </c>
      <c r="M178" s="1">
        <f>J178/(E178/1000)</f>
        <v>10.331176470588234</v>
      </c>
      <c r="N178" s="1">
        <f t="shared" ref="N178:N208" si="134">E178/1000/K178</f>
        <v>23.917567905246361</v>
      </c>
      <c r="O178" s="24">
        <v>112.7</v>
      </c>
      <c r="P178" s="105">
        <f>O178*0.004047</f>
        <v>0.45609690000000003</v>
      </c>
      <c r="Q178" s="105">
        <f>O178*0.4047</f>
        <v>45.609690000000001</v>
      </c>
      <c r="R178" s="105">
        <f>O178/(E178/1000)</f>
        <v>6.6294117647058828</v>
      </c>
      <c r="S178" s="105">
        <f>E178/1000/P178</f>
        <v>37.272781288362182</v>
      </c>
      <c r="T178" s="1">
        <v>0.223</v>
      </c>
      <c r="U178" s="1">
        <f>1/T178</f>
        <v>4.4843049327354256</v>
      </c>
      <c r="V178" s="1">
        <f>T178*R178</f>
        <v>1.4783588235294118</v>
      </c>
      <c r="W178">
        <v>37.688209999999998</v>
      </c>
      <c r="X178">
        <v>-105.88741</v>
      </c>
      <c r="Y178" t="s">
        <v>21</v>
      </c>
      <c r="Z178">
        <v>20</v>
      </c>
      <c r="AA178" s="11"/>
      <c r="AB178" s="15">
        <v>0.19600000000000001</v>
      </c>
      <c r="AC178" t="s">
        <v>391</v>
      </c>
      <c r="AD178" t="s">
        <v>390</v>
      </c>
      <c r="AE178" t="s">
        <v>29</v>
      </c>
      <c r="AF178" t="s">
        <v>157</v>
      </c>
      <c r="AG178" s="15" t="s">
        <v>252</v>
      </c>
      <c r="AI178">
        <v>1</v>
      </c>
      <c r="AL178">
        <v>2850.54</v>
      </c>
      <c r="AM178">
        <f>1/(AL178/$M178/1000)</f>
        <v>3.6242874931024418</v>
      </c>
      <c r="AN178">
        <f>1/(AL178/$R178/1000)</f>
        <v>2.3256687381008097</v>
      </c>
      <c r="AO178">
        <v>2891.16</v>
      </c>
      <c r="AP178">
        <f>1/(AO178/$M178/1000)</f>
        <v>3.5733672541776436</v>
      </c>
      <c r="AQ178">
        <v>1587.82</v>
      </c>
      <c r="AR178">
        <f>1/(AQ178/$M178/1000)</f>
        <v>6.5065161482965532</v>
      </c>
    </row>
    <row r="179" spans="1:44" ht="15" customHeight="1" x14ac:dyDescent="0.3">
      <c r="A179" s="351" t="s">
        <v>35</v>
      </c>
      <c r="B179" s="11" t="s">
        <v>485</v>
      </c>
      <c r="C179" s="11"/>
      <c r="D179">
        <v>2011</v>
      </c>
      <c r="E179" s="94">
        <v>20000</v>
      </c>
      <c r="F179" s="18">
        <f>E179/$F$289</f>
        <v>23490.50846471421</v>
      </c>
      <c r="H179">
        <v>66384</v>
      </c>
      <c r="I179" t="s">
        <v>403</v>
      </c>
      <c r="J179" s="74">
        <v>144</v>
      </c>
      <c r="K179" s="9">
        <f t="shared" si="132"/>
        <v>0.58276800000000006</v>
      </c>
      <c r="L179" s="9">
        <f t="shared" si="133"/>
        <v>58.276800000000001</v>
      </c>
      <c r="M179" s="1">
        <f t="shared" ref="M179:M241" si="135">J179/(E179/1000)</f>
        <v>7.2</v>
      </c>
      <c r="N179" s="1">
        <f t="shared" si="134"/>
        <v>34.318974274496881</v>
      </c>
      <c r="O179" s="100">
        <v>118.4</v>
      </c>
      <c r="P179" s="105">
        <f>O179*0.004047</f>
        <v>0.47916480000000006</v>
      </c>
      <c r="Q179" s="105">
        <f>O179*0.4047</f>
        <v>47.91648</v>
      </c>
      <c r="R179" s="105">
        <f t="shared" ref="R179:R181" si="136">O179/(E179/1000)</f>
        <v>5.92</v>
      </c>
      <c r="S179" s="105">
        <f>E179/1000/P179</f>
        <v>41.739293036550258</v>
      </c>
      <c r="T179" s="11">
        <v>0.28508600000000001</v>
      </c>
      <c r="U179" s="1">
        <f>1/T179</f>
        <v>3.5077134619027239</v>
      </c>
      <c r="V179" s="1">
        <f>T179*R179</f>
        <v>1.6877091200000001</v>
      </c>
      <c r="W179" s="11">
        <v>33.159303000000001</v>
      </c>
      <c r="X179" s="11">
        <v>-111.48230599999999</v>
      </c>
      <c r="Y179" t="s">
        <v>21</v>
      </c>
      <c r="Z179" t="s">
        <v>780</v>
      </c>
      <c r="AA179" s="11"/>
      <c r="AB179" s="15">
        <v>0.19</v>
      </c>
      <c r="AC179" t="s">
        <v>391</v>
      </c>
      <c r="AD179" t="s">
        <v>487</v>
      </c>
      <c r="AE179" t="s">
        <v>29</v>
      </c>
      <c r="AF179" t="s">
        <v>475</v>
      </c>
      <c r="AG179" s="15" t="s">
        <v>385</v>
      </c>
      <c r="AI179">
        <v>1</v>
      </c>
      <c r="AL179">
        <v>2521.86</v>
      </c>
      <c r="AM179">
        <f t="shared" ref="AM179:AM202" si="137">1/(AL179/$M179/1000)</f>
        <v>2.855035568984797</v>
      </c>
      <c r="AN179">
        <f t="shared" ref="AN179:AN201" si="138">1/(AL179/$R179/1000)</f>
        <v>2.3474736900541662</v>
      </c>
      <c r="AO179">
        <v>2672.06</v>
      </c>
      <c r="AP179">
        <f t="shared" ref="AP179:AP202" si="139">1/(AO179/$M179/1000)</f>
        <v>2.6945502720747294</v>
      </c>
      <c r="AQ179">
        <v>1469.39</v>
      </c>
      <c r="AR179">
        <f t="shared" ref="AR179:AR202" si="140">1/(AQ179/$M179/1000)</f>
        <v>4.899992513900326</v>
      </c>
    </row>
    <row r="180" spans="1:44" ht="15" customHeight="1" x14ac:dyDescent="0.3">
      <c r="A180" s="351" t="s">
        <v>160</v>
      </c>
      <c r="B180" s="11" t="s">
        <v>522</v>
      </c>
      <c r="C180" s="11"/>
      <c r="D180">
        <v>2011</v>
      </c>
      <c r="E180" s="94">
        <v>20000</v>
      </c>
      <c r="F180" s="18">
        <f>E180/$F$289</f>
        <v>23490.50846471421</v>
      </c>
      <c r="H180">
        <v>190000</v>
      </c>
      <c r="I180" t="s">
        <v>102</v>
      </c>
      <c r="J180" s="74">
        <v>210</v>
      </c>
      <c r="K180" s="9">
        <f t="shared" si="132"/>
        <v>0.84987000000000001</v>
      </c>
      <c r="L180" s="9">
        <f t="shared" si="133"/>
        <v>84.986999999999995</v>
      </c>
      <c r="M180" s="1">
        <f t="shared" si="135"/>
        <v>10.5</v>
      </c>
      <c r="N180" s="1">
        <f t="shared" si="134"/>
        <v>23.533010931083577</v>
      </c>
      <c r="O180" s="11">
        <v>169.3</v>
      </c>
      <c r="P180" s="25">
        <f>O180*0.004047</f>
        <v>0.68515710000000007</v>
      </c>
      <c r="Q180" s="25">
        <f>O180*0.4047</f>
        <v>68.515709999999999</v>
      </c>
      <c r="R180" s="105">
        <f t="shared" si="136"/>
        <v>8.4649999999999999</v>
      </c>
      <c r="S180" s="25">
        <f>E180/1000/P180</f>
        <v>29.190385679430307</v>
      </c>
      <c r="T180" s="11">
        <v>0.33400000000000002</v>
      </c>
      <c r="U180" s="1">
        <f>1/T180</f>
        <v>2.9940119760479038</v>
      </c>
      <c r="V180" s="1">
        <f>T180*R180</f>
        <v>2.8273100000000002</v>
      </c>
      <c r="W180" s="11">
        <v>31.80245</v>
      </c>
      <c r="X180" s="11">
        <v>-106.67148</v>
      </c>
      <c r="Y180" t="s">
        <v>21</v>
      </c>
      <c r="Z180" t="s">
        <v>776</v>
      </c>
      <c r="AA180" s="11"/>
      <c r="AB180" s="15">
        <v>0.107</v>
      </c>
      <c r="AC180" s="11" t="s">
        <v>366</v>
      </c>
      <c r="AD180" t="s">
        <v>102</v>
      </c>
      <c r="AE180" t="s">
        <v>29</v>
      </c>
      <c r="AF180" t="s">
        <v>475</v>
      </c>
      <c r="AG180" s="15" t="s">
        <v>385</v>
      </c>
      <c r="AI180">
        <v>1</v>
      </c>
      <c r="AL180">
        <v>2651.02</v>
      </c>
      <c r="AM180">
        <f t="shared" si="137"/>
        <v>3.9607396398367425</v>
      </c>
      <c r="AN180">
        <f t="shared" si="138"/>
        <v>3.1931105763064784</v>
      </c>
      <c r="AO180">
        <v>2672.06</v>
      </c>
      <c r="AP180">
        <f t="shared" si="139"/>
        <v>3.9295524801089798</v>
      </c>
      <c r="AQ180">
        <v>1469.39</v>
      </c>
      <c r="AR180">
        <f t="shared" si="140"/>
        <v>7.1458224161046422</v>
      </c>
    </row>
    <row r="181" spans="1:44" ht="15" customHeight="1" x14ac:dyDescent="0.3">
      <c r="A181" s="353" t="s">
        <v>35</v>
      </c>
      <c r="B181" t="s">
        <v>634</v>
      </c>
      <c r="D181">
        <v>2012</v>
      </c>
      <c r="E181" s="98">
        <v>20000</v>
      </c>
      <c r="F181" s="18">
        <f>E181/$F$289</f>
        <v>23490.50846471421</v>
      </c>
      <c r="I181" t="s">
        <v>8</v>
      </c>
      <c r="J181">
        <v>160</v>
      </c>
      <c r="K181" s="9">
        <f t="shared" si="132"/>
        <v>0.6475200000000001</v>
      </c>
      <c r="L181" s="9">
        <f t="shared" si="133"/>
        <v>64.751999999999995</v>
      </c>
      <c r="M181" s="1">
        <f t="shared" si="135"/>
        <v>8</v>
      </c>
      <c r="N181" s="9">
        <f t="shared" si="134"/>
        <v>30.88707684704719</v>
      </c>
      <c r="O181">
        <v>140</v>
      </c>
      <c r="P181" s="1">
        <f>O181*0.004047</f>
        <v>0.56658000000000008</v>
      </c>
      <c r="Q181" s="1">
        <f>O181*0.4047</f>
        <v>56.658000000000001</v>
      </c>
      <c r="R181" s="105">
        <f t="shared" si="136"/>
        <v>7</v>
      </c>
      <c r="S181" s="1">
        <f>E181/1000/P181</f>
        <v>35.299516396625364</v>
      </c>
      <c r="W181">
        <v>34.72484</v>
      </c>
      <c r="X181">
        <v>-112.43303</v>
      </c>
      <c r="Y181" t="s">
        <v>21</v>
      </c>
      <c r="AB181" s="15">
        <v>0.14000000000000001</v>
      </c>
      <c r="AC181" t="s">
        <v>399</v>
      </c>
      <c r="AD181" t="s">
        <v>640</v>
      </c>
      <c r="AE181" t="s">
        <v>109</v>
      </c>
      <c r="AF181" t="s">
        <v>641</v>
      </c>
      <c r="AG181" t="s">
        <v>647</v>
      </c>
      <c r="AI181">
        <v>1</v>
      </c>
      <c r="AL181">
        <v>2619.0300000000002</v>
      </c>
      <c r="AM181">
        <f t="shared" si="137"/>
        <v>3.0545660034440227</v>
      </c>
      <c r="AN181">
        <f t="shared" si="138"/>
        <v>2.6727452530135198</v>
      </c>
      <c r="AO181">
        <v>2672.06</v>
      </c>
      <c r="AP181">
        <f t="shared" si="139"/>
        <v>2.9939447467496985</v>
      </c>
      <c r="AQ181">
        <v>1469.39</v>
      </c>
      <c r="AR181">
        <f t="shared" si="140"/>
        <v>5.4444361265559174</v>
      </c>
    </row>
    <row r="182" spans="1:44" ht="15" customHeight="1" x14ac:dyDescent="0.3">
      <c r="A182" s="353" t="s">
        <v>35</v>
      </c>
      <c r="B182" t="s">
        <v>667</v>
      </c>
      <c r="D182">
        <v>2012</v>
      </c>
      <c r="E182" s="18">
        <f>F182*$F$289</f>
        <v>21285.19273012182</v>
      </c>
      <c r="F182" s="98">
        <v>25000</v>
      </c>
      <c r="I182" t="s">
        <v>8</v>
      </c>
      <c r="J182">
        <v>199</v>
      </c>
      <c r="K182" s="9">
        <f t="shared" si="132"/>
        <v>0.8053530000000001</v>
      </c>
      <c r="L182" s="9">
        <f t="shared" si="133"/>
        <v>80.535300000000007</v>
      </c>
      <c r="M182" s="1">
        <f t="shared" si="135"/>
        <v>9.349222368956255</v>
      </c>
      <c r="N182" s="9">
        <f t="shared" si="134"/>
        <v>26.429643560180217</v>
      </c>
      <c r="W182">
        <v>32.369999999999997</v>
      </c>
      <c r="X182">
        <v>-111.24250000000001</v>
      </c>
      <c r="Y182" t="s">
        <v>21</v>
      </c>
      <c r="AB182" s="111"/>
      <c r="AE182" t="s">
        <v>109</v>
      </c>
      <c r="AF182" t="s">
        <v>475</v>
      </c>
      <c r="AG182" t="s">
        <v>252</v>
      </c>
      <c r="AI182">
        <v>1</v>
      </c>
      <c r="AL182">
        <v>2623.19</v>
      </c>
      <c r="AM182">
        <f t="shared" si="137"/>
        <v>3.5640660298934717</v>
      </c>
      <c r="AO182">
        <v>2672.06</v>
      </c>
      <c r="AP182">
        <f t="shared" si="139"/>
        <v>3.4988818997164191</v>
      </c>
      <c r="AQ182">
        <v>1469.39</v>
      </c>
      <c r="AR182">
        <f t="shared" si="140"/>
        <v>6.3626555025937659</v>
      </c>
    </row>
    <row r="183" spans="1:44" ht="15" customHeight="1" x14ac:dyDescent="0.3">
      <c r="A183" s="353" t="s">
        <v>26</v>
      </c>
      <c r="B183" t="s">
        <v>621</v>
      </c>
      <c r="D183">
        <v>2012</v>
      </c>
      <c r="E183" s="106">
        <v>25000</v>
      </c>
      <c r="F183" s="18">
        <f>E183/$F$289</f>
        <v>29363.135580892762</v>
      </c>
      <c r="G183">
        <v>150</v>
      </c>
      <c r="I183" t="s">
        <v>389</v>
      </c>
      <c r="J183">
        <v>154</v>
      </c>
      <c r="K183" s="9">
        <f t="shared" si="132"/>
        <v>0.62323800000000007</v>
      </c>
      <c r="L183" s="9">
        <f t="shared" si="133"/>
        <v>62.323799999999999</v>
      </c>
      <c r="M183" s="1">
        <f t="shared" si="135"/>
        <v>6.16</v>
      </c>
      <c r="N183" s="9">
        <f t="shared" si="134"/>
        <v>40.113086814347</v>
      </c>
      <c r="W183">
        <v>37.736260000000001</v>
      </c>
      <c r="X183">
        <v>-120.99099</v>
      </c>
      <c r="Y183" t="s">
        <v>21</v>
      </c>
      <c r="Z183" t="s">
        <v>426</v>
      </c>
      <c r="AA183" t="s">
        <v>94</v>
      </c>
      <c r="AB183" s="112">
        <v>0.185</v>
      </c>
      <c r="AC183" t="s">
        <v>391</v>
      </c>
      <c r="AD183" t="s">
        <v>625</v>
      </c>
      <c r="AE183" t="s">
        <v>109</v>
      </c>
      <c r="AF183" t="s">
        <v>475</v>
      </c>
      <c r="AG183" t="s">
        <v>252</v>
      </c>
      <c r="AI183">
        <v>1</v>
      </c>
      <c r="AL183">
        <v>2393.31</v>
      </c>
      <c r="AM183">
        <f t="shared" si="137"/>
        <v>2.5738412491486686</v>
      </c>
      <c r="AO183">
        <v>2891.1</v>
      </c>
      <c r="AP183">
        <f t="shared" si="139"/>
        <v>2.130676904984262</v>
      </c>
      <c r="AQ183">
        <v>1587.88</v>
      </c>
      <c r="AR183">
        <f t="shared" si="140"/>
        <v>3.8793863516134715</v>
      </c>
    </row>
    <row r="184" spans="1:44" ht="15" customHeight="1" x14ac:dyDescent="0.3">
      <c r="A184" s="354" t="s">
        <v>148</v>
      </c>
      <c r="B184" s="11" t="s">
        <v>149</v>
      </c>
      <c r="C184" s="11"/>
      <c r="D184">
        <v>2009</v>
      </c>
      <c r="E184" s="42">
        <v>25000</v>
      </c>
      <c r="F184" s="18">
        <v>28000</v>
      </c>
      <c r="H184">
        <v>90000</v>
      </c>
      <c r="I184" t="s">
        <v>151</v>
      </c>
      <c r="J184">
        <v>235</v>
      </c>
      <c r="K184" s="9">
        <f t="shared" si="132"/>
        <v>0.95104500000000003</v>
      </c>
      <c r="L184" s="9">
        <f t="shared" si="133"/>
        <v>95.104500000000002</v>
      </c>
      <c r="M184" s="1">
        <f t="shared" si="135"/>
        <v>9.4</v>
      </c>
      <c r="N184" s="9">
        <f t="shared" si="134"/>
        <v>26.286873912380592</v>
      </c>
      <c r="O184">
        <v>180</v>
      </c>
      <c r="P184" s="1">
        <f>O184*0.004047</f>
        <v>0.72846</v>
      </c>
      <c r="Q184" s="1">
        <f>O184*0.4047</f>
        <v>72.846000000000004</v>
      </c>
      <c r="R184" s="1">
        <f t="shared" ref="R184" si="141">O184/(E184/1000)</f>
        <v>7.2</v>
      </c>
      <c r="S184" s="1">
        <f>E184/1000/P184</f>
        <v>34.318974274496881</v>
      </c>
      <c r="T184" s="1">
        <v>0.25222</v>
      </c>
      <c r="U184" s="1">
        <f>1/T184</f>
        <v>3.9647926413448578</v>
      </c>
      <c r="V184" s="1">
        <f>T184*R184</f>
        <v>1.815984</v>
      </c>
      <c r="W184" s="71">
        <v>27.316666666666698</v>
      </c>
      <c r="X184" s="71">
        <v>-81.8</v>
      </c>
      <c r="Y184" t="s">
        <v>21</v>
      </c>
      <c r="Z184" t="s">
        <v>776</v>
      </c>
      <c r="AA184" s="11" t="s">
        <v>96</v>
      </c>
      <c r="AB184" s="15">
        <v>0.19</v>
      </c>
      <c r="AC184" s="15" t="s">
        <v>391</v>
      </c>
      <c r="AD184" s="15" t="s">
        <v>150</v>
      </c>
      <c r="AE184" t="s">
        <v>29</v>
      </c>
      <c r="AF184" t="s">
        <v>110</v>
      </c>
      <c r="AG184" s="15" t="s">
        <v>252</v>
      </c>
      <c r="AI184">
        <v>1</v>
      </c>
      <c r="AL184">
        <v>2108.98</v>
      </c>
      <c r="AM184">
        <f t="shared" si="137"/>
        <v>4.4571309353336686</v>
      </c>
      <c r="AN184">
        <f t="shared" si="138"/>
        <v>3.4139726313194054</v>
      </c>
      <c r="AO184">
        <v>2671.3</v>
      </c>
      <c r="AP184">
        <f t="shared" si="139"/>
        <v>3.5188859356867441</v>
      </c>
      <c r="AQ184">
        <v>1471.19</v>
      </c>
      <c r="AR184">
        <f t="shared" si="140"/>
        <v>6.3893854634683489</v>
      </c>
    </row>
    <row r="185" spans="1:44" ht="15" customHeight="1" x14ac:dyDescent="0.3">
      <c r="A185" s="353" t="s">
        <v>35</v>
      </c>
      <c r="B185" t="s">
        <v>668</v>
      </c>
      <c r="D185">
        <v>2012</v>
      </c>
      <c r="E185" s="98">
        <v>26000</v>
      </c>
      <c r="F185" s="18">
        <f>E185/$F$289</f>
        <v>30537.661004128473</v>
      </c>
      <c r="I185" t="s">
        <v>659</v>
      </c>
      <c r="J185">
        <v>300</v>
      </c>
      <c r="K185" s="9">
        <f t="shared" si="132"/>
        <v>1.2141000000000002</v>
      </c>
      <c r="L185" s="9">
        <f t="shared" si="133"/>
        <v>121.41</v>
      </c>
      <c r="M185" s="1">
        <f t="shared" si="135"/>
        <v>11.538461538461538</v>
      </c>
      <c r="N185" s="9">
        <f t="shared" si="134"/>
        <v>21.415039947286051</v>
      </c>
      <c r="R185" s="1"/>
      <c r="W185">
        <v>32.371899999999997</v>
      </c>
      <c r="X185">
        <v>-111.2818</v>
      </c>
      <c r="Y185" t="s">
        <v>21</v>
      </c>
      <c r="AB185" s="15">
        <v>0.107</v>
      </c>
      <c r="AC185" t="s">
        <v>366</v>
      </c>
      <c r="AD185" t="s">
        <v>146</v>
      </c>
      <c r="AE185" t="s">
        <v>109</v>
      </c>
      <c r="AF185" t="s">
        <v>669</v>
      </c>
      <c r="AG185" t="s">
        <v>385</v>
      </c>
      <c r="AI185">
        <v>1</v>
      </c>
      <c r="AL185">
        <v>2623.19</v>
      </c>
      <c r="AM185">
        <f t="shared" si="137"/>
        <v>4.3986373607941243</v>
      </c>
      <c r="AO185">
        <v>2672.06</v>
      </c>
      <c r="AP185">
        <f t="shared" si="139"/>
        <v>4.3181895385812963</v>
      </c>
      <c r="AQ185">
        <v>1469.39</v>
      </c>
      <c r="AR185">
        <f t="shared" si="140"/>
        <v>7.8525521056094965</v>
      </c>
    </row>
    <row r="186" spans="1:44" ht="15" customHeight="1" x14ac:dyDescent="0.3">
      <c r="A186" s="351" t="s">
        <v>3</v>
      </c>
      <c r="B186" s="11" t="s">
        <v>392</v>
      </c>
      <c r="C186" s="11"/>
      <c r="D186">
        <v>2012</v>
      </c>
      <c r="E186" s="109">
        <v>30000</v>
      </c>
      <c r="F186" s="94">
        <v>35200</v>
      </c>
      <c r="H186">
        <v>110000</v>
      </c>
      <c r="I186" t="s">
        <v>403</v>
      </c>
      <c r="J186" s="74">
        <v>220</v>
      </c>
      <c r="K186" s="9">
        <f t="shared" si="132"/>
        <v>0.89034000000000002</v>
      </c>
      <c r="L186" s="9">
        <f t="shared" si="133"/>
        <v>89.034000000000006</v>
      </c>
      <c r="M186" s="1">
        <f t="shared" si="135"/>
        <v>7.333333333333333</v>
      </c>
      <c r="N186" s="1">
        <f t="shared" si="134"/>
        <v>33.694992924051483</v>
      </c>
      <c r="O186" s="24" t="s">
        <v>598</v>
      </c>
      <c r="P186" s="1"/>
      <c r="Q186" s="1"/>
      <c r="R186" s="1"/>
      <c r="S186" s="1"/>
      <c r="T186" s="1"/>
      <c r="U186" s="1"/>
      <c r="V186" s="1"/>
      <c r="Y186" t="s">
        <v>21</v>
      </c>
      <c r="AA186" s="11" t="s">
        <v>94</v>
      </c>
      <c r="AB186" s="15">
        <v>0.19600000000000001</v>
      </c>
      <c r="AC186" t="s">
        <v>391</v>
      </c>
      <c r="AD186" t="s">
        <v>393</v>
      </c>
      <c r="AE186" t="s">
        <v>29</v>
      </c>
      <c r="AF186" t="s">
        <v>394</v>
      </c>
      <c r="AG186" s="15" t="s">
        <v>7</v>
      </c>
      <c r="AI186">
        <v>1</v>
      </c>
      <c r="AL186">
        <v>2637.97</v>
      </c>
      <c r="AM186">
        <f t="shared" si="137"/>
        <v>2.7799153642131387</v>
      </c>
      <c r="AO186">
        <v>2672.05</v>
      </c>
      <c r="AP186">
        <f t="shared" si="139"/>
        <v>2.7444596221378093</v>
      </c>
      <c r="AQ186">
        <v>1469.43</v>
      </c>
      <c r="AR186">
        <f t="shared" si="140"/>
        <v>4.9905972610694844</v>
      </c>
    </row>
    <row r="187" spans="1:44" x14ac:dyDescent="0.3">
      <c r="A187" s="353" t="s">
        <v>26</v>
      </c>
      <c r="B187" t="s">
        <v>721</v>
      </c>
      <c r="D187">
        <v>2014</v>
      </c>
      <c r="E187" s="18">
        <f>F187*$F$289</f>
        <v>93654.848012536007</v>
      </c>
      <c r="F187">
        <v>110000</v>
      </c>
      <c r="I187" t="s">
        <v>725</v>
      </c>
      <c r="J187">
        <v>1014</v>
      </c>
      <c r="K187" s="9">
        <f t="shared" si="132"/>
        <v>4.1036580000000002</v>
      </c>
      <c r="L187" s="9">
        <f t="shared" si="133"/>
        <v>410.36579999999998</v>
      </c>
      <c r="M187" s="1">
        <f t="shared" si="135"/>
        <v>10.826988901463732</v>
      </c>
      <c r="N187" s="9">
        <f t="shared" si="134"/>
        <v>22.822283926325245</v>
      </c>
      <c r="R187" s="1"/>
      <c r="W187">
        <v>37.119799999999998</v>
      </c>
      <c r="X187">
        <v>-121.0553</v>
      </c>
      <c r="Y187" t="s">
        <v>21</v>
      </c>
      <c r="AB187" s="15">
        <v>0.20100000000000001</v>
      </c>
      <c r="AC187" t="s">
        <v>391</v>
      </c>
      <c r="AD187" t="s">
        <v>726</v>
      </c>
      <c r="AE187" t="s">
        <v>24</v>
      </c>
      <c r="AF187" t="s">
        <v>694</v>
      </c>
      <c r="AG187" t="s">
        <v>709</v>
      </c>
      <c r="AI187">
        <v>1</v>
      </c>
      <c r="AL187">
        <v>2227.23</v>
      </c>
      <c r="AM187">
        <f t="shared" si="137"/>
        <v>4.8611903132876852</v>
      </c>
      <c r="AO187">
        <v>2672.06</v>
      </c>
      <c r="AP187">
        <f t="shared" si="139"/>
        <v>4.0519258180818287</v>
      </c>
      <c r="AQ187">
        <v>1469.39</v>
      </c>
      <c r="AR187">
        <f t="shared" si="140"/>
        <v>7.3683561896186376</v>
      </c>
    </row>
    <row r="188" spans="1:44" x14ac:dyDescent="0.3">
      <c r="A188" s="353" t="s">
        <v>26</v>
      </c>
      <c r="B188" t="s">
        <v>729</v>
      </c>
      <c r="D188">
        <v>2014</v>
      </c>
      <c r="E188" s="18">
        <f>F188*$F$289</f>
        <v>110683.00219663348</v>
      </c>
      <c r="F188">
        <v>130000</v>
      </c>
      <c r="I188" t="s">
        <v>730</v>
      </c>
      <c r="J188">
        <v>946</v>
      </c>
      <c r="K188" s="9">
        <f t="shared" si="132"/>
        <v>3.828462</v>
      </c>
      <c r="L188" s="9">
        <f t="shared" si="133"/>
        <v>382.84620000000001</v>
      </c>
      <c r="M188" s="1">
        <f t="shared" si="135"/>
        <v>8.5469311567767843</v>
      </c>
      <c r="N188" s="9">
        <f t="shared" si="134"/>
        <v>28.91056570409566</v>
      </c>
      <c r="R188" s="1"/>
      <c r="W188">
        <v>32.664499999999997</v>
      </c>
      <c r="X188">
        <v>-115.7118</v>
      </c>
      <c r="Y188" t="s">
        <v>21</v>
      </c>
      <c r="AB188" s="15">
        <v>0.107</v>
      </c>
      <c r="AC188" t="s">
        <v>366</v>
      </c>
      <c r="AD188" t="s">
        <v>102</v>
      </c>
      <c r="AE188" t="s">
        <v>24</v>
      </c>
      <c r="AF188" t="s">
        <v>475</v>
      </c>
      <c r="AG188" t="s">
        <v>252</v>
      </c>
      <c r="AI188">
        <v>1</v>
      </c>
      <c r="AL188">
        <v>2585.38</v>
      </c>
      <c r="AM188">
        <f t="shared" si="137"/>
        <v>3.3058703775757468</v>
      </c>
      <c r="AO188">
        <v>2672.06</v>
      </c>
      <c r="AP188">
        <f t="shared" si="139"/>
        <v>3.198629954707898</v>
      </c>
      <c r="AQ188">
        <v>1469.39</v>
      </c>
      <c r="AR188">
        <f t="shared" si="140"/>
        <v>5.8166525951427355</v>
      </c>
    </row>
    <row r="189" spans="1:44" x14ac:dyDescent="0.3">
      <c r="A189" s="354" t="s">
        <v>107</v>
      </c>
      <c r="B189" s="11" t="s">
        <v>108</v>
      </c>
      <c r="C189" s="11"/>
      <c r="D189">
        <v>2015</v>
      </c>
      <c r="E189" s="94">
        <v>150000</v>
      </c>
      <c r="F189" s="18">
        <f>E189/$F$289</f>
        <v>176178.81348535657</v>
      </c>
      <c r="I189" t="s">
        <v>102</v>
      </c>
      <c r="J189">
        <v>1110</v>
      </c>
      <c r="K189" s="9">
        <f t="shared" si="132"/>
        <v>4.4921700000000007</v>
      </c>
      <c r="L189" s="9">
        <f t="shared" si="133"/>
        <v>449.21699999999998</v>
      </c>
      <c r="M189" s="1">
        <f t="shared" si="135"/>
        <v>7.4</v>
      </c>
      <c r="N189" s="9">
        <f t="shared" si="134"/>
        <v>33.391434429240206</v>
      </c>
      <c r="P189" s="1"/>
      <c r="Q189" s="1"/>
      <c r="R189" s="1"/>
      <c r="S189" s="1"/>
      <c r="T189" s="1"/>
      <c r="U189" s="1"/>
      <c r="V189" s="1"/>
      <c r="W189" s="24"/>
      <c r="X189" s="24"/>
      <c r="Y189" t="s">
        <v>21</v>
      </c>
      <c r="AA189" s="24"/>
      <c r="AB189" s="15">
        <v>0.1</v>
      </c>
      <c r="AC189" s="15"/>
      <c r="AD189" s="15" t="s">
        <v>102</v>
      </c>
      <c r="AE189" t="s">
        <v>109</v>
      </c>
      <c r="AF189" t="s">
        <v>110</v>
      </c>
      <c r="AG189" s="15" t="s">
        <v>252</v>
      </c>
      <c r="AI189">
        <v>1</v>
      </c>
      <c r="AL189">
        <v>2583.9499999999998</v>
      </c>
      <c r="AM189">
        <f t="shared" si="137"/>
        <v>2.8638325044989261</v>
      </c>
      <c r="AO189">
        <v>2672.06</v>
      </c>
      <c r="AP189">
        <f t="shared" si="139"/>
        <v>2.7693988907434717</v>
      </c>
      <c r="AQ189">
        <v>1469.39</v>
      </c>
      <c r="AR189">
        <f t="shared" si="140"/>
        <v>5.0361034170642238</v>
      </c>
    </row>
    <row r="190" spans="1:44" x14ac:dyDescent="0.3">
      <c r="A190" s="354" t="s">
        <v>26</v>
      </c>
      <c r="B190" s="11" t="s">
        <v>117</v>
      </c>
      <c r="C190" s="11"/>
      <c r="D190">
        <v>2013</v>
      </c>
      <c r="E190" s="42">
        <v>230000</v>
      </c>
      <c r="F190" s="94">
        <v>284000</v>
      </c>
      <c r="G190">
        <v>713</v>
      </c>
      <c r="H190">
        <v>3800000</v>
      </c>
      <c r="I190" t="s">
        <v>362</v>
      </c>
      <c r="J190">
        <v>2100</v>
      </c>
      <c r="K190" s="9">
        <f t="shared" si="132"/>
        <v>8.4987000000000013</v>
      </c>
      <c r="L190" s="9">
        <f t="shared" si="133"/>
        <v>849.87</v>
      </c>
      <c r="M190" s="1">
        <f t="shared" si="135"/>
        <v>9.1304347826086953</v>
      </c>
      <c r="N190" s="9">
        <f t="shared" si="134"/>
        <v>27.062962570746109</v>
      </c>
      <c r="O190">
        <v>1955</v>
      </c>
      <c r="P190" s="1">
        <f>O190*0.004047</f>
        <v>7.9118850000000007</v>
      </c>
      <c r="Q190" s="1">
        <f>O190*0.4047</f>
        <v>791.18849999999998</v>
      </c>
      <c r="R190" s="1">
        <f t="shared" ref="R190" si="142">O190/(E190/1000)</f>
        <v>8.5</v>
      </c>
      <c r="S190" s="1">
        <f>E190/1000/P190</f>
        <v>29.070189973691477</v>
      </c>
      <c r="T190" s="1"/>
      <c r="U190" s="1"/>
      <c r="V190" s="1"/>
      <c r="W190" s="53">
        <v>34.7879</v>
      </c>
      <c r="X190" s="54">
        <v>-118.4203</v>
      </c>
      <c r="Y190" t="s">
        <v>21</v>
      </c>
      <c r="AA190" s="11" t="s">
        <v>96</v>
      </c>
      <c r="AB190" s="15">
        <v>0.1076</v>
      </c>
      <c r="AC190" s="15" t="s">
        <v>366</v>
      </c>
      <c r="AD190" s="15" t="s">
        <v>373</v>
      </c>
      <c r="AE190" t="s">
        <v>24</v>
      </c>
      <c r="AF190" t="s">
        <v>110</v>
      </c>
      <c r="AG190" s="15" t="s">
        <v>252</v>
      </c>
      <c r="AI190">
        <v>1</v>
      </c>
      <c r="AL190">
        <v>2630.84</v>
      </c>
      <c r="AM190">
        <f t="shared" si="137"/>
        <v>3.4705397449516862</v>
      </c>
      <c r="AN190">
        <f t="shared" si="138"/>
        <v>3.2309072387526419</v>
      </c>
      <c r="AO190">
        <v>2672.38</v>
      </c>
      <c r="AP190">
        <f t="shared" si="139"/>
        <v>3.4165929929907781</v>
      </c>
      <c r="AQ190">
        <v>1467.15</v>
      </c>
      <c r="AR190">
        <f t="shared" si="140"/>
        <v>6.2232456003876182</v>
      </c>
    </row>
    <row r="191" spans="1:44" x14ac:dyDescent="0.3">
      <c r="A191" s="354" t="s">
        <v>26</v>
      </c>
      <c r="B191" s="11" t="s">
        <v>361</v>
      </c>
      <c r="C191" s="11"/>
      <c r="D191">
        <v>2015</v>
      </c>
      <c r="E191" s="94">
        <v>250000</v>
      </c>
      <c r="F191" s="18">
        <f>E191/$F$289</f>
        <v>293631.35580892762</v>
      </c>
      <c r="H191">
        <v>811000</v>
      </c>
      <c r="I191" t="s">
        <v>372</v>
      </c>
      <c r="J191">
        <v>1735</v>
      </c>
      <c r="K191" s="9">
        <f t="shared" si="132"/>
        <v>7.0215450000000006</v>
      </c>
      <c r="L191" s="9">
        <f t="shared" si="133"/>
        <v>702.15449999999998</v>
      </c>
      <c r="M191" s="1">
        <f t="shared" si="135"/>
        <v>6.94</v>
      </c>
      <c r="N191" s="9">
        <f t="shared" si="134"/>
        <v>35.604699535501084</v>
      </c>
      <c r="P191" s="1"/>
      <c r="Q191" s="1"/>
      <c r="R191" s="1"/>
      <c r="S191" s="1"/>
      <c r="T191" s="1"/>
      <c r="U191" s="1"/>
      <c r="V191" s="1"/>
      <c r="W191" s="71">
        <v>35.3074997663498</v>
      </c>
      <c r="X191" s="71">
        <v>-119.91612017154701</v>
      </c>
      <c r="Y191" t="s">
        <v>21</v>
      </c>
      <c r="AA191" s="69" t="s">
        <v>371</v>
      </c>
      <c r="AB191" s="15"/>
      <c r="AC191" s="15"/>
      <c r="AD191" s="15"/>
      <c r="AE191" t="s">
        <v>109</v>
      </c>
      <c r="AF191" t="s">
        <v>110</v>
      </c>
      <c r="AG191" s="15" t="s">
        <v>7</v>
      </c>
      <c r="AH191">
        <v>1</v>
      </c>
      <c r="AI191">
        <v>1</v>
      </c>
      <c r="AL191">
        <v>2526.87</v>
      </c>
      <c r="AM191">
        <f t="shared" si="137"/>
        <v>2.7464808241025458</v>
      </c>
      <c r="AO191">
        <v>2672.06</v>
      </c>
      <c r="AP191">
        <f t="shared" si="139"/>
        <v>2.5972470678053639</v>
      </c>
      <c r="AQ191">
        <v>1469.39</v>
      </c>
      <c r="AR191">
        <f t="shared" si="140"/>
        <v>4.7230483397872582</v>
      </c>
    </row>
    <row r="192" spans="1:44" x14ac:dyDescent="0.3">
      <c r="A192" s="354" t="s">
        <v>107</v>
      </c>
      <c r="B192" s="11" t="s">
        <v>369</v>
      </c>
      <c r="C192" s="11"/>
      <c r="D192">
        <v>2014</v>
      </c>
      <c r="E192" s="18">
        <f>F192*$F$289</f>
        <v>297992.6982217055</v>
      </c>
      <c r="F192" s="18">
        <v>350000</v>
      </c>
      <c r="H192">
        <v>1686000</v>
      </c>
      <c r="I192" t="s">
        <v>102</v>
      </c>
      <c r="J192">
        <v>2900</v>
      </c>
      <c r="K192" s="9">
        <f t="shared" si="132"/>
        <v>11.7363</v>
      </c>
      <c r="L192" s="9">
        <f t="shared" si="133"/>
        <v>1173.6300000000001</v>
      </c>
      <c r="M192" s="1">
        <f t="shared" si="135"/>
        <v>9.7317820782387443</v>
      </c>
      <c r="N192" s="9">
        <f t="shared" si="134"/>
        <v>25.390685158159343</v>
      </c>
      <c r="O192">
        <v>2967</v>
      </c>
      <c r="P192" s="1">
        <f>O192*0.004047</f>
        <v>12.007449000000001</v>
      </c>
      <c r="Q192" s="1">
        <f>O192*0.4047</f>
        <v>1200.7448999999999</v>
      </c>
      <c r="R192" s="1">
        <f t="shared" ref="R192" si="143">O192/(E192/1000)</f>
        <v>9.956619802115295</v>
      </c>
      <c r="S192" s="1">
        <f>E192/1000/P192</f>
        <v>24.817319500728711</v>
      </c>
      <c r="T192" s="1"/>
      <c r="U192" s="1"/>
      <c r="V192" s="1"/>
      <c r="W192">
        <v>35.59751</v>
      </c>
      <c r="X192">
        <f>-115.33087</f>
        <v>-115.33087</v>
      </c>
      <c r="Y192" t="s">
        <v>21</v>
      </c>
      <c r="AA192" t="s">
        <v>106</v>
      </c>
      <c r="AB192" s="15">
        <v>0.1</v>
      </c>
      <c r="AC192" s="15" t="s">
        <v>366</v>
      </c>
      <c r="AD192" s="15" t="s">
        <v>102</v>
      </c>
      <c r="AE192" t="s">
        <v>24</v>
      </c>
      <c r="AF192" t="s">
        <v>34</v>
      </c>
      <c r="AG192" s="15" t="s">
        <v>353</v>
      </c>
      <c r="AI192">
        <v>1</v>
      </c>
      <c r="AJ192" s="22"/>
      <c r="AL192">
        <v>2583.9499999999998</v>
      </c>
      <c r="AM192">
        <f t="shared" si="137"/>
        <v>3.766242411129761</v>
      </c>
      <c r="AN192">
        <f t="shared" si="138"/>
        <v>3.853255597869655</v>
      </c>
      <c r="AO192">
        <v>2672.06</v>
      </c>
      <c r="AP192">
        <f t="shared" si="139"/>
        <v>3.642052228706969</v>
      </c>
      <c r="AQ192">
        <v>1469.39</v>
      </c>
      <c r="AR192">
        <f t="shared" si="140"/>
        <v>6.6230082403165556</v>
      </c>
    </row>
    <row r="193" spans="1:56" ht="15" thickBot="1" x14ac:dyDescent="0.35">
      <c r="A193" s="353" t="s">
        <v>35</v>
      </c>
      <c r="B193" t="s">
        <v>697</v>
      </c>
      <c r="D193">
        <v>2016</v>
      </c>
      <c r="E193" s="98">
        <v>300000</v>
      </c>
      <c r="F193" s="18">
        <f>E193/$F$289</f>
        <v>352357.62697071314</v>
      </c>
      <c r="I193" t="s">
        <v>698</v>
      </c>
      <c r="J193">
        <v>2013</v>
      </c>
      <c r="K193" s="9">
        <f t="shared" si="132"/>
        <v>8.146611</v>
      </c>
      <c r="L193" s="9">
        <f t="shared" si="133"/>
        <v>814.66110000000003</v>
      </c>
      <c r="M193" s="1">
        <f t="shared" si="135"/>
        <v>6.71</v>
      </c>
      <c r="N193" s="9">
        <f t="shared" si="134"/>
        <v>36.825128878744792</v>
      </c>
      <c r="R193" s="1"/>
      <c r="W193">
        <v>33.2393</v>
      </c>
      <c r="X193">
        <v>-112.6202</v>
      </c>
      <c r="Y193" t="s">
        <v>21</v>
      </c>
      <c r="AB193" s="111"/>
      <c r="AE193" t="s">
        <v>24</v>
      </c>
      <c r="AF193" t="s">
        <v>694</v>
      </c>
      <c r="AG193" t="s">
        <v>699</v>
      </c>
      <c r="AI193">
        <v>1</v>
      </c>
      <c r="AL193">
        <v>2584.4299999999998</v>
      </c>
      <c r="AM193">
        <f t="shared" si="137"/>
        <v>2.596317176321278</v>
      </c>
      <c r="AO193">
        <v>2672.06</v>
      </c>
      <c r="AP193">
        <f t="shared" si="139"/>
        <v>2.5111711563363102</v>
      </c>
      <c r="AQ193">
        <v>1469.39</v>
      </c>
      <c r="AR193">
        <f t="shared" si="140"/>
        <v>4.5665208011487755</v>
      </c>
    </row>
    <row r="194" spans="1:56" x14ac:dyDescent="0.3">
      <c r="A194" s="357" t="s">
        <v>3</v>
      </c>
      <c r="B194" t="s">
        <v>661</v>
      </c>
      <c r="D194">
        <v>2012</v>
      </c>
      <c r="E194" s="98">
        <v>30720</v>
      </c>
      <c r="F194" s="18">
        <v>37000</v>
      </c>
      <c r="G194">
        <v>140</v>
      </c>
      <c r="I194" t="s">
        <v>663</v>
      </c>
      <c r="J194">
        <v>225</v>
      </c>
      <c r="K194" s="9">
        <f t="shared" si="132"/>
        <v>0.91057500000000002</v>
      </c>
      <c r="L194" s="9">
        <f t="shared" si="133"/>
        <v>91.057500000000005</v>
      </c>
      <c r="M194" s="1">
        <f t="shared" si="135"/>
        <v>7.32421875</v>
      </c>
      <c r="N194" s="9">
        <f t="shared" si="134"/>
        <v>33.736924470801412</v>
      </c>
      <c r="O194">
        <v>186</v>
      </c>
      <c r="P194" s="1">
        <f>O194*0.004047</f>
        <v>0.75274200000000002</v>
      </c>
      <c r="Q194" s="1">
        <f>O194*0.4047</f>
        <v>75.274200000000008</v>
      </c>
      <c r="R194" s="1">
        <f t="shared" ref="R194" si="144">O194/(E194/1000)</f>
        <v>6.0546875</v>
      </c>
      <c r="S194" s="1">
        <f>E194/1000/P194</f>
        <v>40.810795730808159</v>
      </c>
      <c r="T194">
        <v>0.24359348049999999</v>
      </c>
      <c r="U194" s="1">
        <f>1/T194</f>
        <v>4.105200180018775</v>
      </c>
      <c r="V194" s="1">
        <f>T194*R194</f>
        <v>1.4748824014648436</v>
      </c>
      <c r="W194">
        <v>37.598750000000003</v>
      </c>
      <c r="X194">
        <v>-105.95184999999999</v>
      </c>
      <c r="Y194" t="s">
        <v>139</v>
      </c>
      <c r="Z194" t="s">
        <v>664</v>
      </c>
      <c r="AB194" s="15">
        <v>0.31</v>
      </c>
      <c r="AC194" t="s">
        <v>664</v>
      </c>
      <c r="AD194" t="s">
        <v>662</v>
      </c>
      <c r="AE194" t="s">
        <v>109</v>
      </c>
      <c r="AF194" t="s">
        <v>475</v>
      </c>
      <c r="AG194" t="s">
        <v>252</v>
      </c>
      <c r="AI194">
        <v>1</v>
      </c>
      <c r="AL194">
        <v>3089.14</v>
      </c>
      <c r="AM194">
        <f t="shared" si="137"/>
        <v>2.3709572081550205</v>
      </c>
      <c r="AN194">
        <f t="shared" si="138"/>
        <v>1.959991292074817</v>
      </c>
      <c r="AO194">
        <v>3150.65</v>
      </c>
      <c r="AP194">
        <f t="shared" si="139"/>
        <v>2.3246691158967199</v>
      </c>
      <c r="AQ194">
        <v>1682.24</v>
      </c>
      <c r="AR194">
        <f t="shared" si="140"/>
        <v>4.3538488860091302</v>
      </c>
    </row>
    <row r="195" spans="1:56" ht="15" thickBot="1" x14ac:dyDescent="0.35">
      <c r="A195" s="358" t="s">
        <v>26</v>
      </c>
      <c r="B195" t="s">
        <v>731</v>
      </c>
      <c r="D195">
        <v>2015</v>
      </c>
      <c r="E195" s="18">
        <f>F195*$F$289</f>
        <v>127711.15638073093</v>
      </c>
      <c r="F195">
        <v>150000</v>
      </c>
      <c r="I195" t="s">
        <v>730</v>
      </c>
      <c r="J195">
        <v>1057</v>
      </c>
      <c r="K195" s="9">
        <f t="shared" si="132"/>
        <v>4.277679</v>
      </c>
      <c r="L195" s="9">
        <f t="shared" si="133"/>
        <v>427.7679</v>
      </c>
      <c r="M195" s="1">
        <f t="shared" si="135"/>
        <v>8.2764891490676398</v>
      </c>
      <c r="N195" s="9">
        <f t="shared" si="134"/>
        <v>29.855245421811905</v>
      </c>
      <c r="R195" s="1"/>
      <c r="W195">
        <v>32.772010000000002</v>
      </c>
      <c r="X195">
        <v>-115.79382</v>
      </c>
      <c r="Y195" t="s">
        <v>139</v>
      </c>
      <c r="AB195" s="15">
        <v>0.25</v>
      </c>
      <c r="AC195" t="s">
        <v>732</v>
      </c>
      <c r="AE195" t="s">
        <v>24</v>
      </c>
      <c r="AF195" t="s">
        <v>475</v>
      </c>
      <c r="AG195" t="s">
        <v>252</v>
      </c>
      <c r="AI195">
        <v>1</v>
      </c>
      <c r="AL195">
        <v>2883.29</v>
      </c>
      <c r="AM195">
        <f t="shared" si="137"/>
        <v>2.870501804906076</v>
      </c>
      <c r="AO195">
        <v>3150.65</v>
      </c>
      <c r="AP195">
        <f t="shared" si="139"/>
        <v>2.6269148109335023</v>
      </c>
      <c r="AQ195">
        <v>1682.24</v>
      </c>
      <c r="AR195">
        <f t="shared" si="140"/>
        <v>4.9199217406955249</v>
      </c>
    </row>
    <row r="196" spans="1:56" x14ac:dyDescent="0.3">
      <c r="A196" s="359" t="s">
        <v>107</v>
      </c>
      <c r="B196" s="11" t="s">
        <v>207</v>
      </c>
      <c r="C196" s="11"/>
      <c r="D196">
        <v>2011</v>
      </c>
      <c r="E196" s="18">
        <f>F196*$F$289</f>
        <v>17532.187547946742</v>
      </c>
      <c r="F196" s="18">
        <v>20592</v>
      </c>
      <c r="H196">
        <v>52000</v>
      </c>
      <c r="I196" t="s">
        <v>423</v>
      </c>
      <c r="J196">
        <v>180</v>
      </c>
      <c r="K196" s="9">
        <f t="shared" si="132"/>
        <v>0.72846</v>
      </c>
      <c r="L196" s="9">
        <f t="shared" si="133"/>
        <v>72.846000000000004</v>
      </c>
      <c r="M196" s="1">
        <f t="shared" si="135"/>
        <v>10.266830622689778</v>
      </c>
      <c r="N196" s="9">
        <f t="shared" si="134"/>
        <v>24.067467737345552</v>
      </c>
      <c r="O196" s="24" t="s">
        <v>598</v>
      </c>
      <c r="P196" s="1"/>
      <c r="Q196" s="1"/>
      <c r="R196" s="1"/>
      <c r="S196" s="1"/>
      <c r="T196" s="1"/>
      <c r="U196" s="1"/>
      <c r="V196" s="1"/>
      <c r="W196" s="69">
        <v>40.098574999999997</v>
      </c>
      <c r="X196" s="69">
        <v>-119.889014</v>
      </c>
      <c r="Y196" t="s">
        <v>91</v>
      </c>
      <c r="Z196" t="s">
        <v>209</v>
      </c>
      <c r="AA196" s="10" t="s">
        <v>106</v>
      </c>
      <c r="AB196" s="15">
        <v>0.1</v>
      </c>
      <c r="AC196" s="15" t="s">
        <v>366</v>
      </c>
      <c r="AD196" s="15" t="s">
        <v>208</v>
      </c>
      <c r="AE196" t="s">
        <v>109</v>
      </c>
      <c r="AF196" t="s">
        <v>34</v>
      </c>
      <c r="AG196" s="15" t="s">
        <v>353</v>
      </c>
      <c r="AH196">
        <v>1</v>
      </c>
      <c r="AI196">
        <v>1</v>
      </c>
      <c r="AL196">
        <v>1979.37</v>
      </c>
      <c r="AM196">
        <f t="shared" si="137"/>
        <v>5.1869183743765834</v>
      </c>
      <c r="AO196">
        <v>2191.13</v>
      </c>
      <c r="AP196">
        <f t="shared" si="139"/>
        <v>4.6856328116952337</v>
      </c>
      <c r="AQ196">
        <v>1292.3800000000001</v>
      </c>
      <c r="AR196">
        <f t="shared" si="140"/>
        <v>7.9441268223663144</v>
      </c>
    </row>
    <row r="197" spans="1:56" x14ac:dyDescent="0.3">
      <c r="A197" s="342" t="s">
        <v>171</v>
      </c>
      <c r="B197" s="11" t="s">
        <v>482</v>
      </c>
      <c r="C197" s="11"/>
      <c r="D197">
        <v>2011</v>
      </c>
      <c r="E197" s="42">
        <v>18000</v>
      </c>
      <c r="F197" s="94">
        <v>20000</v>
      </c>
      <c r="G197">
        <v>90</v>
      </c>
      <c r="H197">
        <v>71400</v>
      </c>
      <c r="I197" t="s">
        <v>484</v>
      </c>
      <c r="J197" s="74">
        <v>134</v>
      </c>
      <c r="K197" s="9">
        <f t="shared" si="132"/>
        <v>0.54229800000000006</v>
      </c>
      <c r="L197" s="9">
        <f t="shared" si="133"/>
        <v>54.229799999999997</v>
      </c>
      <c r="M197" s="1">
        <f t="shared" si="135"/>
        <v>7.4444444444444446</v>
      </c>
      <c r="N197" s="1">
        <f t="shared" si="134"/>
        <v>33.19208258190146</v>
      </c>
      <c r="O197" s="11">
        <v>76.8</v>
      </c>
      <c r="P197" s="1">
        <f>O197*0.004047</f>
        <v>0.31080960000000002</v>
      </c>
      <c r="Q197" s="1">
        <f>O197*0.4047</f>
        <v>31.080959999999997</v>
      </c>
      <c r="R197" s="1">
        <f t="shared" ref="R197" si="145">O197/(E197/1000)</f>
        <v>4.2666666666666666</v>
      </c>
      <c r="S197" s="1">
        <f>E197/1000/P197</f>
        <v>57.91326908821349</v>
      </c>
      <c r="T197" s="11">
        <v>0.51100000000000001</v>
      </c>
      <c r="U197" s="1">
        <f>1/T197</f>
        <v>1.9569471624266144</v>
      </c>
      <c r="V197" s="1">
        <f>T197*R197</f>
        <v>2.1802666666666668</v>
      </c>
      <c r="W197" s="11">
        <v>39.614260000000002</v>
      </c>
      <c r="X197" s="11">
        <v>-75.309809000000001</v>
      </c>
      <c r="Y197" t="s">
        <v>91</v>
      </c>
      <c r="AA197" s="11"/>
      <c r="AB197" s="15">
        <v>0.14000000000000001</v>
      </c>
      <c r="AC197" t="s">
        <v>399</v>
      </c>
      <c r="AD197" t="s">
        <v>483</v>
      </c>
      <c r="AE197" t="s">
        <v>29</v>
      </c>
      <c r="AF197" t="s">
        <v>157</v>
      </c>
      <c r="AG197" s="15" t="s">
        <v>385</v>
      </c>
      <c r="AI197">
        <v>1</v>
      </c>
      <c r="AL197">
        <v>1600.89</v>
      </c>
      <c r="AM197">
        <f t="shared" si="137"/>
        <v>4.6501911089734111</v>
      </c>
      <c r="AN197">
        <f t="shared" si="138"/>
        <v>2.6651841579787905</v>
      </c>
      <c r="AO197">
        <v>2203.48</v>
      </c>
      <c r="AP197">
        <f t="shared" si="139"/>
        <v>3.3784942202536192</v>
      </c>
      <c r="AQ197">
        <v>1296.2</v>
      </c>
      <c r="AR197">
        <f t="shared" si="140"/>
        <v>5.7432837867955913</v>
      </c>
    </row>
    <row r="198" spans="1:56" x14ac:dyDescent="0.3">
      <c r="A198" s="360" t="s">
        <v>160</v>
      </c>
      <c r="B198" s="11" t="s">
        <v>161</v>
      </c>
      <c r="C198" s="11"/>
      <c r="D198">
        <v>2010</v>
      </c>
      <c r="E198" s="18">
        <f>F198*$F$289</f>
        <v>18730.969602507204</v>
      </c>
      <c r="F198" s="18">
        <v>22000</v>
      </c>
      <c r="G198">
        <v>130</v>
      </c>
      <c r="I198" t="s">
        <v>162</v>
      </c>
      <c r="J198">
        <v>160</v>
      </c>
      <c r="K198" s="9">
        <f t="shared" si="132"/>
        <v>0.6475200000000001</v>
      </c>
      <c r="L198" s="9">
        <f t="shared" si="133"/>
        <v>64.751999999999995</v>
      </c>
      <c r="M198" s="1">
        <f t="shared" si="135"/>
        <v>8.5420030780778937</v>
      </c>
      <c r="N198" s="9">
        <f t="shared" si="134"/>
        <v>28.927244876617252</v>
      </c>
      <c r="P198" s="1"/>
      <c r="Q198" s="1"/>
      <c r="R198" s="1"/>
      <c r="S198" s="1"/>
      <c r="T198" s="1"/>
      <c r="U198" s="1"/>
      <c r="V198" s="1"/>
      <c r="Y198" t="s">
        <v>91</v>
      </c>
      <c r="AA198" s="10" t="s">
        <v>106</v>
      </c>
      <c r="AB198" s="15"/>
      <c r="AC198" s="15"/>
      <c r="AD198" s="15"/>
      <c r="AE198" t="s">
        <v>109</v>
      </c>
      <c r="AF198" t="s">
        <v>157</v>
      </c>
      <c r="AG198" s="15" t="s">
        <v>352</v>
      </c>
      <c r="AI198">
        <v>1</v>
      </c>
      <c r="AL198">
        <v>2173.39</v>
      </c>
      <c r="AM198">
        <f t="shared" si="137"/>
        <v>3.9302670381652138</v>
      </c>
      <c r="AO198">
        <v>2200.21</v>
      </c>
      <c r="AP198">
        <f t="shared" si="139"/>
        <v>3.8823580831274711</v>
      </c>
      <c r="AQ198">
        <v>1294.4000000000001</v>
      </c>
      <c r="AR198">
        <f t="shared" si="140"/>
        <v>6.5991989169328589</v>
      </c>
    </row>
    <row r="199" spans="1:56" x14ac:dyDescent="0.3">
      <c r="A199" s="360" t="s">
        <v>26</v>
      </c>
      <c r="B199" s="11" t="s">
        <v>184</v>
      </c>
      <c r="C199" s="11"/>
      <c r="D199">
        <v>2009</v>
      </c>
      <c r="E199" s="42">
        <v>21000</v>
      </c>
      <c r="F199" s="94">
        <f>E199*1.2</f>
        <v>25200</v>
      </c>
      <c r="H199">
        <v>351000</v>
      </c>
      <c r="I199" t="s">
        <v>102</v>
      </c>
      <c r="J199">
        <v>186</v>
      </c>
      <c r="K199" s="9">
        <f t="shared" si="132"/>
        <v>0.75274200000000002</v>
      </c>
      <c r="L199" s="9">
        <f t="shared" si="133"/>
        <v>75.274200000000008</v>
      </c>
      <c r="M199" s="1">
        <f t="shared" si="135"/>
        <v>8.8571428571428577</v>
      </c>
      <c r="N199" s="9">
        <f t="shared" si="134"/>
        <v>27.898004894107142</v>
      </c>
      <c r="O199">
        <v>134.4</v>
      </c>
      <c r="P199" s="1">
        <f>O199*0.004047</f>
        <v>0.54391680000000009</v>
      </c>
      <c r="Q199" s="1">
        <f>O199*0.4047</f>
        <v>54.391680000000001</v>
      </c>
      <c r="R199" s="1">
        <f t="shared" ref="R199:R201" si="146">O199/(E199/1000)</f>
        <v>6.4</v>
      </c>
      <c r="S199" s="1">
        <f>E199/1000/P199</f>
        <v>38.608846058808986</v>
      </c>
      <c r="T199" s="1">
        <v>0.33</v>
      </c>
      <c r="U199" s="1">
        <f>1/T199</f>
        <v>3.0303030303030303</v>
      </c>
      <c r="V199" s="1">
        <f>T199*R199</f>
        <v>2.1120000000000001</v>
      </c>
      <c r="W199">
        <v>33.591261000000003</v>
      </c>
      <c r="X199" s="72">
        <f>-114.748228</f>
        <v>-114.748228</v>
      </c>
      <c r="Y199" t="s">
        <v>91</v>
      </c>
      <c r="AA199" s="10" t="s">
        <v>96</v>
      </c>
      <c r="AB199" s="15">
        <v>0.1</v>
      </c>
      <c r="AC199" s="15"/>
      <c r="AD199" s="15" t="s">
        <v>102</v>
      </c>
      <c r="AE199" t="s">
        <v>29</v>
      </c>
      <c r="AF199" s="15" t="s">
        <v>110</v>
      </c>
      <c r="AG199" s="15" t="s">
        <v>252</v>
      </c>
      <c r="AH199">
        <v>1</v>
      </c>
      <c r="AI199">
        <v>1</v>
      </c>
      <c r="AL199">
        <v>2088.94</v>
      </c>
      <c r="AM199">
        <f t="shared" si="137"/>
        <v>4.240017835429863</v>
      </c>
      <c r="AN199">
        <f t="shared" si="138"/>
        <v>3.0637548230202882</v>
      </c>
      <c r="AO199">
        <v>2204.25</v>
      </c>
      <c r="AP199">
        <f t="shared" si="139"/>
        <v>4.0182115718012286</v>
      </c>
      <c r="AQ199">
        <v>1292.6099999999999</v>
      </c>
      <c r="AR199">
        <f t="shared" si="140"/>
        <v>6.8521385856080794</v>
      </c>
    </row>
    <row r="200" spans="1:56" x14ac:dyDescent="0.3">
      <c r="A200" s="360" t="s">
        <v>160</v>
      </c>
      <c r="B200" s="11" t="s">
        <v>204</v>
      </c>
      <c r="C200" s="11"/>
      <c r="D200">
        <v>2010</v>
      </c>
      <c r="E200" s="94">
        <v>30000</v>
      </c>
      <c r="F200" s="18">
        <f>E200/$F$289</f>
        <v>35235.762697071317</v>
      </c>
      <c r="H200">
        <v>500000</v>
      </c>
      <c r="I200" t="s">
        <v>102</v>
      </c>
      <c r="J200">
        <v>250</v>
      </c>
      <c r="K200" s="9">
        <f t="shared" si="132"/>
        <v>1.0117500000000001</v>
      </c>
      <c r="L200" s="9">
        <f t="shared" si="133"/>
        <v>101.175</v>
      </c>
      <c r="M200" s="1">
        <f t="shared" si="135"/>
        <v>8.3333333333333339</v>
      </c>
      <c r="N200" s="9">
        <f t="shared" si="134"/>
        <v>29.651593773165303</v>
      </c>
      <c r="O200">
        <v>222</v>
      </c>
      <c r="P200" s="1">
        <f>O200*0.004047</f>
        <v>0.89843400000000007</v>
      </c>
      <c r="Q200" s="1">
        <f>O200*0.4047</f>
        <v>89.843400000000003</v>
      </c>
      <c r="R200" s="1">
        <f t="shared" si="146"/>
        <v>7.4</v>
      </c>
      <c r="S200" s="1">
        <f>E200/1000/P200</f>
        <v>33.391434429240206</v>
      </c>
      <c r="T200" s="1">
        <v>0.48899999999999999</v>
      </c>
      <c r="U200" s="1">
        <f>1/T200</f>
        <v>2.0449897750511248</v>
      </c>
      <c r="V200" s="1">
        <f>T200*R200</f>
        <v>3.6186000000000003</v>
      </c>
      <c r="W200">
        <v>36.466596000000003</v>
      </c>
      <c r="X200">
        <v>-104.638834</v>
      </c>
      <c r="Y200" t="s">
        <v>91</v>
      </c>
      <c r="AA200" s="69" t="s">
        <v>94</v>
      </c>
      <c r="AB200" s="15">
        <v>0.1</v>
      </c>
      <c r="AC200" s="15" t="s">
        <v>366</v>
      </c>
      <c r="AD200" s="15"/>
      <c r="AE200" t="s">
        <v>29</v>
      </c>
      <c r="AF200" t="s">
        <v>110</v>
      </c>
      <c r="AG200" s="15" t="s">
        <v>252</v>
      </c>
      <c r="AI200">
        <v>1</v>
      </c>
      <c r="AL200">
        <v>2139.75</v>
      </c>
      <c r="AM200">
        <f t="shared" si="137"/>
        <v>3.8945359660396464</v>
      </c>
      <c r="AN200">
        <f t="shared" si="138"/>
        <v>3.458347937843206</v>
      </c>
      <c r="AO200">
        <v>2202.77</v>
      </c>
      <c r="AP200">
        <f t="shared" si="139"/>
        <v>3.783115501542754</v>
      </c>
      <c r="AQ200">
        <v>1287.79</v>
      </c>
      <c r="AR200">
        <f t="shared" si="140"/>
        <v>6.4710343560156032</v>
      </c>
    </row>
    <row r="201" spans="1:56" x14ac:dyDescent="0.3">
      <c r="A201" s="360" t="s">
        <v>332</v>
      </c>
      <c r="B201" s="11" t="s">
        <v>333</v>
      </c>
      <c r="C201" s="11"/>
      <c r="D201">
        <v>2011</v>
      </c>
      <c r="E201" s="42">
        <v>32000</v>
      </c>
      <c r="F201" s="94">
        <v>37000</v>
      </c>
      <c r="H201">
        <v>167712</v>
      </c>
      <c r="J201">
        <v>200</v>
      </c>
      <c r="K201" s="9">
        <f t="shared" si="132"/>
        <v>0.80940000000000001</v>
      </c>
      <c r="L201" s="9">
        <f t="shared" si="133"/>
        <v>80.94</v>
      </c>
      <c r="M201" s="1">
        <f t="shared" si="135"/>
        <v>6.25</v>
      </c>
      <c r="N201" s="9">
        <f t="shared" si="134"/>
        <v>39.53545836422041</v>
      </c>
      <c r="O201">
        <v>195</v>
      </c>
      <c r="P201" s="1">
        <f>O201*0.004047</f>
        <v>0.78916500000000001</v>
      </c>
      <c r="Q201" s="1">
        <f>O201*0.4047</f>
        <v>78.916499999999999</v>
      </c>
      <c r="R201" s="1">
        <f t="shared" si="146"/>
        <v>6.09375</v>
      </c>
      <c r="S201" s="1">
        <f>E201/1000/P201</f>
        <v>40.549188065867085</v>
      </c>
      <c r="T201" s="1">
        <v>0.4264</v>
      </c>
      <c r="U201" s="1">
        <f>1/T201</f>
        <v>2.3452157598499062</v>
      </c>
      <c r="V201" s="1">
        <f>T201*R201</f>
        <v>2.5983749999999999</v>
      </c>
      <c r="W201" s="53">
        <v>40.864069999999998</v>
      </c>
      <c r="X201" s="54">
        <v>-72.855490000000003</v>
      </c>
      <c r="Y201" t="s">
        <v>91</v>
      </c>
      <c r="AA201" s="11" t="s">
        <v>95</v>
      </c>
      <c r="AB201" s="15">
        <v>0.13200000000000001</v>
      </c>
      <c r="AC201" s="15" t="s">
        <v>399</v>
      </c>
      <c r="AD201" s="15" t="s">
        <v>335</v>
      </c>
      <c r="AE201" t="s">
        <v>109</v>
      </c>
      <c r="AF201" t="s">
        <v>334</v>
      </c>
      <c r="AG201" s="15" t="s">
        <v>353</v>
      </c>
      <c r="AH201">
        <v>1</v>
      </c>
      <c r="AI201">
        <v>1</v>
      </c>
      <c r="AL201">
        <v>1563.89</v>
      </c>
      <c r="AM201">
        <f t="shared" si="137"/>
        <v>3.9964447627390673</v>
      </c>
      <c r="AN201">
        <f t="shared" si="138"/>
        <v>3.8965336436705904</v>
      </c>
      <c r="AO201">
        <v>2182.5</v>
      </c>
      <c r="AP201">
        <f t="shared" si="139"/>
        <v>2.86368843069874</v>
      </c>
      <c r="AQ201">
        <v>1290.1300000000001</v>
      </c>
      <c r="AR201">
        <f t="shared" si="140"/>
        <v>4.8444730376008618</v>
      </c>
    </row>
    <row r="202" spans="1:56" x14ac:dyDescent="0.3">
      <c r="A202" s="342" t="s">
        <v>148</v>
      </c>
      <c r="B202" s="11" t="s">
        <v>566</v>
      </c>
      <c r="C202" s="11"/>
      <c r="D202">
        <v>2012</v>
      </c>
      <c r="E202" s="75">
        <f>F202*$F$289</f>
        <v>34056.308368194914</v>
      </c>
      <c r="F202" s="75">
        <v>40000</v>
      </c>
      <c r="G202">
        <v>200</v>
      </c>
      <c r="H202">
        <v>174000</v>
      </c>
      <c r="I202" t="s">
        <v>567</v>
      </c>
      <c r="J202" s="74">
        <v>140</v>
      </c>
      <c r="K202" s="9">
        <f t="shared" si="132"/>
        <v>0.56658000000000008</v>
      </c>
      <c r="L202" s="9">
        <f t="shared" si="133"/>
        <v>56.658000000000001</v>
      </c>
      <c r="M202" s="1">
        <f t="shared" si="135"/>
        <v>4.1108389813249868</v>
      </c>
      <c r="N202" s="1">
        <f t="shared" si="134"/>
        <v>60.108560782581293</v>
      </c>
      <c r="O202" s="11"/>
      <c r="P202" s="1"/>
      <c r="Q202" s="1"/>
      <c r="R202" s="1"/>
      <c r="S202" s="1"/>
      <c r="T202" s="11"/>
      <c r="U202" s="11"/>
      <c r="V202" s="11"/>
      <c r="W202" s="11">
        <v>28.837299999999999</v>
      </c>
      <c r="X202" s="11">
        <v>-81.561999999999998</v>
      </c>
      <c r="Y202" t="s">
        <v>91</v>
      </c>
      <c r="AA202" s="11"/>
      <c r="AB202" s="15">
        <v>0.14099999999999999</v>
      </c>
      <c r="AC202" s="11" t="s">
        <v>391</v>
      </c>
      <c r="AD202" t="s">
        <v>569</v>
      </c>
      <c r="AE202" t="s">
        <v>109</v>
      </c>
      <c r="AF202" t="s">
        <v>475</v>
      </c>
      <c r="AG202" s="15" t="s">
        <v>385</v>
      </c>
      <c r="AH202">
        <v>1</v>
      </c>
      <c r="AI202">
        <v>1</v>
      </c>
      <c r="AJ202" s="22"/>
      <c r="AL202">
        <v>1733.32</v>
      </c>
      <c r="AM202">
        <f t="shared" si="137"/>
        <v>2.371656117349934</v>
      </c>
      <c r="AO202">
        <v>2202.16</v>
      </c>
      <c r="AP202">
        <f t="shared" si="139"/>
        <v>1.8667303834984685</v>
      </c>
      <c r="AQ202">
        <v>1294.43</v>
      </c>
      <c r="AR202">
        <f t="shared" si="140"/>
        <v>3.1757908742264829</v>
      </c>
    </row>
    <row r="203" spans="1:56" x14ac:dyDescent="0.3">
      <c r="A203" s="342" t="s">
        <v>26</v>
      </c>
      <c r="B203" s="11" t="s">
        <v>401</v>
      </c>
      <c r="C203" s="11"/>
      <c r="D203">
        <v>2011</v>
      </c>
      <c r="E203" s="42">
        <v>45000</v>
      </c>
      <c r="F203" s="94">
        <v>57715</v>
      </c>
      <c r="H203">
        <v>450900</v>
      </c>
      <c r="I203" t="s">
        <v>404</v>
      </c>
      <c r="J203" s="74">
        <v>500</v>
      </c>
      <c r="K203" s="9">
        <f t="shared" si="132"/>
        <v>2.0235000000000003</v>
      </c>
      <c r="L203" s="9">
        <f t="shared" si="133"/>
        <v>202.35</v>
      </c>
      <c r="M203" s="1">
        <f t="shared" si="135"/>
        <v>11.111111111111111</v>
      </c>
      <c r="N203" s="1">
        <f t="shared" si="134"/>
        <v>22.238695329873977</v>
      </c>
      <c r="O203">
        <v>345</v>
      </c>
      <c r="P203" s="1">
        <f>O203*0.004047</f>
        <v>1.396215</v>
      </c>
      <c r="Q203" s="1">
        <f>O203*0.4047</f>
        <v>139.6215</v>
      </c>
      <c r="R203" s="1">
        <f t="shared" ref="R203:R204" si="147">O203/(E203/1000)</f>
        <v>7.666666666666667</v>
      </c>
      <c r="S203" s="1">
        <f>E203/1000/P203</f>
        <v>32.229993231701421</v>
      </c>
      <c r="T203" s="1">
        <v>0.47220000000000001</v>
      </c>
      <c r="U203" s="1"/>
      <c r="V203" s="1"/>
      <c r="W203">
        <v>35.984084000000003</v>
      </c>
      <c r="X203">
        <v>-120.10288199999999</v>
      </c>
      <c r="Y203" t="s">
        <v>91</v>
      </c>
      <c r="AA203" s="11" t="s">
        <v>96</v>
      </c>
      <c r="AB203" s="15">
        <v>0.09</v>
      </c>
      <c r="AC203" t="s">
        <v>366</v>
      </c>
      <c r="AD203" t="s">
        <v>402</v>
      </c>
      <c r="AE203" t="s">
        <v>29</v>
      </c>
      <c r="AF203" t="s">
        <v>405</v>
      </c>
      <c r="AG203" s="15" t="s">
        <v>252</v>
      </c>
      <c r="AI203">
        <v>1</v>
      </c>
      <c r="AL203">
        <v>1878.08</v>
      </c>
      <c r="AM203">
        <f t="shared" ref="AM203:AM209" si="148">1/(AL203/$M203/1000)</f>
        <v>5.9162075689593161</v>
      </c>
      <c r="AN203">
        <f>1/(AL203/$R203/1000)</f>
        <v>4.0821832225819277</v>
      </c>
      <c r="AO203">
        <v>2202.37</v>
      </c>
      <c r="AP203">
        <f t="shared" ref="AP203:AP209" si="149">1/(AO203/$M203/1000)</f>
        <v>5.0450701340424677</v>
      </c>
      <c r="AQ203">
        <v>1289.95</v>
      </c>
      <c r="AR203">
        <f t="shared" ref="AR203:AR209" si="150">1/(AQ203/$M203/1000)</f>
        <v>8.6135982876166608</v>
      </c>
    </row>
    <row r="204" spans="1:56" x14ac:dyDescent="0.3">
      <c r="A204" s="360" t="s">
        <v>26</v>
      </c>
      <c r="B204" s="11" t="s">
        <v>187</v>
      </c>
      <c r="C204" s="11"/>
      <c r="D204">
        <v>2010</v>
      </c>
      <c r="E204" s="42">
        <v>48000</v>
      </c>
      <c r="F204" s="94">
        <v>58000</v>
      </c>
      <c r="G204">
        <v>141</v>
      </c>
      <c r="H204">
        <v>775000</v>
      </c>
      <c r="I204" t="s">
        <v>375</v>
      </c>
      <c r="J204">
        <v>380</v>
      </c>
      <c r="K204" s="9">
        <f t="shared" si="132"/>
        <v>1.53786</v>
      </c>
      <c r="L204" s="9">
        <f t="shared" si="133"/>
        <v>153.786</v>
      </c>
      <c r="M204" s="1">
        <f t="shared" si="135"/>
        <v>7.916666666666667</v>
      </c>
      <c r="N204" s="9">
        <f t="shared" si="134"/>
        <v>31.212203971752956</v>
      </c>
      <c r="O204">
        <v>326</v>
      </c>
      <c r="P204" s="1">
        <f>O204*0.004047</f>
        <v>1.3193220000000001</v>
      </c>
      <c r="Q204" s="1">
        <f>O204*0.4047</f>
        <v>131.93219999999999</v>
      </c>
      <c r="R204" s="1">
        <f t="shared" si="147"/>
        <v>6.791666666666667</v>
      </c>
      <c r="S204" s="1">
        <f>E204/1000/P204</f>
        <v>36.382323648055589</v>
      </c>
      <c r="T204" s="1">
        <v>0.45341999999999999</v>
      </c>
      <c r="U204" s="1"/>
      <c r="V204" s="1"/>
      <c r="W204">
        <v>35.783332999999999</v>
      </c>
      <c r="X204">
        <v>-114.99166700000001</v>
      </c>
      <c r="Y204" t="s">
        <v>91</v>
      </c>
      <c r="AA204" s="10" t="s">
        <v>96</v>
      </c>
      <c r="AB204" s="15">
        <v>0.1</v>
      </c>
      <c r="AC204" s="15" t="s">
        <v>366</v>
      </c>
      <c r="AD204" s="15" t="s">
        <v>102</v>
      </c>
      <c r="AE204" t="s">
        <v>24</v>
      </c>
      <c r="AF204" t="s">
        <v>110</v>
      </c>
      <c r="AG204" s="15" t="s">
        <v>252</v>
      </c>
      <c r="AI204">
        <v>1</v>
      </c>
      <c r="AL204">
        <v>2113.94</v>
      </c>
      <c r="AM204">
        <f t="shared" si="148"/>
        <v>3.7449817244891848</v>
      </c>
      <c r="AN204">
        <f>1/(AL204/$R204/1000)</f>
        <v>3.2128001110091429</v>
      </c>
      <c r="AO204">
        <v>2182.09</v>
      </c>
      <c r="AP204">
        <f t="shared" si="149"/>
        <v>3.6280202313683976</v>
      </c>
      <c r="AQ204">
        <v>1288.22</v>
      </c>
      <c r="AR204">
        <f t="shared" si="150"/>
        <v>6.1454306459041668</v>
      </c>
    </row>
    <row r="205" spans="1:56" x14ac:dyDescent="0.3">
      <c r="A205" s="342" t="s">
        <v>148</v>
      </c>
      <c r="B205" s="11" t="s">
        <v>568</v>
      </c>
      <c r="C205" s="11"/>
      <c r="D205">
        <v>2012</v>
      </c>
      <c r="E205" s="75">
        <f>F205*$F$289</f>
        <v>51084.462552292374</v>
      </c>
      <c r="F205" s="75">
        <v>60000</v>
      </c>
      <c r="I205" t="s">
        <v>567</v>
      </c>
      <c r="J205" s="74">
        <f>500-140</f>
        <v>360</v>
      </c>
      <c r="K205" s="9">
        <f t="shared" si="132"/>
        <v>1.45692</v>
      </c>
      <c r="L205" s="9">
        <f t="shared" si="133"/>
        <v>145.69200000000001</v>
      </c>
      <c r="M205" s="1">
        <f t="shared" si="135"/>
        <v>7.0471525394142631</v>
      </c>
      <c r="N205" s="1">
        <f t="shared" si="134"/>
        <v>35.063327123172428</v>
      </c>
      <c r="O205" s="11"/>
      <c r="P205" s="1"/>
      <c r="Q205" s="1"/>
      <c r="R205" s="1"/>
      <c r="S205" s="1"/>
      <c r="T205" s="11"/>
      <c r="U205" s="11"/>
      <c r="V205" s="11"/>
      <c r="W205" s="11">
        <v>28.837299999999999</v>
      </c>
      <c r="X205" s="11">
        <v>-81.561999999999998</v>
      </c>
      <c r="Y205" t="s">
        <v>91</v>
      </c>
      <c r="AA205" s="11"/>
      <c r="AB205" s="15">
        <v>0.158</v>
      </c>
      <c r="AC205" s="11" t="s">
        <v>391</v>
      </c>
      <c r="AD205" t="s">
        <v>569</v>
      </c>
      <c r="AE205" s="73" t="s">
        <v>24</v>
      </c>
      <c r="AF205" t="s">
        <v>157</v>
      </c>
      <c r="AG205" s="15" t="s">
        <v>380</v>
      </c>
      <c r="AI205">
        <v>1</v>
      </c>
      <c r="AL205">
        <v>1733.32</v>
      </c>
      <c r="AM205">
        <f t="shared" si="148"/>
        <v>4.0656962011713143</v>
      </c>
      <c r="AO205">
        <v>2202.16</v>
      </c>
      <c r="AP205">
        <f t="shared" si="149"/>
        <v>3.200109228854517</v>
      </c>
      <c r="AQ205">
        <v>1294.43</v>
      </c>
      <c r="AR205">
        <f t="shared" si="150"/>
        <v>5.4442129272453998</v>
      </c>
    </row>
    <row r="206" spans="1:56" x14ac:dyDescent="0.3">
      <c r="A206" s="360" t="s">
        <v>107</v>
      </c>
      <c r="B206" s="11" t="s">
        <v>368</v>
      </c>
      <c r="C206" s="11"/>
      <c r="D206">
        <v>2012</v>
      </c>
      <c r="E206" s="42">
        <v>50400</v>
      </c>
      <c r="F206" s="94">
        <v>65100</v>
      </c>
      <c r="H206">
        <v>840000</v>
      </c>
      <c r="I206" t="s">
        <v>102</v>
      </c>
      <c r="J206">
        <v>600</v>
      </c>
      <c r="K206" s="9">
        <f t="shared" si="132"/>
        <v>2.4282000000000004</v>
      </c>
      <c r="L206" s="9">
        <f t="shared" si="133"/>
        <v>242.82</v>
      </c>
      <c r="M206" s="1">
        <f t="shared" si="135"/>
        <v>11.904761904761905</v>
      </c>
      <c r="N206" s="9">
        <f t="shared" si="134"/>
        <v>20.756115641215711</v>
      </c>
      <c r="P206" s="1"/>
      <c r="Q206" s="1"/>
      <c r="R206" s="1"/>
      <c r="S206" s="1"/>
      <c r="T206" s="1"/>
      <c r="U206" s="1"/>
      <c r="V206" s="1"/>
      <c r="W206">
        <v>34.59751</v>
      </c>
      <c r="X206">
        <f>-115.33087</f>
        <v>-115.33087</v>
      </c>
      <c r="Y206" t="s">
        <v>91</v>
      </c>
      <c r="Z206" t="s">
        <v>370</v>
      </c>
      <c r="AA206" t="s">
        <v>106</v>
      </c>
      <c r="AB206" s="15">
        <v>0.1</v>
      </c>
      <c r="AC206" s="15" t="s">
        <v>366</v>
      </c>
      <c r="AD206" s="15" t="s">
        <v>102</v>
      </c>
      <c r="AE206" t="s">
        <v>109</v>
      </c>
      <c r="AF206" s="15" t="s">
        <v>34</v>
      </c>
      <c r="AG206" s="15" t="s">
        <v>353</v>
      </c>
      <c r="AH206">
        <v>1</v>
      </c>
      <c r="AI206">
        <v>1</v>
      </c>
      <c r="AL206">
        <v>2104</v>
      </c>
      <c r="AM206">
        <f t="shared" si="148"/>
        <v>5.65815679884121</v>
      </c>
      <c r="AO206">
        <v>2162.7600000000002</v>
      </c>
      <c r="AP206">
        <f t="shared" si="149"/>
        <v>5.5044304059451372</v>
      </c>
      <c r="AQ206">
        <v>1277.98</v>
      </c>
      <c r="AR206">
        <f t="shared" si="150"/>
        <v>9.3152959394997605</v>
      </c>
    </row>
    <row r="207" spans="1:56" x14ac:dyDescent="0.3">
      <c r="A207" s="343" t="s">
        <v>35</v>
      </c>
      <c r="B207" t="s">
        <v>658</v>
      </c>
      <c r="D207">
        <v>2014</v>
      </c>
      <c r="E207" s="98">
        <v>290000</v>
      </c>
      <c r="F207" s="18">
        <f>E207/$F$289</f>
        <v>340612.37273835606</v>
      </c>
      <c r="G207">
        <v>1800</v>
      </c>
      <c r="I207" t="s">
        <v>659</v>
      </c>
      <c r="J207">
        <v>2400</v>
      </c>
      <c r="K207" s="9">
        <f t="shared" si="132"/>
        <v>9.7128000000000014</v>
      </c>
      <c r="L207" s="9">
        <f t="shared" si="133"/>
        <v>971.28</v>
      </c>
      <c r="M207" s="1">
        <f t="shared" si="135"/>
        <v>8.2758620689655178</v>
      </c>
      <c r="N207" s="9">
        <f t="shared" si="134"/>
        <v>29.857507618812285</v>
      </c>
      <c r="R207" s="1"/>
      <c r="W207">
        <v>32.965800000000002</v>
      </c>
      <c r="X207">
        <v>-113.52719999999999</v>
      </c>
      <c r="Y207" t="s">
        <v>91</v>
      </c>
      <c r="AB207" s="15">
        <v>0.107</v>
      </c>
      <c r="AC207" t="s">
        <v>366</v>
      </c>
      <c r="AD207" t="s">
        <v>660</v>
      </c>
      <c r="AE207" t="s">
        <v>109</v>
      </c>
      <c r="AF207" t="s">
        <v>475</v>
      </c>
      <c r="AG207" t="s">
        <v>252</v>
      </c>
      <c r="AI207">
        <v>1</v>
      </c>
      <c r="AL207">
        <v>2092.16</v>
      </c>
      <c r="AM207">
        <f t="shared" si="148"/>
        <v>3.9556544762186059</v>
      </c>
      <c r="AO207">
        <v>2200.21</v>
      </c>
      <c r="AP207">
        <f t="shared" si="149"/>
        <v>3.7613964435056282</v>
      </c>
      <c r="AQ207">
        <v>1294.4000000000001</v>
      </c>
      <c r="AR207">
        <f t="shared" si="150"/>
        <v>6.3935893610673036</v>
      </c>
    </row>
    <row r="208" spans="1:56" x14ac:dyDescent="0.3">
      <c r="A208" s="360" t="s">
        <v>26</v>
      </c>
      <c r="B208" s="11" t="s">
        <v>101</v>
      </c>
      <c r="C208" s="11"/>
      <c r="D208">
        <v>2013</v>
      </c>
      <c r="E208" s="94">
        <v>550000</v>
      </c>
      <c r="F208" s="18">
        <f>E208/$F$289</f>
        <v>645988.98277964082</v>
      </c>
      <c r="G208">
        <v>254</v>
      </c>
      <c r="I208" t="s">
        <v>102</v>
      </c>
      <c r="J208">
        <v>4245</v>
      </c>
      <c r="K208" s="9">
        <f t="shared" si="132"/>
        <v>17.179515000000002</v>
      </c>
      <c r="L208" s="9">
        <f t="shared" si="133"/>
        <v>1717.9515000000001</v>
      </c>
      <c r="M208" s="1">
        <f t="shared" si="135"/>
        <v>7.7181818181818178</v>
      </c>
      <c r="N208" s="9">
        <f t="shared" si="134"/>
        <v>32.014873528152563</v>
      </c>
      <c r="O208">
        <v>3005</v>
      </c>
      <c r="P208" s="1">
        <f>O208*0.004047</f>
        <v>12.161235000000001</v>
      </c>
      <c r="Q208" s="1">
        <f>O208*0.4047</f>
        <v>1216.1234999999999</v>
      </c>
      <c r="R208" s="1">
        <f t="shared" ref="R208" si="151">O208/(E208/1000)</f>
        <v>5.4636363636363638</v>
      </c>
      <c r="S208" s="1">
        <f>E208/1000/P208</f>
        <v>45.225669925792893</v>
      </c>
      <c r="T208" s="1">
        <f>0.51594/1.15094</f>
        <v>0.44827706048968663</v>
      </c>
      <c r="U208" s="1">
        <f>1/T208</f>
        <v>2.230763267046556</v>
      </c>
      <c r="V208" s="1">
        <f>T208*R208</f>
        <v>2.4492228486754697</v>
      </c>
      <c r="W208">
        <v>33.812399999999997</v>
      </c>
      <c r="X208">
        <v>-115.39709999999999</v>
      </c>
      <c r="Y208" t="s">
        <v>91</v>
      </c>
      <c r="AA208" s="11" t="s">
        <v>95</v>
      </c>
      <c r="AB208" s="15">
        <v>0.1</v>
      </c>
      <c r="AC208" s="15" t="s">
        <v>366</v>
      </c>
      <c r="AD208" s="15" t="s">
        <v>102</v>
      </c>
      <c r="AE208" t="s">
        <v>24</v>
      </c>
      <c r="AF208" s="15" t="s">
        <v>53</v>
      </c>
      <c r="AG208" s="15" t="s">
        <v>353</v>
      </c>
      <c r="AI208">
        <v>1</v>
      </c>
      <c r="AL208">
        <v>2142.7800000000002</v>
      </c>
      <c r="AM208">
        <f t="shared" si="148"/>
        <v>3.6019478519408517</v>
      </c>
      <c r="AN208">
        <f>1/(AL208/$R208/1000)</f>
        <v>2.5497887620924047</v>
      </c>
      <c r="AO208">
        <v>2203.56</v>
      </c>
      <c r="AP208">
        <f t="shared" si="149"/>
        <v>3.5025966246355074</v>
      </c>
      <c r="AQ208">
        <v>1294.1400000000001</v>
      </c>
      <c r="AR208">
        <f t="shared" si="150"/>
        <v>5.9639465731542307</v>
      </c>
      <c r="BA208" t="s">
        <v>769</v>
      </c>
      <c r="BD208" s="15"/>
    </row>
    <row r="209" spans="1:66" ht="15" thickBot="1" x14ac:dyDescent="0.35">
      <c r="A209" s="344" t="s">
        <v>26</v>
      </c>
      <c r="B209" s="11" t="s">
        <v>570</v>
      </c>
      <c r="C209" s="11"/>
      <c r="D209">
        <v>2014</v>
      </c>
      <c r="E209" s="94">
        <v>550000</v>
      </c>
      <c r="F209" s="18">
        <f>E209/$F$289</f>
        <v>645988.98277964082</v>
      </c>
      <c r="G209">
        <v>1200</v>
      </c>
      <c r="H209">
        <v>9000000</v>
      </c>
      <c r="I209" t="s">
        <v>571</v>
      </c>
      <c r="J209" s="74">
        <v>3500</v>
      </c>
      <c r="K209" s="9">
        <f t="shared" ref="K209:K240" si="152">J209*0.004047</f>
        <v>14.1645</v>
      </c>
      <c r="L209" s="9">
        <f t="shared" ref="L209:L242" si="153">J209*0.4047</f>
        <v>1416.45</v>
      </c>
      <c r="M209" s="1">
        <f t="shared" si="135"/>
        <v>6.3636363636363633</v>
      </c>
      <c r="N209" s="1">
        <f t="shared" ref="N209:N235" si="154">E209/1000/K209</f>
        <v>38.829468036287899</v>
      </c>
      <c r="O209" t="s">
        <v>598</v>
      </c>
      <c r="P209" s="1"/>
      <c r="Q209" s="1"/>
      <c r="R209" s="1"/>
      <c r="S209" s="1"/>
      <c r="T209" s="11"/>
      <c r="U209" s="11"/>
      <c r="V209" s="11"/>
      <c r="W209" s="11">
        <v>35.365969911217697</v>
      </c>
      <c r="X209" s="11">
        <v>-120.040639713407</v>
      </c>
      <c r="Y209" t="s">
        <v>91</v>
      </c>
      <c r="AA209" s="11"/>
      <c r="AB209" s="15">
        <v>0.107</v>
      </c>
      <c r="AC209" s="11" t="s">
        <v>366</v>
      </c>
      <c r="AD209" t="s">
        <v>102</v>
      </c>
      <c r="AE209" t="s">
        <v>109</v>
      </c>
      <c r="AF209" t="s">
        <v>475</v>
      </c>
      <c r="AG209" s="15" t="s">
        <v>444</v>
      </c>
      <c r="AI209">
        <v>1</v>
      </c>
      <c r="AL209">
        <v>2022.86</v>
      </c>
      <c r="AM209">
        <f t="shared" si="148"/>
        <v>3.1458609906945432</v>
      </c>
      <c r="AO209">
        <v>2191.13</v>
      </c>
      <c r="AP209">
        <f t="shared" si="149"/>
        <v>2.9042714780210956</v>
      </c>
      <c r="AQ209">
        <v>1292.3800000000001</v>
      </c>
      <c r="AR209">
        <f t="shared" si="150"/>
        <v>4.9239669165697109</v>
      </c>
      <c r="BD209" s="15"/>
    </row>
    <row r="210" spans="1:66" x14ac:dyDescent="0.3">
      <c r="A210" s="69" t="s">
        <v>26</v>
      </c>
      <c r="B210" s="11" t="s">
        <v>378</v>
      </c>
      <c r="C210" s="11"/>
      <c r="D210">
        <v>2012</v>
      </c>
      <c r="E210" s="18">
        <f>F210*$F$289</f>
        <v>17028.154184097457</v>
      </c>
      <c r="F210" s="18">
        <v>20000</v>
      </c>
      <c r="J210">
        <v>180</v>
      </c>
      <c r="K210" s="9">
        <f t="shared" si="152"/>
        <v>0.72846</v>
      </c>
      <c r="L210" s="9">
        <f t="shared" si="153"/>
        <v>72.846000000000004</v>
      </c>
      <c r="M210" s="1">
        <f t="shared" si="135"/>
        <v>10.570728809121395</v>
      </c>
      <c r="N210" s="9">
        <f t="shared" si="154"/>
        <v>23.375551415448282</v>
      </c>
      <c r="P210" s="1"/>
      <c r="Q210" s="1"/>
      <c r="R210" s="1"/>
      <c r="S210" s="1"/>
      <c r="T210" s="1"/>
      <c r="U210" s="1"/>
      <c r="V210" s="1"/>
      <c r="W210" s="24"/>
      <c r="X210" s="24"/>
      <c r="Y210" t="s">
        <v>203</v>
      </c>
      <c r="AA210" s="24"/>
      <c r="AB210" s="15"/>
      <c r="AC210" s="15"/>
      <c r="AD210" s="15"/>
      <c r="AE210" t="s">
        <v>24</v>
      </c>
      <c r="AF210" t="s">
        <v>157</v>
      </c>
      <c r="AG210" s="15" t="s">
        <v>352</v>
      </c>
      <c r="AI210">
        <v>1</v>
      </c>
      <c r="BA210" s="65" t="s">
        <v>756</v>
      </c>
      <c r="BB210" t="s">
        <v>766</v>
      </c>
      <c r="BC210" s="8" t="s">
        <v>336</v>
      </c>
      <c r="BD210" s="15"/>
    </row>
    <row r="211" spans="1:66" x14ac:dyDescent="0.3">
      <c r="A211" t="s">
        <v>26</v>
      </c>
      <c r="B211" t="s">
        <v>656</v>
      </c>
      <c r="D211">
        <v>2012</v>
      </c>
      <c r="E211" s="108">
        <v>20000</v>
      </c>
      <c r="F211" s="98">
        <v>23500</v>
      </c>
      <c r="H211">
        <v>187500</v>
      </c>
      <c r="I211" t="s">
        <v>657</v>
      </c>
      <c r="J211">
        <v>160</v>
      </c>
      <c r="K211" s="9">
        <f t="shared" si="152"/>
        <v>0.6475200000000001</v>
      </c>
      <c r="L211" s="9">
        <f t="shared" si="153"/>
        <v>64.751999999999995</v>
      </c>
      <c r="M211" s="1">
        <f t="shared" si="135"/>
        <v>8</v>
      </c>
      <c r="N211" s="9">
        <f t="shared" si="154"/>
        <v>30.88707684704719</v>
      </c>
      <c r="W211">
        <v>35.856999999999999</v>
      </c>
      <c r="X211">
        <v>-119.44029999999999</v>
      </c>
      <c r="Y211" t="s">
        <v>203</v>
      </c>
      <c r="AB211" s="111"/>
      <c r="AD211" t="s">
        <v>174</v>
      </c>
      <c r="AE211" t="s">
        <v>109</v>
      </c>
      <c r="AF211" t="s">
        <v>611</v>
      </c>
      <c r="AG211" t="s">
        <v>380</v>
      </c>
      <c r="AI211">
        <v>1</v>
      </c>
      <c r="BA211" s="8" t="s">
        <v>241</v>
      </c>
      <c r="BB211">
        <f>A147</f>
        <v>126</v>
      </c>
      <c r="BC211" s="101">
        <f>SUM(O3:O128)/SUMIF(O3:O128,"&gt;0",J3:J128)</f>
        <v>0.7245949246312563</v>
      </c>
      <c r="BD211" s="15"/>
    </row>
    <row r="212" spans="1:66" x14ac:dyDescent="0.3">
      <c r="A212" t="s">
        <v>26</v>
      </c>
      <c r="B212" t="s">
        <v>673</v>
      </c>
      <c r="D212">
        <v>2013</v>
      </c>
      <c r="E212" s="98">
        <v>20000</v>
      </c>
      <c r="F212" s="18">
        <f>E212/$F$289</f>
        <v>23490.50846471421</v>
      </c>
      <c r="I212" t="s">
        <v>8</v>
      </c>
      <c r="J212">
        <v>160</v>
      </c>
      <c r="K212" s="9">
        <f t="shared" si="152"/>
        <v>0.6475200000000001</v>
      </c>
      <c r="L212" s="9">
        <f t="shared" si="153"/>
        <v>64.751999999999995</v>
      </c>
      <c r="M212" s="1">
        <f t="shared" si="135"/>
        <v>8</v>
      </c>
      <c r="N212" s="9">
        <f t="shared" si="154"/>
        <v>30.88707684704719</v>
      </c>
      <c r="W212">
        <v>35.097700000000003</v>
      </c>
      <c r="X212">
        <v>-118.9539</v>
      </c>
      <c r="Y212" t="s">
        <v>203</v>
      </c>
      <c r="AB212" s="111"/>
      <c r="AE212" t="s">
        <v>24</v>
      </c>
      <c r="AF212" t="s">
        <v>475</v>
      </c>
      <c r="AG212" t="s">
        <v>385</v>
      </c>
      <c r="AI212">
        <v>1</v>
      </c>
      <c r="BA212" s="8" t="s">
        <v>244</v>
      </c>
      <c r="BB212">
        <f>A281</f>
        <v>65</v>
      </c>
      <c r="BC212" s="101">
        <f>SUM(O178:O242)/SUMIF(O178:O242,"&gt;0",J178:J242)</f>
        <v>0.84269765109773853</v>
      </c>
      <c r="BD212" s="15"/>
    </row>
    <row r="213" spans="1:66" x14ac:dyDescent="0.3">
      <c r="A213" t="s">
        <v>26</v>
      </c>
      <c r="B213" t="s">
        <v>675</v>
      </c>
      <c r="D213">
        <v>2013</v>
      </c>
      <c r="E213" s="98">
        <v>20000</v>
      </c>
      <c r="F213" s="18">
        <f>E213/$F$289</f>
        <v>23490.50846471421</v>
      </c>
      <c r="I213" t="s">
        <v>8</v>
      </c>
      <c r="J213">
        <v>265</v>
      </c>
      <c r="K213" s="9">
        <f t="shared" si="152"/>
        <v>1.0724550000000002</v>
      </c>
      <c r="L213" s="9">
        <f t="shared" si="153"/>
        <v>107.24550000000001</v>
      </c>
      <c r="M213" s="1">
        <f t="shared" si="135"/>
        <v>13.25</v>
      </c>
      <c r="N213" s="9">
        <f t="shared" si="154"/>
        <v>18.648801115198303</v>
      </c>
      <c r="W213">
        <v>35.147072999999999</v>
      </c>
      <c r="X213">
        <v>-118.886833</v>
      </c>
      <c r="Y213" t="s">
        <v>203</v>
      </c>
      <c r="AB213" s="111"/>
      <c r="AE213" t="s">
        <v>24</v>
      </c>
      <c r="AF213" t="s">
        <v>475</v>
      </c>
      <c r="AG213" t="s">
        <v>385</v>
      </c>
      <c r="AI213">
        <v>1</v>
      </c>
      <c r="BA213" s="121" t="s">
        <v>246</v>
      </c>
      <c r="BF213" t="s">
        <v>897</v>
      </c>
      <c r="BK213" t="s">
        <v>846</v>
      </c>
    </row>
    <row r="214" spans="1:66" x14ac:dyDescent="0.3">
      <c r="A214" t="s">
        <v>107</v>
      </c>
      <c r="B214" t="s">
        <v>696</v>
      </c>
      <c r="D214">
        <v>2012</v>
      </c>
      <c r="E214" s="108">
        <v>20500</v>
      </c>
      <c r="F214" s="98">
        <v>24900</v>
      </c>
      <c r="I214" t="s">
        <v>8</v>
      </c>
      <c r="J214">
        <v>154</v>
      </c>
      <c r="K214" s="9">
        <f t="shared" si="152"/>
        <v>0.62323800000000007</v>
      </c>
      <c r="L214" s="9">
        <f t="shared" si="153"/>
        <v>62.323799999999999</v>
      </c>
      <c r="M214" s="1">
        <f t="shared" si="135"/>
        <v>7.5121951219512191</v>
      </c>
      <c r="N214" s="9">
        <f t="shared" si="154"/>
        <v>32.892731187764539</v>
      </c>
      <c r="W214">
        <v>36.392789999999998</v>
      </c>
      <c r="X214">
        <v>-114.9251</v>
      </c>
      <c r="Y214" t="s">
        <v>203</v>
      </c>
      <c r="AB214" s="111"/>
      <c r="AE214" t="s">
        <v>24</v>
      </c>
      <c r="AI214">
        <v>1</v>
      </c>
      <c r="BA214" s="8" t="s">
        <v>65</v>
      </c>
      <c r="BB214" s="128" t="s">
        <v>55</v>
      </c>
      <c r="BC214" s="129" t="s">
        <v>605</v>
      </c>
      <c r="BD214" s="130" t="s">
        <v>755</v>
      </c>
      <c r="BF214" s="8" t="s">
        <v>65</v>
      </c>
      <c r="BG214" s="128" t="s">
        <v>55</v>
      </c>
      <c r="BH214" s="129" t="s">
        <v>605</v>
      </c>
      <c r="BI214" s="130" t="s">
        <v>755</v>
      </c>
      <c r="BK214" s="8" t="s">
        <v>65</v>
      </c>
      <c r="BL214" s="128" t="s">
        <v>55</v>
      </c>
      <c r="BM214" s="129" t="s">
        <v>605</v>
      </c>
      <c r="BN214" s="130" t="s">
        <v>755</v>
      </c>
    </row>
    <row r="215" spans="1:66" x14ac:dyDescent="0.3">
      <c r="A215" t="s">
        <v>26</v>
      </c>
      <c r="B215" t="s">
        <v>690</v>
      </c>
      <c r="D215">
        <v>2015</v>
      </c>
      <c r="E215" s="108">
        <v>23000</v>
      </c>
      <c r="F215" s="98">
        <v>28700</v>
      </c>
      <c r="H215">
        <v>100000</v>
      </c>
      <c r="I215" t="s">
        <v>682</v>
      </c>
      <c r="J215">
        <v>123</v>
      </c>
      <c r="K215" s="9">
        <f t="shared" si="152"/>
        <v>0.49778100000000003</v>
      </c>
      <c r="L215" s="9">
        <f t="shared" si="153"/>
        <v>49.778100000000002</v>
      </c>
      <c r="M215" s="1">
        <f t="shared" si="135"/>
        <v>5.3478260869565215</v>
      </c>
      <c r="N215" s="9">
        <f t="shared" si="154"/>
        <v>46.205058047615317</v>
      </c>
      <c r="W215">
        <v>33.245399999999997</v>
      </c>
      <c r="X215">
        <v>-115.4982</v>
      </c>
      <c r="Y215" t="s">
        <v>203</v>
      </c>
      <c r="AB215" s="15">
        <v>0.14899999999999999</v>
      </c>
      <c r="AC215" t="s">
        <v>399</v>
      </c>
      <c r="AD215" s="107" t="s">
        <v>689</v>
      </c>
      <c r="AE215" t="s">
        <v>24</v>
      </c>
      <c r="AI215">
        <v>1</v>
      </c>
      <c r="BA215" s="124" t="s">
        <v>330</v>
      </c>
      <c r="BB215" s="33">
        <f>SUMIF($AC$3:$AC$128:$AC$178:$AC$242,"=thin film",$E$3:$E$128:$E$178:$E$242)/1000</f>
        <v>2991.9286015754797</v>
      </c>
      <c r="BC215" s="138">
        <f>BB215/$BB$220</f>
        <v>0.3290119898808383</v>
      </c>
      <c r="BD215" s="192">
        <f>$BB215/($BB$220-$BB$218)</f>
        <v>0.74954510614741066</v>
      </c>
      <c r="BF215" s="124" t="s">
        <v>330</v>
      </c>
      <c r="BG215" s="33">
        <f>SUMIF($AC$178:$AC$242,"=thin film",$E$178:$E$242)/1000</f>
        <v>2878.6214385937938</v>
      </c>
      <c r="BH215" s="138">
        <f>BG215/$BG$220</f>
        <v>0.34091233877108634</v>
      </c>
      <c r="BI215" s="192">
        <f>$BG215/($BG$220-$BG$218)</f>
        <v>0.78742333173894918</v>
      </c>
      <c r="BK215" s="124" t="s">
        <v>330</v>
      </c>
      <c r="BL215" s="33">
        <f>SUMIF($AC$3:$AC$128,"=thin film",$E$3:$E$128)/1000</f>
        <v>113.30716298168529</v>
      </c>
      <c r="BM215" s="138">
        <f>BL215/$BL$220</f>
        <v>0.17487645157462814</v>
      </c>
      <c r="BN215" s="192">
        <f>$BL215/($BL$220-$BL$218)</f>
        <v>0.3373130841504311</v>
      </c>
    </row>
    <row r="216" spans="1:66" x14ac:dyDescent="0.3">
      <c r="A216" s="11" t="s">
        <v>190</v>
      </c>
      <c r="B216" s="11" t="s">
        <v>551</v>
      </c>
      <c r="C216" s="11"/>
      <c r="D216">
        <v>2012</v>
      </c>
      <c r="E216" s="42">
        <v>30000</v>
      </c>
      <c r="F216" s="94">
        <v>34290</v>
      </c>
      <c r="H216">
        <v>127000</v>
      </c>
      <c r="I216" t="s">
        <v>552</v>
      </c>
      <c r="J216" s="74">
        <v>380</v>
      </c>
      <c r="K216" s="9">
        <f t="shared" si="152"/>
        <v>1.53786</v>
      </c>
      <c r="L216" s="9">
        <f t="shared" si="153"/>
        <v>153.786</v>
      </c>
      <c r="M216" s="1">
        <f t="shared" si="135"/>
        <v>12.666666666666666</v>
      </c>
      <c r="N216" s="1">
        <f t="shared" si="154"/>
        <v>19.507627482345598</v>
      </c>
      <c r="O216" t="s">
        <v>598</v>
      </c>
      <c r="P216" s="25"/>
      <c r="Q216" s="25"/>
      <c r="R216" s="25"/>
      <c r="S216" s="25"/>
      <c r="T216" s="11"/>
      <c r="U216" s="11"/>
      <c r="V216" s="11"/>
      <c r="W216" s="11">
        <v>30.27187</v>
      </c>
      <c r="X216" s="11">
        <v>-97.499300000000005</v>
      </c>
      <c r="Y216" t="s">
        <v>203</v>
      </c>
      <c r="AA216" s="11"/>
      <c r="AB216" s="15">
        <v>0.14699999999999999</v>
      </c>
      <c r="AC216" s="11" t="s">
        <v>399</v>
      </c>
      <c r="AD216" t="s">
        <v>550</v>
      </c>
      <c r="AE216" t="s">
        <v>29</v>
      </c>
      <c r="AF216" t="s">
        <v>157</v>
      </c>
      <c r="AG216" s="15" t="s">
        <v>385</v>
      </c>
      <c r="AI216">
        <v>1</v>
      </c>
      <c r="BA216" s="125" t="s">
        <v>399</v>
      </c>
      <c r="BB216" s="33">
        <f>SUMIF($AC$3:$AC$128:$AC$178:$AC$242,"=poly",$E$3:$E$128:$E$178:$E$242)/1000</f>
        <v>397.27312975246866</v>
      </c>
      <c r="BC216" s="138">
        <f>BB216/$BB$220</f>
        <v>4.3686745357900784E-2</v>
      </c>
      <c r="BD216" s="192">
        <f>$BB216/($BB$220-$BB$218)</f>
        <v>9.9525814236685758E-2</v>
      </c>
      <c r="BF216" s="125" t="s">
        <v>399</v>
      </c>
      <c r="BG216" s="33">
        <f>SUMIF($AC$178:$AC$242,"=poly",$E$178:$E$242)/1000</f>
        <v>273</v>
      </c>
      <c r="BH216" s="138">
        <f>BG216/$BG$220</f>
        <v>3.2331124626783433E-2</v>
      </c>
      <c r="BI216" s="192">
        <f>$BB216/($BB$220-$BB$218)</f>
        <v>9.9525814236685758E-2</v>
      </c>
      <c r="BK216" s="125" t="s">
        <v>399</v>
      </c>
      <c r="BL216" s="33">
        <f>SUMIF($AC$3:$AC$128,"=poly",$E$3:$E$128)/1000</f>
        <v>124.27312975246863</v>
      </c>
      <c r="BM216" s="138">
        <f>BL216/$BL$220</f>
        <v>0.1918011481824661</v>
      </c>
      <c r="BN216" s="192">
        <f>$BL216/($BL$220-$BL$218)</f>
        <v>0.36995854075534113</v>
      </c>
    </row>
    <row r="217" spans="1:66" x14ac:dyDescent="0.3">
      <c r="A217" t="s">
        <v>26</v>
      </c>
      <c r="B217" t="s">
        <v>612</v>
      </c>
      <c r="D217">
        <v>2012</v>
      </c>
      <c r="E217" s="18">
        <f>F217*$F$289</f>
        <v>32353.49294978517</v>
      </c>
      <c r="F217">
        <v>38000</v>
      </c>
      <c r="I217" t="s">
        <v>614</v>
      </c>
      <c r="J217">
        <v>187</v>
      </c>
      <c r="K217" s="9">
        <f t="shared" si="152"/>
        <v>0.75678900000000004</v>
      </c>
      <c r="L217" s="9">
        <f t="shared" si="153"/>
        <v>75.678899999999999</v>
      </c>
      <c r="M217" s="1">
        <f t="shared" si="135"/>
        <v>5.7799014248704692</v>
      </c>
      <c r="N217" s="1">
        <f t="shared" si="154"/>
        <v>42.751008471033764</v>
      </c>
      <c r="P217" s="1"/>
      <c r="Q217" s="1"/>
      <c r="R217" s="1"/>
      <c r="S217" s="1"/>
      <c r="W217">
        <v>34.69012</v>
      </c>
      <c r="X217">
        <v>-118.30252</v>
      </c>
      <c r="Y217" t="s">
        <v>203</v>
      </c>
      <c r="AA217" t="s">
        <v>94</v>
      </c>
      <c r="AB217" s="111"/>
      <c r="AE217" t="s">
        <v>109</v>
      </c>
      <c r="AF217" t="s">
        <v>611</v>
      </c>
      <c r="AG217" t="s">
        <v>380</v>
      </c>
      <c r="AI217">
        <v>1</v>
      </c>
      <c r="BA217" s="125" t="s">
        <v>391</v>
      </c>
      <c r="BB217" s="33">
        <f>SUMIF($AC$3:$AC$128:$AC$178:$AC$242,"=mono",$E$3:$E$128:$E$178:$E$242)/1000</f>
        <v>422.85058159294238</v>
      </c>
      <c r="BC217" s="138">
        <f>BB217/$BB$220</f>
        <v>4.6499408842478683E-2</v>
      </c>
      <c r="BD217" s="192">
        <f>$BB217/($BB$220-$BB$218)</f>
        <v>0.10593353862043373</v>
      </c>
      <c r="BF217" s="125" t="s">
        <v>391</v>
      </c>
      <c r="BG217" s="33">
        <f>SUMIF($AC$178:$AC$242,"=mono",$E$178:$E$242)/1000</f>
        <v>345.6956189330233</v>
      </c>
      <c r="BH217" s="138">
        <f>BG217/$BG$220</f>
        <v>4.0940396112295281E-2</v>
      </c>
      <c r="BI217" s="192">
        <f>$BG217/($BG$220-$BG$218)</f>
        <v>9.4562206887743236E-2</v>
      </c>
      <c r="BK217" s="125" t="s">
        <v>391</v>
      </c>
      <c r="BL217" s="33">
        <f>SUMIF($AC$3:$AC$128,"=mono",$E$3:$E$128)/1000</f>
        <v>77.15496265991905</v>
      </c>
      <c r="BM217" s="138">
        <f>BL217/$BL$220</f>
        <v>0.11907972749719703</v>
      </c>
      <c r="BN217" s="192">
        <f>$BL217/($BL$220-$BL$218)</f>
        <v>0.22968873041623439</v>
      </c>
    </row>
    <row r="218" spans="1:66" x14ac:dyDescent="0.3">
      <c r="A218" t="s">
        <v>26</v>
      </c>
      <c r="B218" t="s">
        <v>681</v>
      </c>
      <c r="D218">
        <v>2012</v>
      </c>
      <c r="E218" s="18">
        <f>F218*$F$289</f>
        <v>42485.244689323154</v>
      </c>
      <c r="F218">
        <v>49900</v>
      </c>
      <c r="I218" t="s">
        <v>677</v>
      </c>
      <c r="J218">
        <v>320</v>
      </c>
      <c r="K218" s="9">
        <f t="shared" si="152"/>
        <v>1.2950400000000002</v>
      </c>
      <c r="L218" s="9">
        <f t="shared" si="153"/>
        <v>129.50399999999999</v>
      </c>
      <c r="M218" s="1">
        <f t="shared" si="135"/>
        <v>7.5320267622330137</v>
      </c>
      <c r="N218" s="9">
        <f t="shared" si="154"/>
        <v>32.806125439618192</v>
      </c>
      <c r="W218">
        <v>33.318300000000001</v>
      </c>
      <c r="X218">
        <v>-115.58410000000001</v>
      </c>
      <c r="Y218" t="s">
        <v>203</v>
      </c>
      <c r="AB218" s="111"/>
      <c r="AE218" t="s">
        <v>109</v>
      </c>
      <c r="AF218" t="s">
        <v>475</v>
      </c>
      <c r="AG218" t="s">
        <v>385</v>
      </c>
      <c r="AI218">
        <v>1</v>
      </c>
      <c r="BA218" s="125" t="s">
        <v>203</v>
      </c>
      <c r="BB218" s="33">
        <f>SUMIF($AC$3:$AC$129:$AC$178:$AC$242,"=",$E$3:$E$129:$E$178:$E$242)/1000</f>
        <v>5102.0173259097764</v>
      </c>
      <c r="BC218" s="138">
        <f>BB218/$BB$220</f>
        <v>0.56105111329199642</v>
      </c>
      <c r="BD218" s="192" t="s">
        <v>759</v>
      </c>
      <c r="BF218" s="125" t="s">
        <v>203</v>
      </c>
      <c r="BG218" s="33">
        <f>SUMIF($AC$178:$AC$242,"=",$E$178:$E$242)/1000</f>
        <v>4788.1275606407962</v>
      </c>
      <c r="BH218" s="138">
        <f>BG218/$BG$220</f>
        <v>0.56705329264474047</v>
      </c>
      <c r="BI218" s="192" t="s">
        <v>759</v>
      </c>
      <c r="BK218" s="125" t="s">
        <v>203</v>
      </c>
      <c r="BL218" s="33">
        <f>SUMIF($AC$3:$AC$129,"=",$E$3:$E$129)/1000</f>
        <v>312.01597018266438</v>
      </c>
      <c r="BM218" s="138">
        <f>BL218/$BL$220</f>
        <v>0.48156042622811901</v>
      </c>
      <c r="BN218" s="192" t="s">
        <v>759</v>
      </c>
    </row>
    <row r="219" spans="1:66" x14ac:dyDescent="0.3">
      <c r="A219" t="s">
        <v>26</v>
      </c>
      <c r="B219" t="s">
        <v>684</v>
      </c>
      <c r="D219">
        <v>2012</v>
      </c>
      <c r="E219" s="18">
        <f>F219*$F$289</f>
        <v>42570.38546024364</v>
      </c>
      <c r="F219">
        <v>50000</v>
      </c>
      <c r="I219" t="s">
        <v>677</v>
      </c>
      <c r="J219">
        <v>300</v>
      </c>
      <c r="K219" s="9">
        <f t="shared" si="152"/>
        <v>1.2141000000000002</v>
      </c>
      <c r="L219" s="9">
        <f t="shared" si="153"/>
        <v>121.41</v>
      </c>
      <c r="M219" s="1">
        <f t="shared" si="135"/>
        <v>7.0471525394142631</v>
      </c>
      <c r="N219" s="9">
        <f t="shared" si="154"/>
        <v>35.063327123172421</v>
      </c>
      <c r="W219">
        <v>33.1539</v>
      </c>
      <c r="X219">
        <v>-115.501</v>
      </c>
      <c r="Y219" t="s">
        <v>203</v>
      </c>
      <c r="AB219" s="111"/>
      <c r="AE219" t="s">
        <v>24</v>
      </c>
      <c r="AI219">
        <v>1</v>
      </c>
      <c r="BA219" s="125" t="s">
        <v>604</v>
      </c>
      <c r="BB219" s="33">
        <f>$BB$220-SUM(BB215:BB218)</f>
        <v>179.6068641414513</v>
      </c>
      <c r="BC219" s="138">
        <f>BB219/$BB$220</f>
        <v>1.975074262678574E-2</v>
      </c>
      <c r="BD219" s="192">
        <f>$BB219/($BB$220-$BB$218)</f>
        <v>4.4995540995469652E-2</v>
      </c>
      <c r="BF219" s="125" t="s">
        <v>604</v>
      </c>
      <c r="BG219" s="33">
        <f>$BG$220-SUM(BG215:BG218)</f>
        <v>158.43115638072959</v>
      </c>
      <c r="BH219" s="138">
        <f>BG219/$BG$220</f>
        <v>1.8762847845094445E-2</v>
      </c>
      <c r="BI219" s="192">
        <f>$BG219/($BG$220-$BG$218)</f>
        <v>4.3337545998931387E-2</v>
      </c>
      <c r="BK219" s="125" t="s">
        <v>604</v>
      </c>
      <c r="BL219" s="33">
        <f>$BL$220-SUM(BL215:BL218)</f>
        <v>21.175707760720684</v>
      </c>
      <c r="BM219" s="138">
        <f>BL219/$BL$220</f>
        <v>3.2682246517589657E-2</v>
      </c>
      <c r="BN219" s="192">
        <f>$BL219/($BL$220-$BL$218)</f>
        <v>6.3039644677993265E-2</v>
      </c>
    </row>
    <row r="220" spans="1:66" x14ac:dyDescent="0.3">
      <c r="A220" t="s">
        <v>26</v>
      </c>
      <c r="B220" t="s">
        <v>687</v>
      </c>
      <c r="D220">
        <v>2013</v>
      </c>
      <c r="E220" s="18">
        <f>F220*$F$289</f>
        <v>42570.38546024364</v>
      </c>
      <c r="F220">
        <v>50000</v>
      </c>
      <c r="I220" t="s">
        <v>677</v>
      </c>
      <c r="J220">
        <v>320</v>
      </c>
      <c r="K220" s="9">
        <f t="shared" si="152"/>
        <v>1.2950400000000002</v>
      </c>
      <c r="L220" s="9">
        <f t="shared" si="153"/>
        <v>129.50399999999999</v>
      </c>
      <c r="M220" s="1">
        <f t="shared" si="135"/>
        <v>7.5169627087085473</v>
      </c>
      <c r="N220" s="9">
        <f t="shared" si="154"/>
        <v>32.871869177974148</v>
      </c>
      <c r="W220">
        <v>33.1374</v>
      </c>
      <c r="X220">
        <v>-115.5279</v>
      </c>
      <c r="Y220" t="s">
        <v>203</v>
      </c>
      <c r="AB220" s="111"/>
      <c r="AE220" t="s">
        <v>24</v>
      </c>
      <c r="AF220" t="s">
        <v>475</v>
      </c>
      <c r="AG220" t="s">
        <v>385</v>
      </c>
      <c r="AI220">
        <v>1</v>
      </c>
      <c r="BA220" s="126" t="s">
        <v>331</v>
      </c>
      <c r="BB220" s="194">
        <f>SUM(E3:E128:E178:E242)/1000</f>
        <v>9093.6765029721191</v>
      </c>
      <c r="BC220" s="133">
        <f>SUM(BC215:BC219)</f>
        <v>1</v>
      </c>
      <c r="BD220" s="134">
        <f>SUM(BD215:BD219)</f>
        <v>0.99999999999999978</v>
      </c>
      <c r="BF220" s="126" t="s">
        <v>331</v>
      </c>
      <c r="BG220" s="194">
        <f>SUM(E178:E242)/1000</f>
        <v>8443.8757745483435</v>
      </c>
      <c r="BH220" s="133">
        <f>SUM(BH215:BH219)</f>
        <v>0.99999999999999989</v>
      </c>
      <c r="BI220" s="134">
        <f>SUM(BI215:BI219)</f>
        <v>1.0248488988623095</v>
      </c>
      <c r="BK220" s="126" t="s">
        <v>331</v>
      </c>
      <c r="BL220" s="194">
        <f>SUM(E3:E128)/1000</f>
        <v>647.92693333745808</v>
      </c>
      <c r="BM220" s="133">
        <f>SUM(BM215:BM219)</f>
        <v>0.99999999999999989</v>
      </c>
      <c r="BN220" s="134">
        <f>SUM(BN215:BN219)</f>
        <v>0.99999999999999989</v>
      </c>
    </row>
    <row r="221" spans="1:66" x14ac:dyDescent="0.3">
      <c r="A221" t="s">
        <v>160</v>
      </c>
      <c r="B221" t="s">
        <v>715</v>
      </c>
      <c r="D221">
        <v>2015</v>
      </c>
      <c r="E221" s="18">
        <f>F221*$F$289</f>
        <v>42570.38546024364</v>
      </c>
      <c r="F221">
        <v>50000</v>
      </c>
      <c r="I221" t="s">
        <v>716</v>
      </c>
      <c r="J221">
        <v>160</v>
      </c>
      <c r="K221" s="9">
        <f t="shared" si="152"/>
        <v>0.6475200000000001</v>
      </c>
      <c r="L221" s="9">
        <f t="shared" si="153"/>
        <v>64.751999999999995</v>
      </c>
      <c r="M221" s="1">
        <f t="shared" si="135"/>
        <v>3.7584813543542737</v>
      </c>
      <c r="N221" s="9">
        <f t="shared" si="154"/>
        <v>65.743738355948295</v>
      </c>
      <c r="W221">
        <v>34.783200000000001</v>
      </c>
      <c r="X221">
        <v>-106.083</v>
      </c>
      <c r="Y221" t="s">
        <v>203</v>
      </c>
      <c r="AB221" s="111"/>
      <c r="AE221" t="s">
        <v>24</v>
      </c>
      <c r="AF221" t="s">
        <v>611</v>
      </c>
      <c r="AG221" t="s">
        <v>380</v>
      </c>
      <c r="AI221">
        <v>1</v>
      </c>
    </row>
    <row r="222" spans="1:66" x14ac:dyDescent="0.3">
      <c r="A222" t="s">
        <v>196</v>
      </c>
      <c r="B222" t="s">
        <v>712</v>
      </c>
      <c r="D222">
        <v>2014</v>
      </c>
      <c r="E222" s="98">
        <v>49900</v>
      </c>
      <c r="F222" s="18">
        <f>E222/$F$289</f>
        <v>58608.818619461956</v>
      </c>
      <c r="H222">
        <v>250000</v>
      </c>
      <c r="I222" t="s">
        <v>713</v>
      </c>
      <c r="J222">
        <v>422.6</v>
      </c>
      <c r="K222" s="9">
        <f t="shared" si="152"/>
        <v>1.7102622000000003</v>
      </c>
      <c r="L222" s="9">
        <f t="shared" si="153"/>
        <v>171.02622000000002</v>
      </c>
      <c r="M222" s="1">
        <f t="shared" si="135"/>
        <v>8.4689378757515037</v>
      </c>
      <c r="N222" s="9">
        <f t="shared" si="154"/>
        <v>29.176812771749262</v>
      </c>
      <c r="W222">
        <v>39.814500000000002</v>
      </c>
      <c r="X222">
        <v>-82.649500000000003</v>
      </c>
      <c r="Y222" t="s">
        <v>203</v>
      </c>
      <c r="AB222" s="111"/>
      <c r="AC222" t="s">
        <v>391</v>
      </c>
      <c r="AD222" t="s">
        <v>714</v>
      </c>
      <c r="AE222" t="s">
        <v>24</v>
      </c>
      <c r="AF222" t="s">
        <v>702</v>
      </c>
      <c r="AG222" t="s">
        <v>709</v>
      </c>
      <c r="AI222">
        <v>1</v>
      </c>
    </row>
    <row r="223" spans="1:66" x14ac:dyDescent="0.3">
      <c r="A223" t="s">
        <v>26</v>
      </c>
      <c r="B223" t="s">
        <v>686</v>
      </c>
      <c r="D223">
        <v>2013</v>
      </c>
      <c r="E223" s="98">
        <v>50000</v>
      </c>
      <c r="F223" s="18">
        <f>E223/$F$289</f>
        <v>58726.271161785524</v>
      </c>
      <c r="I223" t="s">
        <v>677</v>
      </c>
      <c r="J223">
        <v>300</v>
      </c>
      <c r="K223" s="9">
        <f t="shared" si="152"/>
        <v>1.2141000000000002</v>
      </c>
      <c r="L223" s="9">
        <f t="shared" si="153"/>
        <v>121.41</v>
      </c>
      <c r="M223" s="1">
        <f t="shared" si="135"/>
        <v>6</v>
      </c>
      <c r="N223" s="9">
        <f t="shared" si="154"/>
        <v>41.182769129396256</v>
      </c>
      <c r="O223">
        <v>277</v>
      </c>
      <c r="P223" s="1">
        <f>O223*0.004047</f>
        <v>1.121019</v>
      </c>
      <c r="Q223" s="1">
        <f>O223*0.4047</f>
        <v>112.1019</v>
      </c>
      <c r="R223" s="260">
        <f t="shared" ref="R223" si="155">O223/(E223/1000)</f>
        <v>5.54</v>
      </c>
      <c r="S223" s="1">
        <f>E223/1000/P223</f>
        <v>44.602277035447216</v>
      </c>
      <c r="W223">
        <v>33.169400000000003</v>
      </c>
      <c r="X223">
        <v>-115.5492</v>
      </c>
      <c r="Y223" t="s">
        <v>203</v>
      </c>
      <c r="AB223" s="111"/>
      <c r="AE223" t="s">
        <v>24</v>
      </c>
      <c r="AF223" t="s">
        <v>475</v>
      </c>
      <c r="AG223" t="s">
        <v>385</v>
      </c>
      <c r="AI223">
        <v>1</v>
      </c>
    </row>
    <row r="224" spans="1:66" x14ac:dyDescent="0.3">
      <c r="A224" t="s">
        <v>190</v>
      </c>
      <c r="B224" t="s">
        <v>665</v>
      </c>
      <c r="D224">
        <v>2014</v>
      </c>
      <c r="E224" s="18">
        <f>F224*$F$289</f>
        <v>51084.462552292374</v>
      </c>
      <c r="F224">
        <v>60000</v>
      </c>
      <c r="I224" t="s">
        <v>666</v>
      </c>
      <c r="J224">
        <v>600</v>
      </c>
      <c r="K224" s="9">
        <f t="shared" si="152"/>
        <v>2.4282000000000004</v>
      </c>
      <c r="L224" s="9">
        <f t="shared" si="153"/>
        <v>242.82</v>
      </c>
      <c r="M224" s="1">
        <f t="shared" si="135"/>
        <v>11.745254232357105</v>
      </c>
      <c r="N224" s="9">
        <f t="shared" si="154"/>
        <v>21.037996273903453</v>
      </c>
      <c r="W224">
        <v>30.432400000000001</v>
      </c>
      <c r="X224">
        <v>-97.461100000000002</v>
      </c>
      <c r="Y224" t="s">
        <v>203</v>
      </c>
      <c r="AB224" s="111"/>
      <c r="AE224" t="s">
        <v>109</v>
      </c>
      <c r="AF224" t="s">
        <v>611</v>
      </c>
      <c r="AG224" t="s">
        <v>380</v>
      </c>
      <c r="AI224">
        <v>1</v>
      </c>
    </row>
    <row r="225" spans="1:66" x14ac:dyDescent="0.3">
      <c r="A225" s="69" t="s">
        <v>148</v>
      </c>
      <c r="B225" s="11" t="s">
        <v>376</v>
      </c>
      <c r="C225" s="11"/>
      <c r="D225">
        <v>2016</v>
      </c>
      <c r="E225" s="18">
        <f>F225*$F$289</f>
        <v>63855.578190365464</v>
      </c>
      <c r="F225" s="18">
        <v>75000</v>
      </c>
      <c r="G225">
        <v>350</v>
      </c>
      <c r="I225" t="s">
        <v>377</v>
      </c>
      <c r="J225">
        <v>400</v>
      </c>
      <c r="K225" s="9">
        <f t="shared" si="152"/>
        <v>1.6188</v>
      </c>
      <c r="L225" s="9">
        <f t="shared" si="153"/>
        <v>161.88</v>
      </c>
      <c r="M225" s="1">
        <f t="shared" si="135"/>
        <v>6.2641355905904561</v>
      </c>
      <c r="N225" s="9">
        <f t="shared" si="154"/>
        <v>39.446243013568981</v>
      </c>
      <c r="P225" s="1"/>
      <c r="Q225" s="1"/>
      <c r="R225" s="1"/>
      <c r="S225" s="1"/>
      <c r="T225" s="1"/>
      <c r="U225" s="1"/>
      <c r="V225" s="1"/>
      <c r="Y225" t="s">
        <v>203</v>
      </c>
      <c r="AB225" s="15"/>
      <c r="AC225" s="15"/>
      <c r="AD225" s="15"/>
      <c r="AE225" t="s">
        <v>24</v>
      </c>
      <c r="AF225" t="s">
        <v>110</v>
      </c>
      <c r="AG225" s="15" t="s">
        <v>252</v>
      </c>
      <c r="AI225">
        <v>1</v>
      </c>
      <c r="BL225" s="244">
        <f>BG233+BL233</f>
        <v>1939.3250553457515</v>
      </c>
      <c r="BM225" s="131">
        <f>$BL225/($BL$229-$BL$228)</f>
        <v>0.47328908318649787</v>
      </c>
      <c r="BN225" s="245">
        <f>BM225+BM227</f>
        <v>0.96021102247978907</v>
      </c>
    </row>
    <row r="226" spans="1:66" x14ac:dyDescent="0.3">
      <c r="A226" t="s">
        <v>26</v>
      </c>
      <c r="B226" t="s">
        <v>676</v>
      </c>
      <c r="D226">
        <v>2013</v>
      </c>
      <c r="E226" s="18">
        <f>F226*$F$289</f>
        <v>63855.578190365464</v>
      </c>
      <c r="F226">
        <v>75000</v>
      </c>
      <c r="I226" t="s">
        <v>8</v>
      </c>
      <c r="J226">
        <v>743</v>
      </c>
      <c r="K226" s="9">
        <f t="shared" si="152"/>
        <v>3.0069210000000002</v>
      </c>
      <c r="L226" s="9">
        <f t="shared" si="153"/>
        <v>300.69209999999998</v>
      </c>
      <c r="M226" s="1">
        <f t="shared" si="135"/>
        <v>11.635631859521771</v>
      </c>
      <c r="N226" s="9">
        <f t="shared" si="154"/>
        <v>21.236200814841979</v>
      </c>
      <c r="W226">
        <v>35.294499999999999</v>
      </c>
      <c r="X226">
        <v>-118.8514</v>
      </c>
      <c r="Y226" t="s">
        <v>203</v>
      </c>
      <c r="AB226" s="111"/>
      <c r="AE226" t="s">
        <v>24</v>
      </c>
      <c r="AF226" t="s">
        <v>475</v>
      </c>
      <c r="AG226" t="s">
        <v>385</v>
      </c>
      <c r="AI226">
        <v>1</v>
      </c>
      <c r="BL226" s="244">
        <f>BG234+BL234</f>
        <v>163.03727208752929</v>
      </c>
      <c r="BM226" s="131">
        <f>$BL226/($BL$229-$BL$228)</f>
        <v>3.9788977520211148E-2</v>
      </c>
    </row>
    <row r="227" spans="1:66" x14ac:dyDescent="0.3">
      <c r="A227" t="s">
        <v>26</v>
      </c>
      <c r="B227" t="s">
        <v>683</v>
      </c>
      <c r="D227">
        <v>2013</v>
      </c>
      <c r="E227" s="98">
        <v>70000</v>
      </c>
      <c r="F227" s="18">
        <f>E227/$F$289</f>
        <v>82216.779626499731</v>
      </c>
      <c r="I227" t="s">
        <v>677</v>
      </c>
      <c r="J227">
        <v>300</v>
      </c>
      <c r="K227" s="9">
        <f t="shared" si="152"/>
        <v>1.2141000000000002</v>
      </c>
      <c r="L227" s="9">
        <f t="shared" si="153"/>
        <v>121.41</v>
      </c>
      <c r="M227" s="1">
        <f t="shared" si="135"/>
        <v>4.2857142857142856</v>
      </c>
      <c r="N227" s="9">
        <f t="shared" si="154"/>
        <v>57.65587678115476</v>
      </c>
      <c r="O227">
        <v>246</v>
      </c>
      <c r="P227" s="1">
        <f>O227*0.004047</f>
        <v>0.99556200000000006</v>
      </c>
      <c r="Q227" s="1">
        <f>O227*0.4047</f>
        <v>99.556200000000004</v>
      </c>
      <c r="R227" s="1">
        <f t="shared" ref="R227" si="156">O227/(E227/1000)</f>
        <v>3.5142857142857142</v>
      </c>
      <c r="S227" s="1">
        <f>E227/1000/P227</f>
        <v>70.312044855066787</v>
      </c>
      <c r="W227">
        <v>33.1539</v>
      </c>
      <c r="X227">
        <v>-115.501</v>
      </c>
      <c r="Y227" t="s">
        <v>203</v>
      </c>
      <c r="AB227" s="111"/>
      <c r="AE227" t="s">
        <v>24</v>
      </c>
      <c r="AF227" t="s">
        <v>475</v>
      </c>
      <c r="AG227" t="s">
        <v>385</v>
      </c>
      <c r="AI227">
        <v>1</v>
      </c>
      <c r="BL227" s="244">
        <f>BG235+BL235</f>
        <v>1995.1863468123231</v>
      </c>
      <c r="BM227" s="131">
        <f>$BL227/($BL$229-$BL$228)</f>
        <v>0.48692193929329114</v>
      </c>
    </row>
    <row r="228" spans="1:66" x14ac:dyDescent="0.3">
      <c r="A228" t="s">
        <v>26</v>
      </c>
      <c r="B228" t="s">
        <v>688</v>
      </c>
      <c r="D228">
        <v>2014</v>
      </c>
      <c r="E228" s="18">
        <f>F228*$F$289</f>
        <v>85140.770920487281</v>
      </c>
      <c r="F228">
        <v>100000</v>
      </c>
      <c r="I228" t="s">
        <v>677</v>
      </c>
      <c r="J228">
        <v>622</v>
      </c>
      <c r="K228" s="9">
        <f t="shared" si="152"/>
        <v>2.5172340000000002</v>
      </c>
      <c r="L228" s="9">
        <f t="shared" si="153"/>
        <v>251.7234</v>
      </c>
      <c r="M228" s="1">
        <f t="shared" si="135"/>
        <v>7.3055481325261189</v>
      </c>
      <c r="N228" s="9">
        <f t="shared" si="154"/>
        <v>33.823145134893011</v>
      </c>
      <c r="W228">
        <v>33.1374</v>
      </c>
      <c r="X228">
        <v>-115.5279</v>
      </c>
      <c r="Y228" t="s">
        <v>203</v>
      </c>
      <c r="AB228" s="111"/>
      <c r="AE228" t="s">
        <v>24</v>
      </c>
      <c r="AI228">
        <v>1</v>
      </c>
      <c r="BL228" s="244">
        <f>BG236+BL236</f>
        <v>4987.1736134195507</v>
      </c>
    </row>
    <row r="229" spans="1:66" x14ac:dyDescent="0.3">
      <c r="A229" t="s">
        <v>148</v>
      </c>
      <c r="B229" t="s">
        <v>719</v>
      </c>
      <c r="D229">
        <v>2017</v>
      </c>
      <c r="E229" s="18">
        <f>F229*$F$289</f>
        <v>85140.770920487281</v>
      </c>
      <c r="F229">
        <v>100000</v>
      </c>
      <c r="G229">
        <v>350</v>
      </c>
      <c r="I229" t="s">
        <v>718</v>
      </c>
      <c r="J229">
        <v>1000</v>
      </c>
      <c r="K229" s="9">
        <f t="shared" si="152"/>
        <v>4.0470000000000006</v>
      </c>
      <c r="L229" s="9">
        <f t="shared" si="153"/>
        <v>404.7</v>
      </c>
      <c r="M229" s="1">
        <f t="shared" si="135"/>
        <v>11.745254232357105</v>
      </c>
      <c r="N229" s="9">
        <f t="shared" si="154"/>
        <v>21.037996273903453</v>
      </c>
      <c r="W229" t="s">
        <v>724</v>
      </c>
      <c r="Y229" t="s">
        <v>203</v>
      </c>
      <c r="AB229" s="111"/>
      <c r="AE229" t="s">
        <v>24</v>
      </c>
      <c r="AF229" t="s">
        <v>611</v>
      </c>
      <c r="AG229" t="s">
        <v>252</v>
      </c>
      <c r="AI229">
        <v>1</v>
      </c>
      <c r="BL229" s="244">
        <f>SUM(BL225:BL228)</f>
        <v>9084.722287665154</v>
      </c>
    </row>
    <row r="230" spans="1:66" x14ac:dyDescent="0.3">
      <c r="A230" s="11" t="s">
        <v>35</v>
      </c>
      <c r="B230" s="11" t="s">
        <v>395</v>
      </c>
      <c r="C230" s="11"/>
      <c r="D230">
        <v>2013</v>
      </c>
      <c r="E230" s="42">
        <v>150000</v>
      </c>
      <c r="F230" s="94">
        <v>170000</v>
      </c>
      <c r="G230">
        <v>337</v>
      </c>
      <c r="H230">
        <v>800000</v>
      </c>
      <c r="I230" t="s">
        <v>186</v>
      </c>
      <c r="J230" s="74">
        <v>900</v>
      </c>
      <c r="K230" s="9">
        <f t="shared" si="152"/>
        <v>3.6423000000000001</v>
      </c>
      <c r="L230" s="9">
        <f t="shared" si="153"/>
        <v>364.23</v>
      </c>
      <c r="M230" s="1">
        <f t="shared" si="135"/>
        <v>6</v>
      </c>
      <c r="N230" s="1">
        <f t="shared" si="154"/>
        <v>41.182769129396263</v>
      </c>
      <c r="Q230" s="1"/>
      <c r="R230" s="1"/>
      <c r="S230" s="1"/>
      <c r="T230" s="1"/>
      <c r="U230" s="1"/>
      <c r="V230" s="1"/>
      <c r="Y230" t="s">
        <v>203</v>
      </c>
      <c r="AA230" s="11"/>
      <c r="AB230" s="15">
        <v>0.14499999999999999</v>
      </c>
      <c r="AC230" t="s">
        <v>399</v>
      </c>
      <c r="AD230" t="s">
        <v>400</v>
      </c>
      <c r="AE230" t="s">
        <v>109</v>
      </c>
      <c r="AF230" t="s">
        <v>397</v>
      </c>
      <c r="AG230" s="15" t="s">
        <v>398</v>
      </c>
      <c r="AH230">
        <v>1</v>
      </c>
      <c r="AI230">
        <v>1</v>
      </c>
      <c r="BB230" s="102"/>
      <c r="BC230" s="15"/>
      <c r="BD230" s="15"/>
    </row>
    <row r="231" spans="1:66" x14ac:dyDescent="0.3">
      <c r="A231" t="s">
        <v>26</v>
      </c>
      <c r="B231" t="s">
        <v>685</v>
      </c>
      <c r="D231">
        <v>2013</v>
      </c>
      <c r="E231" s="98">
        <v>155000</v>
      </c>
      <c r="F231" s="18">
        <f>E231/$F$289</f>
        <v>182051.44060153511</v>
      </c>
      <c r="I231" t="s">
        <v>677</v>
      </c>
      <c r="J231">
        <v>934.4</v>
      </c>
      <c r="K231" s="9">
        <f t="shared" si="152"/>
        <v>3.7815168000000003</v>
      </c>
      <c r="L231" s="9">
        <f t="shared" si="153"/>
        <v>378.15168</v>
      </c>
      <c r="M231" s="1">
        <f t="shared" si="135"/>
        <v>6.0283870967741935</v>
      </c>
      <c r="N231" s="9">
        <f t="shared" si="154"/>
        <v>40.988843418598584</v>
      </c>
      <c r="W231">
        <v>33.159599999999998</v>
      </c>
      <c r="X231">
        <v>-115.5369</v>
      </c>
      <c r="Y231" t="s">
        <v>203</v>
      </c>
      <c r="AB231" s="111"/>
      <c r="AE231" t="s">
        <v>24</v>
      </c>
      <c r="AI231">
        <v>1</v>
      </c>
      <c r="BA231" s="8" t="s">
        <v>764</v>
      </c>
      <c r="BB231" s="193" t="s">
        <v>55</v>
      </c>
      <c r="BC231" s="130" t="s">
        <v>767</v>
      </c>
      <c r="BD231" s="121" t="s">
        <v>770</v>
      </c>
      <c r="BF231" t="s">
        <v>842</v>
      </c>
      <c r="BK231" s="121" t="s">
        <v>843</v>
      </c>
    </row>
    <row r="232" spans="1:66" x14ac:dyDescent="0.3">
      <c r="A232" t="s">
        <v>148</v>
      </c>
      <c r="B232" t="s">
        <v>720</v>
      </c>
      <c r="D232">
        <v>2017</v>
      </c>
      <c r="E232" s="18">
        <f>F232*$F$289</f>
        <v>170281.54184097456</v>
      </c>
      <c r="F232">
        <v>200000</v>
      </c>
      <c r="G232">
        <v>700</v>
      </c>
      <c r="I232" t="s">
        <v>718</v>
      </c>
      <c r="J232">
        <v>2000</v>
      </c>
      <c r="K232" s="9">
        <f t="shared" si="152"/>
        <v>8.0940000000000012</v>
      </c>
      <c r="L232" s="9">
        <f t="shared" si="153"/>
        <v>809.4</v>
      </c>
      <c r="M232" s="1">
        <f t="shared" si="135"/>
        <v>11.745254232357105</v>
      </c>
      <c r="N232" s="9">
        <f t="shared" si="154"/>
        <v>21.037996273903453</v>
      </c>
      <c r="W232" t="s">
        <v>724</v>
      </c>
      <c r="Y232" t="s">
        <v>203</v>
      </c>
      <c r="AB232" s="111"/>
      <c r="AE232" t="s">
        <v>24</v>
      </c>
      <c r="AF232" t="s">
        <v>611</v>
      </c>
      <c r="AG232" t="s">
        <v>252</v>
      </c>
      <c r="AI232">
        <v>1</v>
      </c>
      <c r="BA232" s="196" t="s">
        <v>217</v>
      </c>
      <c r="BB232" s="113">
        <f>SUMIF($AE$3:$AE$128,"=proposed",$F$3:$F$128)/1000</f>
        <v>82.2</v>
      </c>
      <c r="BC232" s="192">
        <f>BB232/$BB$235</f>
        <v>0.10785238995397861</v>
      </c>
      <c r="BD232" s="113">
        <f>SUMIF($AE$3:$AE$128,"=proposed",$AI$3:$AI$128)</f>
        <v>6</v>
      </c>
      <c r="BF232" s="195" t="s">
        <v>757</v>
      </c>
      <c r="BG232" s="195" t="s">
        <v>55</v>
      </c>
      <c r="BH232" s="267" t="s">
        <v>605</v>
      </c>
      <c r="BI232" s="67" t="s">
        <v>758</v>
      </c>
      <c r="BK232" s="195" t="s">
        <v>757</v>
      </c>
      <c r="BL232" s="195" t="s">
        <v>55</v>
      </c>
      <c r="BM232" s="267" t="s">
        <v>605</v>
      </c>
      <c r="BN232" s="67" t="s">
        <v>758</v>
      </c>
    </row>
    <row r="233" spans="1:66" x14ac:dyDescent="0.3">
      <c r="A233" t="s">
        <v>26</v>
      </c>
      <c r="B233" t="s">
        <v>678</v>
      </c>
      <c r="D233">
        <v>2014</v>
      </c>
      <c r="E233" s="98">
        <v>200000</v>
      </c>
      <c r="F233" s="18">
        <f>E233/$F$289</f>
        <v>234905.0846471421</v>
      </c>
      <c r="I233" t="s">
        <v>677</v>
      </c>
      <c r="J233">
        <f>2500/2</f>
        <v>1250</v>
      </c>
      <c r="K233" s="9">
        <f t="shared" si="152"/>
        <v>5.0587500000000007</v>
      </c>
      <c r="L233" s="9">
        <f t="shared" si="153"/>
        <v>505.875</v>
      </c>
      <c r="M233" s="1">
        <f t="shared" si="135"/>
        <v>6.25</v>
      </c>
      <c r="N233" s="9">
        <f t="shared" si="154"/>
        <v>39.535458364220403</v>
      </c>
      <c r="W233">
        <v>32.6706</v>
      </c>
      <c r="X233">
        <v>-115.6</v>
      </c>
      <c r="Y233" t="s">
        <v>203</v>
      </c>
      <c r="AB233" s="111"/>
      <c r="AE233" t="s">
        <v>24</v>
      </c>
      <c r="AF233" t="s">
        <v>475</v>
      </c>
      <c r="AG233" t="s">
        <v>385</v>
      </c>
      <c r="AI233">
        <v>1</v>
      </c>
      <c r="BA233" s="196" t="s">
        <v>218</v>
      </c>
      <c r="BB233" s="113">
        <f>SUMIF($AE$3:$AE$128,"=construction",$F$3:$F$128)/1000</f>
        <v>193.92</v>
      </c>
      <c r="BC233" s="192">
        <f>BB233/$BB$235</f>
        <v>0.25443717104471447</v>
      </c>
      <c r="BD233" s="113">
        <f>SUMIF($AE$3:$AE$128,"=construction",$AI$3:$AI$128)</f>
        <v>17</v>
      </c>
      <c r="BF233" s="195" t="s">
        <v>21</v>
      </c>
      <c r="BG233" s="266">
        <f>SUMIF($Y$3:$Y$128,"=1 axis",$E$3:$E$128)/1000</f>
        <v>302.70931418475476</v>
      </c>
      <c r="BH233" s="67">
        <f>BG233/$BG$237</f>
        <v>0.47235852577632526</v>
      </c>
      <c r="BI233" s="67">
        <f>$BG233/($BG$237-$BG$236)</f>
        <v>0.55370496690576976</v>
      </c>
      <c r="BK233" s="195" t="s">
        <v>21</v>
      </c>
      <c r="BL233" s="266">
        <f>SUMIF($Y$178:$Y$242,"=1 axis",$E$178:$E$242)/1000</f>
        <v>1636.6157411609968</v>
      </c>
      <c r="BM233" s="67">
        <f>BL233/$BL$237</f>
        <v>0.19382281133198431</v>
      </c>
      <c r="BN233" s="67">
        <f>$BL233/($BL$237-$BL$236)</f>
        <v>0.46090805317866668</v>
      </c>
    </row>
    <row r="234" spans="1:66" x14ac:dyDescent="0.3">
      <c r="A234" t="s">
        <v>26</v>
      </c>
      <c r="B234" t="s">
        <v>679</v>
      </c>
      <c r="D234">
        <v>2014</v>
      </c>
      <c r="E234" s="98">
        <v>200000</v>
      </c>
      <c r="F234" s="18">
        <f>E234/$F$289</f>
        <v>234905.0846471421</v>
      </c>
      <c r="I234" t="s">
        <v>677</v>
      </c>
      <c r="J234">
        <v>1250</v>
      </c>
      <c r="K234" s="9">
        <f t="shared" si="152"/>
        <v>5.0587500000000007</v>
      </c>
      <c r="L234" s="9">
        <f t="shared" si="153"/>
        <v>505.875</v>
      </c>
      <c r="M234" s="1">
        <f t="shared" si="135"/>
        <v>6.25</v>
      </c>
      <c r="N234" s="9">
        <f t="shared" si="154"/>
        <v>39.535458364220403</v>
      </c>
      <c r="W234">
        <v>32.6706</v>
      </c>
      <c r="X234">
        <v>-115.6</v>
      </c>
      <c r="Y234" t="s">
        <v>203</v>
      </c>
      <c r="AB234" s="111"/>
      <c r="AE234" t="s">
        <v>24</v>
      </c>
      <c r="AF234" t="s">
        <v>475</v>
      </c>
      <c r="AG234" t="s">
        <v>385</v>
      </c>
      <c r="AI234">
        <v>1</v>
      </c>
      <c r="BA234" s="196" t="s">
        <v>595</v>
      </c>
      <c r="BB234" s="113">
        <f>SUMIF($AE$3:$AE$129,"=completed",$F$3:$F$129)/1000</f>
        <v>486.03279081970578</v>
      </c>
      <c r="BC234" s="192">
        <f>BB234/$BB$235</f>
        <v>0.63771043900130686</v>
      </c>
      <c r="BD234" s="113">
        <f>SUMIF($AE$3:$AE$129,"=completed",$AI$3:$AI$129)</f>
        <v>103</v>
      </c>
      <c r="BF234" s="195" t="s">
        <v>139</v>
      </c>
      <c r="BG234" s="266">
        <f>SUMIF($Y$3:$Y$128,"=2 axis",$E$3:$E$128)/1000</f>
        <v>4.606115706798362</v>
      </c>
      <c r="BH234" s="67">
        <f>BG234/$BG$237</f>
        <v>7.1875489879723916E-3</v>
      </c>
      <c r="BI234" s="67">
        <f>$BG234/($BG$237-$BG$236)</f>
        <v>8.4253408318989212E-3</v>
      </c>
      <c r="BK234" s="195" t="s">
        <v>139</v>
      </c>
      <c r="BL234" s="266">
        <f>SUMIF($Y$178:$Y$242,"=2 axis",$E$178:$E$242)/1000</f>
        <v>158.43115638073093</v>
      </c>
      <c r="BM234" s="67">
        <f>BL234/$BL$237</f>
        <v>1.8762847845094601E-2</v>
      </c>
      <c r="BN234" s="67">
        <f>$BL234/($BL$237-$BL$236)</f>
        <v>4.4617801243000667E-2</v>
      </c>
    </row>
    <row r="235" spans="1:66" x14ac:dyDescent="0.3">
      <c r="A235" t="s">
        <v>26</v>
      </c>
      <c r="B235" t="s">
        <v>680</v>
      </c>
      <c r="D235">
        <v>2014</v>
      </c>
      <c r="E235" s="98">
        <v>200000</v>
      </c>
      <c r="F235" s="18">
        <f>E235/$F$289</f>
        <v>234905.0846471421</v>
      </c>
      <c r="I235" t="s">
        <v>677</v>
      </c>
      <c r="J235">
        <v>1400</v>
      </c>
      <c r="K235" s="9">
        <f t="shared" si="152"/>
        <v>5.6657999999999999</v>
      </c>
      <c r="L235" s="9">
        <f t="shared" si="153"/>
        <v>566.58000000000004</v>
      </c>
      <c r="M235" s="1">
        <f t="shared" si="135"/>
        <v>7</v>
      </c>
      <c r="N235" s="9">
        <f t="shared" si="154"/>
        <v>35.299516396625364</v>
      </c>
      <c r="W235">
        <v>32.6706</v>
      </c>
      <c r="X235">
        <v>-115.6</v>
      </c>
      <c r="Y235" t="s">
        <v>203</v>
      </c>
      <c r="AB235" s="111"/>
      <c r="AE235" t="s">
        <v>24</v>
      </c>
      <c r="AF235" t="s">
        <v>475</v>
      </c>
      <c r="AG235" t="s">
        <v>385</v>
      </c>
      <c r="AI235">
        <v>1</v>
      </c>
      <c r="BA235" s="196" t="s">
        <v>597</v>
      </c>
      <c r="BB235" s="113">
        <f>BB232+BB233+BB234</f>
        <v>762.15279081970584</v>
      </c>
      <c r="BC235" s="192">
        <f>BB235/$BB$235</f>
        <v>1</v>
      </c>
      <c r="BD235" s="113">
        <f>SUM(BD232:BD234)</f>
        <v>126</v>
      </c>
      <c r="BF235" s="195" t="s">
        <v>91</v>
      </c>
      <c r="BG235" s="266">
        <f>SUMIF($Y$3:$Y$128,"=fixed",$E$3:$E$128)/1000</f>
        <v>239.38241874138183</v>
      </c>
      <c r="BH235" s="67">
        <f>BG235/$BG$237</f>
        <v>0.37354095534845894</v>
      </c>
      <c r="BI235" s="67">
        <f>$BG235/($BG$237-$BG$236)</f>
        <v>0.43786969226233141</v>
      </c>
      <c r="BK235" s="195" t="s">
        <v>91</v>
      </c>
      <c r="BL235" s="266">
        <f>SUMIF($Y$178:$Y$242,"=fixed",$E$178:$E$242)/1000</f>
        <v>1755.8039280709413</v>
      </c>
      <c r="BM235" s="67">
        <f>BL235/$BL$237</f>
        <v>0.20793815244929484</v>
      </c>
      <c r="BN235" s="67">
        <f>$BL235/($BL$237-$BL$236)</f>
        <v>0.49447414557833247</v>
      </c>
    </row>
    <row r="236" spans="1:66" x14ac:dyDescent="0.3">
      <c r="A236" s="69" t="s">
        <v>160</v>
      </c>
      <c r="B236" s="11" t="s">
        <v>201</v>
      </c>
      <c r="C236" s="11"/>
      <c r="D236">
        <v>2016</v>
      </c>
      <c r="E236" s="18">
        <f>F236*$F$289</f>
        <v>255422.31276146186</v>
      </c>
      <c r="F236" s="18">
        <v>300000</v>
      </c>
      <c r="G236">
        <v>1000</v>
      </c>
      <c r="I236" t="s">
        <v>202</v>
      </c>
      <c r="J236">
        <v>2500</v>
      </c>
      <c r="K236" s="9">
        <f t="shared" si="152"/>
        <v>10.117500000000001</v>
      </c>
      <c r="L236" s="9">
        <f t="shared" si="153"/>
        <v>1011.75</v>
      </c>
      <c r="M236" s="1">
        <f t="shared" si="135"/>
        <v>9.7877118602975877</v>
      </c>
      <c r="N236" s="9">
        <f>F236/1000/K236</f>
        <v>29.651593773165303</v>
      </c>
      <c r="P236" s="1"/>
      <c r="Q236" s="1"/>
      <c r="R236" s="1"/>
      <c r="S236" s="1"/>
      <c r="T236" s="1"/>
      <c r="U236" s="1"/>
      <c r="V236" s="1"/>
      <c r="Y236" t="s">
        <v>203</v>
      </c>
      <c r="AB236" s="15"/>
      <c r="AC236" s="15"/>
      <c r="AD236" s="15"/>
      <c r="AE236" t="s">
        <v>24</v>
      </c>
      <c r="AF236" t="s">
        <v>157</v>
      </c>
      <c r="AG236" s="15" t="s">
        <v>352</v>
      </c>
      <c r="AI236">
        <v>1</v>
      </c>
      <c r="BA236" s="8" t="s">
        <v>765</v>
      </c>
      <c r="BB236" s="198"/>
      <c r="BC236" s="130"/>
      <c r="BD236" s="198"/>
      <c r="BF236" s="195" t="s">
        <v>203</v>
      </c>
      <c r="BG236" s="266">
        <f>SUMIF($Y$3:$Y$128,"=unknown",$E$3:$E$128)/1000</f>
        <v>94.148664483874839</v>
      </c>
      <c r="BH236" s="67">
        <f>BG236/$BG$237</f>
        <v>0.14691296988724345</v>
      </c>
      <c r="BI236" s="67" t="s">
        <v>759</v>
      </c>
      <c r="BK236" s="195" t="s">
        <v>203</v>
      </c>
      <c r="BL236" s="266">
        <f>SUMIF($Y$178:$Y$242,"=unknown",$E$178:$E$242)/1000</f>
        <v>4893.0249489356756</v>
      </c>
      <c r="BM236" s="67">
        <f>BL236/$BL$237</f>
        <v>0.57947618837362613</v>
      </c>
      <c r="BN236" s="67" t="s">
        <v>759</v>
      </c>
    </row>
    <row r="237" spans="1:66" x14ac:dyDescent="0.3">
      <c r="A237" s="69" t="s">
        <v>26</v>
      </c>
      <c r="B237" s="11" t="s">
        <v>205</v>
      </c>
      <c r="C237" s="11"/>
      <c r="D237">
        <v>2014</v>
      </c>
      <c r="E237" s="94">
        <v>275000</v>
      </c>
      <c r="F237" s="18">
        <f>E237/$F$289</f>
        <v>322994.49138982041</v>
      </c>
      <c r="G237">
        <v>600</v>
      </c>
      <c r="I237" t="s">
        <v>206</v>
      </c>
      <c r="J237">
        <v>2067</v>
      </c>
      <c r="K237" s="9">
        <f t="shared" si="152"/>
        <v>8.3651490000000006</v>
      </c>
      <c r="L237" s="9">
        <f t="shared" si="153"/>
        <v>836.51490000000001</v>
      </c>
      <c r="M237" s="1">
        <f t="shared" si="135"/>
        <v>7.5163636363636366</v>
      </c>
      <c r="N237" s="9">
        <f t="shared" ref="N237:N242" si="157">E237/1000/K237</f>
        <v>32.874489145381631</v>
      </c>
      <c r="Q237" s="1"/>
      <c r="R237" s="1"/>
      <c r="S237" s="1"/>
      <c r="T237" s="1"/>
      <c r="U237" s="1"/>
      <c r="V237" s="1"/>
      <c r="W237">
        <v>32.784460000000003</v>
      </c>
      <c r="X237">
        <v>-115.857739</v>
      </c>
      <c r="Y237" t="s">
        <v>203</v>
      </c>
      <c r="AB237" s="15"/>
      <c r="AC237" s="15"/>
      <c r="AD237" s="15"/>
      <c r="AE237" t="s">
        <v>24</v>
      </c>
      <c r="AF237" t="s">
        <v>110</v>
      </c>
      <c r="AG237" s="15" t="s">
        <v>252</v>
      </c>
      <c r="AI237">
        <v>1</v>
      </c>
      <c r="BA237" s="196" t="s">
        <v>217</v>
      </c>
      <c r="BB237" s="113">
        <f>SUMIF($AE$178:$AE$242,"=proposed",$F$178:$F$242)/1000</f>
        <v>7490.2406820203114</v>
      </c>
      <c r="BC237" s="192">
        <f>BB237/$BB$240</f>
        <v>0.75500694774895938</v>
      </c>
      <c r="BD237" s="113">
        <f>SUMIF($AE$178:$AE$242,"=proposed",$AI$178:$AI$242)</f>
        <v>36</v>
      </c>
      <c r="BF237" s="195" t="s">
        <v>246</v>
      </c>
      <c r="BG237" s="266">
        <f>SUM(BG233:BG236)</f>
        <v>640.84651311680977</v>
      </c>
      <c r="BH237" s="101"/>
      <c r="BI237" s="67"/>
      <c r="BK237" s="195" t="s">
        <v>246</v>
      </c>
      <c r="BL237" s="266">
        <f>SUM(BL233:BL236)</f>
        <v>8443.8757745483454</v>
      </c>
      <c r="BM237" s="101"/>
      <c r="BN237" s="67"/>
    </row>
    <row r="238" spans="1:66" x14ac:dyDescent="0.3">
      <c r="A238" t="s">
        <v>148</v>
      </c>
      <c r="B238" t="s">
        <v>717</v>
      </c>
      <c r="D238">
        <v>2020</v>
      </c>
      <c r="E238" s="18">
        <f>F238*$F$289</f>
        <v>340563.08368194912</v>
      </c>
      <c r="F238">
        <v>400000</v>
      </c>
      <c r="G238">
        <v>1500</v>
      </c>
      <c r="I238" t="s">
        <v>718</v>
      </c>
      <c r="J238">
        <v>4000</v>
      </c>
      <c r="K238">
        <f t="shared" si="152"/>
        <v>16.188000000000002</v>
      </c>
      <c r="L238">
        <f t="shared" si="153"/>
        <v>1618.8</v>
      </c>
      <c r="M238" s="1">
        <f t="shared" si="135"/>
        <v>11.745254232357105</v>
      </c>
      <c r="N238">
        <f t="shared" si="157"/>
        <v>21.037996273903453</v>
      </c>
      <c r="W238" t="s">
        <v>724</v>
      </c>
      <c r="Y238" t="s">
        <v>203</v>
      </c>
      <c r="AB238" s="111"/>
      <c r="AE238" t="s">
        <v>24</v>
      </c>
      <c r="AF238" t="s">
        <v>611</v>
      </c>
      <c r="AG238" t="s">
        <v>252</v>
      </c>
      <c r="AI238">
        <v>1</v>
      </c>
      <c r="BA238" s="196" t="s">
        <v>218</v>
      </c>
      <c r="BB238" s="113">
        <f>SUMIF($AE$178:$AE$242,"=construction",$F$178:$F$242)/1000</f>
        <v>2127.8948298620162</v>
      </c>
      <c r="BC238" s="192">
        <f>BB238/$BB$240</f>
        <v>0.21448915312979996</v>
      </c>
      <c r="BD238" s="113">
        <f>SUMIF($AE$178:$AE$242,"=construction",$AI$178:$AI$242)</f>
        <v>19</v>
      </c>
    </row>
    <row r="239" spans="1:66" x14ac:dyDescent="0.3">
      <c r="A239" t="s">
        <v>26</v>
      </c>
      <c r="B239" t="s">
        <v>691</v>
      </c>
      <c r="D239">
        <v>2015</v>
      </c>
      <c r="E239" s="18">
        <f>F239*$F$289</f>
        <v>425703.85460243642</v>
      </c>
      <c r="F239">
        <v>500000</v>
      </c>
      <c r="I239" t="s">
        <v>692</v>
      </c>
      <c r="J239">
        <v>5587</v>
      </c>
      <c r="K239" s="9">
        <f t="shared" si="152"/>
        <v>22.610589000000001</v>
      </c>
      <c r="L239" s="9">
        <f t="shared" si="153"/>
        <v>2261.0589</v>
      </c>
      <c r="M239" s="1">
        <f t="shared" si="135"/>
        <v>13.124147079235829</v>
      </c>
      <c r="N239" s="9">
        <f t="shared" si="157"/>
        <v>18.827632247989488</v>
      </c>
      <c r="W239">
        <v>33.036700000000003</v>
      </c>
      <c r="X239">
        <v>-115.7557</v>
      </c>
      <c r="Y239" t="s">
        <v>203</v>
      </c>
      <c r="AB239" s="111"/>
      <c r="AE239" t="s">
        <v>24</v>
      </c>
      <c r="AF239" t="s">
        <v>694</v>
      </c>
      <c r="AG239" t="s">
        <v>695</v>
      </c>
      <c r="AH239">
        <v>1</v>
      </c>
      <c r="AI239">
        <v>1</v>
      </c>
      <c r="BA239" s="196" t="s">
        <v>595</v>
      </c>
      <c r="BB239" s="113">
        <f>SUMIF($AE$178:$AE$242,"=completed",$F$178:$F$242)/1000</f>
        <v>302.62177962649974</v>
      </c>
      <c r="BC239" s="192">
        <f>BB239/$BB$240</f>
        <v>3.0503899121240841E-2</v>
      </c>
      <c r="BD239" s="113">
        <f>SUMIF($AE$178:$AE$242,"=completed",$AI$178:$AI$242)</f>
        <v>10</v>
      </c>
    </row>
    <row r="240" spans="1:66" x14ac:dyDescent="0.3">
      <c r="A240" s="69" t="s">
        <v>26</v>
      </c>
      <c r="B240" s="11" t="s">
        <v>193</v>
      </c>
      <c r="C240" s="11"/>
      <c r="D240">
        <v>2013</v>
      </c>
      <c r="E240" s="42">
        <v>440000</v>
      </c>
      <c r="F240" s="94">
        <v>500000</v>
      </c>
      <c r="I240" t="s">
        <v>194</v>
      </c>
      <c r="J240">
        <v>3288</v>
      </c>
      <c r="K240" s="9">
        <f t="shared" si="152"/>
        <v>13.306536000000001</v>
      </c>
      <c r="L240" s="9">
        <f t="shared" si="153"/>
        <v>1330.6536000000001</v>
      </c>
      <c r="M240" s="1">
        <f t="shared" si="135"/>
        <v>7.4727272727272727</v>
      </c>
      <c r="N240" s="9">
        <f t="shared" si="157"/>
        <v>33.066456965208673</v>
      </c>
      <c r="Q240" s="1"/>
      <c r="R240" s="1"/>
      <c r="S240" s="1"/>
      <c r="T240" s="1"/>
      <c r="U240" s="1"/>
      <c r="V240" s="1"/>
      <c r="Y240" t="s">
        <v>203</v>
      </c>
      <c r="AB240" s="15"/>
      <c r="AC240" s="15"/>
      <c r="AD240" s="15"/>
      <c r="AE240" t="s">
        <v>24</v>
      </c>
      <c r="AF240" t="s">
        <v>110</v>
      </c>
      <c r="AG240" s="15" t="s">
        <v>252</v>
      </c>
      <c r="AI240">
        <v>1</v>
      </c>
      <c r="BA240" s="197" t="s">
        <v>597</v>
      </c>
      <c r="BB240" s="194">
        <f>SUM(BB237:BB239)</f>
        <v>9920.7572915088258</v>
      </c>
      <c r="BC240" s="134">
        <f>BB240/$BB$240</f>
        <v>1</v>
      </c>
      <c r="BD240" s="194">
        <f>SUM(BD237:BD239)</f>
        <v>65</v>
      </c>
    </row>
    <row r="241" spans="1:74" x14ac:dyDescent="0.3">
      <c r="A241" s="11" t="s">
        <v>35</v>
      </c>
      <c r="B241" s="11" t="s">
        <v>396</v>
      </c>
      <c r="C241" s="11"/>
      <c r="D241">
        <v>2016</v>
      </c>
      <c r="E241" s="18">
        <f>F241*$F$289</f>
        <v>595985.39644341101</v>
      </c>
      <c r="F241" s="18">
        <v>700000</v>
      </c>
      <c r="I241" t="s">
        <v>186</v>
      </c>
      <c r="J241" s="74">
        <v>4000</v>
      </c>
      <c r="K241" s="9">
        <f>J241*0.004047</f>
        <v>16.188000000000002</v>
      </c>
      <c r="L241" s="9">
        <f t="shared" si="153"/>
        <v>1618.8</v>
      </c>
      <c r="M241" s="1">
        <f t="shared" si="135"/>
        <v>6.711573847061203</v>
      </c>
      <c r="N241" s="1">
        <f t="shared" si="157"/>
        <v>36.816493479331044</v>
      </c>
      <c r="Q241" s="1"/>
      <c r="R241" s="1"/>
      <c r="S241" s="1"/>
      <c r="T241" s="1"/>
      <c r="U241" s="1"/>
      <c r="V241" s="1"/>
      <c r="Y241" t="s">
        <v>203</v>
      </c>
      <c r="AA241" s="11"/>
      <c r="AB241" s="15"/>
      <c r="AE241" t="s">
        <v>24</v>
      </c>
      <c r="AG241" s="15"/>
      <c r="AH241">
        <v>1</v>
      </c>
      <c r="AI241">
        <v>1</v>
      </c>
    </row>
    <row r="242" spans="1:74" x14ac:dyDescent="0.3">
      <c r="A242" t="s">
        <v>107</v>
      </c>
      <c r="B242" t="s">
        <v>734</v>
      </c>
      <c r="D242">
        <v>2015</v>
      </c>
      <c r="E242" s="18">
        <f>F242*$F$289</f>
        <v>613013.55062750843</v>
      </c>
      <c r="F242">
        <v>720000</v>
      </c>
      <c r="I242" t="s">
        <v>733</v>
      </c>
      <c r="J242">
        <f>5436</f>
        <v>5436</v>
      </c>
      <c r="K242" s="9">
        <f>J242*0.004047</f>
        <v>21.999492</v>
      </c>
      <c r="L242" s="9">
        <f t="shared" si="153"/>
        <v>2199.9492</v>
      </c>
      <c r="M242" s="1">
        <f t="shared" ref="M242" si="158">J242/(E242/1000)</f>
        <v>8.8676669454296153</v>
      </c>
      <c r="N242" s="9">
        <f t="shared" si="157"/>
        <v>27.86489572702444</v>
      </c>
      <c r="W242">
        <v>35.077634000000003</v>
      </c>
      <c r="X242">
        <v>-114.639931</v>
      </c>
      <c r="Y242" t="s">
        <v>203</v>
      </c>
      <c r="AB242" s="15"/>
      <c r="AC242" t="s">
        <v>366</v>
      </c>
      <c r="AD242" t="s">
        <v>735</v>
      </c>
      <c r="AE242" t="s">
        <v>24</v>
      </c>
      <c r="AF242" t="s">
        <v>611</v>
      </c>
      <c r="AG242" t="s">
        <v>380</v>
      </c>
      <c r="AI242">
        <v>1</v>
      </c>
    </row>
    <row r="244" spans="1:74" x14ac:dyDescent="0.3">
      <c r="P244" s="1">
        <f>SUMIF(R178:R242,"&gt;0",F178:F242)/1000</f>
        <v>1809.5543216591398</v>
      </c>
      <c r="AK244" t="s">
        <v>895</v>
      </c>
      <c r="AM244" s="10"/>
      <c r="AN244" s="10"/>
    </row>
    <row r="245" spans="1:74" x14ac:dyDescent="0.3">
      <c r="A245" s="69"/>
      <c r="B245" s="11"/>
      <c r="C245" s="11"/>
      <c r="E245" s="18"/>
      <c r="F245" s="18"/>
      <c r="K245" s="9"/>
      <c r="L245" s="9"/>
      <c r="M245" s="9"/>
      <c r="N245" s="9"/>
      <c r="P245" s="1"/>
      <c r="Q245" s="1"/>
      <c r="R245" s="1"/>
      <c r="S245" s="1"/>
      <c r="T245" s="1"/>
      <c r="U245" s="1"/>
      <c r="V245" s="1"/>
      <c r="AB245" s="15"/>
      <c r="AC245" s="15"/>
      <c r="AD245" s="15"/>
      <c r="AG245" s="15"/>
      <c r="AK245" t="s">
        <v>134</v>
      </c>
      <c r="AL245">
        <f>MAX(AL$178:AL$193)</f>
        <v>2850.54</v>
      </c>
      <c r="AM245" s="10">
        <f t="shared" ref="AM245:AR245" si="159">MAX(AM$178:AM$193)</f>
        <v>4.8611903132876852</v>
      </c>
      <c r="AN245" s="10">
        <f t="shared" si="159"/>
        <v>3.853255597869655</v>
      </c>
      <c r="AO245">
        <f t="shared" si="159"/>
        <v>2891.16</v>
      </c>
      <c r="AP245">
        <f t="shared" si="159"/>
        <v>4.3181895385812963</v>
      </c>
      <c r="AQ245">
        <f t="shared" si="159"/>
        <v>1587.88</v>
      </c>
      <c r="AR245">
        <f t="shared" si="159"/>
        <v>7.8525521056094965</v>
      </c>
    </row>
    <row r="246" spans="1:74" ht="15" thickBot="1" x14ac:dyDescent="0.35">
      <c r="A246" s="69"/>
      <c r="B246" s="11"/>
      <c r="C246" s="11"/>
      <c r="E246" s="18"/>
      <c r="F246" s="18"/>
      <c r="K246" s="9"/>
      <c r="L246" s="9"/>
      <c r="M246" s="9">
        <f>(M197*E197+M199*E199+M200*E200+M201*E201+M203*E203+M204*E204+M208*E208)/(E197+E199+E200+E201+E203+E204+E208)</f>
        <v>7.9233870967741939</v>
      </c>
      <c r="N246" s="9"/>
      <c r="O246">
        <f>(M178*E178+M179*E179+M180*E180+M181*E181+M184*E184+M190*E190+M192*E192)/(E178+E179+E180+E181+E184+E190+E192)</f>
        <v>9.4042835999902632</v>
      </c>
      <c r="P246" s="1"/>
      <c r="Q246" s="1"/>
      <c r="R246" s="1"/>
      <c r="S246" s="1"/>
      <c r="T246" s="1"/>
      <c r="U246" s="1"/>
      <c r="V246" s="1"/>
      <c r="AB246" s="15"/>
      <c r="AC246" s="15"/>
      <c r="AD246" s="15"/>
      <c r="AG246" s="15"/>
      <c r="AK246" t="s">
        <v>135</v>
      </c>
      <c r="AL246">
        <f>MIN(AL$178:AL$193)</f>
        <v>2108.98</v>
      </c>
      <c r="AM246" s="10">
        <f t="shared" ref="AM246:AR246" si="160">MIN(AM$178:AM$193)</f>
        <v>2.5738412491486686</v>
      </c>
      <c r="AN246" s="10">
        <f t="shared" si="160"/>
        <v>2.3256687381008097</v>
      </c>
      <c r="AO246">
        <f t="shared" si="160"/>
        <v>2671.3</v>
      </c>
      <c r="AP246">
        <f t="shared" si="160"/>
        <v>2.130676904984262</v>
      </c>
      <c r="AQ246">
        <f t="shared" si="160"/>
        <v>1467.15</v>
      </c>
      <c r="AR246">
        <f t="shared" si="160"/>
        <v>3.8793863516134715</v>
      </c>
    </row>
    <row r="247" spans="1:74" ht="15" thickBot="1" x14ac:dyDescent="0.35">
      <c r="B247" s="11"/>
      <c r="C247" s="11"/>
      <c r="E247" s="18"/>
      <c r="F247" s="18"/>
      <c r="K247" s="9"/>
      <c r="L247" s="9"/>
      <c r="M247" s="9"/>
      <c r="N247" s="9"/>
      <c r="P247" s="1"/>
      <c r="Q247" s="1"/>
      <c r="R247" s="1"/>
      <c r="S247" s="1"/>
      <c r="T247" s="1"/>
      <c r="U247" s="1"/>
      <c r="V247" s="1"/>
      <c r="AB247" s="15"/>
      <c r="AC247" s="15"/>
      <c r="AD247" s="15"/>
      <c r="AK247" s="365" t="s">
        <v>137</v>
      </c>
      <c r="AL247" s="366">
        <f t="shared" ref="AL247:AR247" si="161">wtavg($E178:$E193,AL$178:AL$193)</f>
        <v>2556.8070802480197</v>
      </c>
      <c r="AM247" s="367">
        <f t="shared" si="161"/>
        <v>3.2660218027133072</v>
      </c>
      <c r="AN247" s="367">
        <f t="shared" si="161"/>
        <v>3.4611559440820727</v>
      </c>
      <c r="AO247" s="366">
        <f t="shared" si="161"/>
        <v>2677.7149621070089</v>
      </c>
      <c r="AP247" s="366">
        <f t="shared" si="161"/>
        <v>3.1077173450947848</v>
      </c>
      <c r="AQ247" s="366">
        <f t="shared" si="161"/>
        <v>1472.1435846605041</v>
      </c>
      <c r="AR247" s="368">
        <f t="shared" si="161"/>
        <v>5.6527777122047054</v>
      </c>
    </row>
    <row r="248" spans="1:74" x14ac:dyDescent="0.3">
      <c r="B248" s="11"/>
      <c r="C248" s="11"/>
      <c r="E248" s="18"/>
      <c r="F248" s="18"/>
      <c r="H248" s="10" t="s">
        <v>843</v>
      </c>
      <c r="K248" s="9"/>
      <c r="L248" s="9"/>
      <c r="M248" s="9"/>
      <c r="P248" s="1"/>
      <c r="Q248" s="1"/>
      <c r="R248" s="1"/>
      <c r="S248" s="1"/>
      <c r="T248" s="1"/>
      <c r="U248" s="1"/>
      <c r="V248" s="1"/>
      <c r="AK248" t="s">
        <v>136</v>
      </c>
      <c r="AL248">
        <f>wtstd($E$178:$E$193,AL$178:AL$193)</f>
        <v>57.286396097347144</v>
      </c>
      <c r="AM248" s="10">
        <f t="shared" ref="AM248:AR248" si="162">wtstd($E$178:$E$193,AM$178:AM$193)</f>
        <v>0.3266500947784392</v>
      </c>
      <c r="AN248" s="10">
        <f t="shared" si="162"/>
        <v>0.35434951526612884</v>
      </c>
      <c r="AO248">
        <f t="shared" si="162"/>
        <v>17.885388544309187</v>
      </c>
      <c r="AP248">
        <f t="shared" si="162"/>
        <v>0.27813596672032814</v>
      </c>
      <c r="AQ248">
        <f t="shared" si="162"/>
        <v>9.7067150891100091</v>
      </c>
      <c r="AR248">
        <f t="shared" si="162"/>
        <v>0.50612843594806245</v>
      </c>
      <c r="BE248" t="s">
        <v>842</v>
      </c>
      <c r="BL248" t="s">
        <v>843</v>
      </c>
      <c r="BV248" t="s">
        <v>852</v>
      </c>
    </row>
    <row r="249" spans="1:74" ht="15" thickBot="1" x14ac:dyDescent="0.35">
      <c r="B249" s="11"/>
      <c r="C249" s="11"/>
      <c r="E249" s="18"/>
      <c r="F249" s="18"/>
      <c r="I249" s="10" t="s">
        <v>895</v>
      </c>
      <c r="U249" s="1"/>
      <c r="V249" s="11" t="s">
        <v>760</v>
      </c>
      <c r="W249" s="11"/>
      <c r="X249" s="11"/>
      <c r="Y249" s="11"/>
      <c r="Z249" s="11"/>
      <c r="AK249" t="s">
        <v>139</v>
      </c>
      <c r="AM249" s="10"/>
      <c r="AN249" s="10"/>
    </row>
    <row r="250" spans="1:74" x14ac:dyDescent="0.3">
      <c r="B250" s="11"/>
      <c r="C250" s="11"/>
      <c r="E250" s="18"/>
      <c r="F250" s="18"/>
      <c r="I250" t="s">
        <v>134</v>
      </c>
      <c r="J250">
        <f>MAX(J$178:J$193)</f>
        <v>2900</v>
      </c>
      <c r="K250">
        <f t="shared" ref="K250:S250" si="163">MAX(K$178:K$193)</f>
        <v>11.7363</v>
      </c>
      <c r="L250">
        <f t="shared" si="163"/>
        <v>1173.6300000000001</v>
      </c>
      <c r="M250" s="10">
        <f t="shared" si="163"/>
        <v>11.538461538461538</v>
      </c>
      <c r="N250">
        <f t="shared" si="163"/>
        <v>40.113086814347</v>
      </c>
      <c r="O250">
        <f t="shared" si="163"/>
        <v>2967</v>
      </c>
      <c r="P250">
        <f t="shared" si="163"/>
        <v>12.007449000000001</v>
      </c>
      <c r="Q250">
        <f t="shared" si="163"/>
        <v>1200.7448999999999</v>
      </c>
      <c r="R250" s="10">
        <f t="shared" si="163"/>
        <v>9.956619802115295</v>
      </c>
      <c r="S250">
        <f t="shared" si="163"/>
        <v>41.739293036550258</v>
      </c>
      <c r="U250" s="1"/>
      <c r="V250" s="186" t="s">
        <v>843</v>
      </c>
      <c r="W250" s="118" t="s">
        <v>13</v>
      </c>
      <c r="X250" s="185"/>
      <c r="Y250" s="118"/>
      <c r="Z250" s="118" t="s">
        <v>9</v>
      </c>
      <c r="AA250" s="185"/>
      <c r="AB250" s="119"/>
      <c r="AK250" t="s">
        <v>134</v>
      </c>
      <c r="AL250">
        <f>MAX(AL$194:AL$195)</f>
        <v>3089.14</v>
      </c>
      <c r="AM250" s="10">
        <f t="shared" ref="AM250:AR250" si="164">MAX(AM$194:AM$195)</f>
        <v>2.870501804906076</v>
      </c>
      <c r="AN250" s="10">
        <f t="shared" si="164"/>
        <v>1.959991292074817</v>
      </c>
      <c r="AO250">
        <f t="shared" si="164"/>
        <v>3150.65</v>
      </c>
      <c r="AP250">
        <f t="shared" si="164"/>
        <v>2.6269148109335023</v>
      </c>
      <c r="AQ250">
        <f t="shared" si="164"/>
        <v>1682.24</v>
      </c>
      <c r="AR250">
        <f t="shared" si="164"/>
        <v>4.9199217406955249</v>
      </c>
    </row>
    <row r="251" spans="1:74" ht="15" thickBot="1" x14ac:dyDescent="0.35">
      <c r="B251" s="11"/>
      <c r="C251" s="11"/>
      <c r="E251" s="18"/>
      <c r="F251" s="18"/>
      <c r="I251" t="s">
        <v>135</v>
      </c>
      <c r="J251">
        <f>MIN(J$178:J$193)</f>
        <v>144</v>
      </c>
      <c r="K251">
        <f t="shared" ref="K251:S251" si="165">MIN(K$178:K$193)</f>
        <v>0.58276800000000006</v>
      </c>
      <c r="L251">
        <f t="shared" si="165"/>
        <v>58.276800000000001</v>
      </c>
      <c r="M251" s="10">
        <f t="shared" si="165"/>
        <v>6.16</v>
      </c>
      <c r="N251">
        <f t="shared" si="165"/>
        <v>21.415039947286051</v>
      </c>
      <c r="O251">
        <f t="shared" si="165"/>
        <v>112.7</v>
      </c>
      <c r="P251">
        <f t="shared" si="165"/>
        <v>0.45609690000000003</v>
      </c>
      <c r="Q251">
        <f t="shared" si="165"/>
        <v>45.609690000000001</v>
      </c>
      <c r="R251" s="10">
        <f t="shared" si="165"/>
        <v>5.92</v>
      </c>
      <c r="S251">
        <f t="shared" si="165"/>
        <v>24.817319500728711</v>
      </c>
      <c r="U251" s="1"/>
      <c r="V251" s="187" t="s">
        <v>242</v>
      </c>
      <c r="W251" s="182" t="s">
        <v>761</v>
      </c>
      <c r="X251" s="181" t="s">
        <v>239</v>
      </c>
      <c r="Y251" s="182" t="s">
        <v>762</v>
      </c>
      <c r="Z251" s="182" t="s">
        <v>761</v>
      </c>
      <c r="AA251" s="181" t="s">
        <v>239</v>
      </c>
      <c r="AB251" s="183" t="s">
        <v>762</v>
      </c>
      <c r="AK251" t="s">
        <v>135</v>
      </c>
      <c r="AL251">
        <f>MIN(AL$194:AL$195)</f>
        <v>2883.29</v>
      </c>
      <c r="AM251" s="10">
        <f t="shared" ref="AM251:AR251" si="166">MIN(AM$194:AM$195)</f>
        <v>2.3709572081550205</v>
      </c>
      <c r="AN251" s="10">
        <f t="shared" si="166"/>
        <v>1.959991292074817</v>
      </c>
      <c r="AO251">
        <f t="shared" si="166"/>
        <v>3150.65</v>
      </c>
      <c r="AP251">
        <f t="shared" si="166"/>
        <v>2.3246691158967199</v>
      </c>
      <c r="AQ251">
        <f t="shared" si="166"/>
        <v>1682.24</v>
      </c>
      <c r="AR251">
        <f t="shared" si="166"/>
        <v>4.3538488860091302</v>
      </c>
    </row>
    <row r="252" spans="1:74" ht="15" thickBot="1" x14ac:dyDescent="0.35">
      <c r="B252" s="11"/>
      <c r="C252" s="11"/>
      <c r="E252" s="18"/>
      <c r="F252" s="18"/>
      <c r="I252" t="s">
        <v>137</v>
      </c>
      <c r="J252">
        <f t="shared" ref="J252:S252" si="167">wtavg($E178:$E193,J$178:J$193)</f>
        <v>1706.3427620327718</v>
      </c>
      <c r="K252">
        <f t="shared" si="167"/>
        <v>6.9055691579466272</v>
      </c>
      <c r="L252">
        <f t="shared" si="167"/>
        <v>690.5569157946627</v>
      </c>
      <c r="M252" s="10">
        <f t="shared" si="167"/>
        <v>8.3193810602977738</v>
      </c>
      <c r="N252">
        <f t="shared" si="167"/>
        <v>30.58570998730783</v>
      </c>
      <c r="O252">
        <f t="shared" si="167"/>
        <v>2140.9204256350704</v>
      </c>
      <c r="P252">
        <f t="shared" si="167"/>
        <v>8.6643049625451312</v>
      </c>
      <c r="Q252">
        <f t="shared" si="167"/>
        <v>866.43049625451295</v>
      </c>
      <c r="R252" s="10">
        <f t="shared" si="167"/>
        <v>8.9562942807542516</v>
      </c>
      <c r="S252">
        <f t="shared" si="167"/>
        <v>28.091943423429804</v>
      </c>
      <c r="U252" s="1"/>
      <c r="V252" s="188" t="str">
        <f t="shared" ref="V252:V278" si="168">I250</f>
        <v>Max</v>
      </c>
      <c r="W252" s="9">
        <f>M250</f>
        <v>11.538461538461538</v>
      </c>
      <c r="X252" s="30">
        <f>W252*2.47105381</f>
        <v>28.512159346153844</v>
      </c>
      <c r="Y252" s="9">
        <f>N250</f>
        <v>40.113086814347</v>
      </c>
      <c r="Z252" s="9">
        <f>R250</f>
        <v>9.956619802115295</v>
      </c>
      <c r="AA252" s="30">
        <f>Z252*2.47105381</f>
        <v>24.603343296738444</v>
      </c>
      <c r="AB252" s="161">
        <f>S250</f>
        <v>41.739293036550258</v>
      </c>
      <c r="AK252" s="365" t="s">
        <v>137</v>
      </c>
      <c r="AL252" s="366">
        <f t="shared" ref="AL252:AR252" si="169">wtavg($E194:$E195,AL$194:AL$195)</f>
        <v>2923.204573272465</v>
      </c>
      <c r="AM252" s="367">
        <f t="shared" si="169"/>
        <v>2.773639480835715</v>
      </c>
      <c r="AN252" s="367">
        <f t="shared" si="169"/>
        <v>1.959991292074817</v>
      </c>
      <c r="AO252" s="366">
        <f t="shared" si="169"/>
        <v>3150.65</v>
      </c>
      <c r="AP252" s="366">
        <f t="shared" si="169"/>
        <v>2.5683089914492534</v>
      </c>
      <c r="AQ252" s="366">
        <f t="shared" si="169"/>
        <v>1682.24</v>
      </c>
      <c r="AR252" s="368">
        <f t="shared" si="169"/>
        <v>4.8101595039409304</v>
      </c>
    </row>
    <row r="253" spans="1:74" x14ac:dyDescent="0.3">
      <c r="B253" s="11"/>
      <c r="C253" s="11"/>
      <c r="E253" s="18"/>
      <c r="F253" s="18"/>
      <c r="I253" t="s">
        <v>136</v>
      </c>
      <c r="J253">
        <f>wtstd($E$178:$E$193,J$178:J$193)</f>
        <v>425.76580352575752</v>
      </c>
      <c r="K253">
        <f t="shared" ref="K253:S253" si="170">wtstd($E$178:$E$193,K$178:K$193)</f>
        <v>1.7230742068687406</v>
      </c>
      <c r="L253">
        <f t="shared" si="170"/>
        <v>172.30742068687405</v>
      </c>
      <c r="M253" s="10">
        <f t="shared" si="170"/>
        <v>0.74187377897362727</v>
      </c>
      <c r="N253">
        <f t="shared" si="170"/>
        <v>2.6658429221717315</v>
      </c>
      <c r="O253">
        <f t="shared" si="170"/>
        <v>808.03097697398789</v>
      </c>
      <c r="P253">
        <f t="shared" si="170"/>
        <v>3.2701013638137297</v>
      </c>
      <c r="Q253">
        <f t="shared" si="170"/>
        <v>327.01013638137294</v>
      </c>
      <c r="R253" s="10">
        <f t="shared" si="170"/>
        <v>0.90909127301738235</v>
      </c>
      <c r="S253">
        <f t="shared" si="170"/>
        <v>3.3501253176285899</v>
      </c>
      <c r="U253" s="1"/>
      <c r="V253" s="218" t="str">
        <f t="shared" si="168"/>
        <v>Min</v>
      </c>
      <c r="W253" s="215">
        <f>M251</f>
        <v>6.16</v>
      </c>
      <c r="X253" s="216">
        <f t="shared" ref="X253:X278" si="171">W253*2.47105381</f>
        <v>15.2216914696</v>
      </c>
      <c r="Y253" s="215">
        <f>N251</f>
        <v>21.415039947286051</v>
      </c>
      <c r="Z253" s="215">
        <f>R251</f>
        <v>5.92</v>
      </c>
      <c r="AA253" s="216">
        <f t="shared" ref="AA253:AA278" si="172">Z253*2.47105381</f>
        <v>14.628638555199998</v>
      </c>
      <c r="AB253" s="217">
        <f>S251</f>
        <v>24.817319500728711</v>
      </c>
      <c r="AD253" s="15"/>
      <c r="AK253" t="s">
        <v>136</v>
      </c>
      <c r="AL253">
        <f>wtstd($E$194:$E$195,AL$194:AL$195)</f>
        <v>162.76660282274003</v>
      </c>
      <c r="AM253" s="10">
        <f t="shared" ref="AM253:AR253" si="173">wtstd($E$194:$E$195,AM$194:AM$195)</f>
        <v>0.39499235837563718</v>
      </c>
      <c r="AN253" s="10" t="e">
        <f t="shared" si="173"/>
        <v>#VALUE!</v>
      </c>
      <c r="AO253">
        <f t="shared" si="173"/>
        <v>0</v>
      </c>
      <c r="AP253">
        <f t="shared" si="173"/>
        <v>0.23898715083281519</v>
      </c>
      <c r="AQ253">
        <f t="shared" si="173"/>
        <v>0</v>
      </c>
      <c r="AR253">
        <f t="shared" si="173"/>
        <v>0.44759657764136546</v>
      </c>
    </row>
    <row r="254" spans="1:74" x14ac:dyDescent="0.3">
      <c r="B254" s="11"/>
      <c r="C254" s="11"/>
      <c r="E254" s="18"/>
      <c r="F254" s="18"/>
      <c r="I254" s="10" t="s">
        <v>139</v>
      </c>
      <c r="M254" s="10"/>
      <c r="R254" s="10"/>
      <c r="U254" s="1"/>
      <c r="V254" s="189" t="str">
        <f t="shared" si="168"/>
        <v>W. Average</v>
      </c>
      <c r="W254" s="170">
        <f>M252</f>
        <v>8.3193810602977738</v>
      </c>
      <c r="X254" s="184">
        <f t="shared" si="171"/>
        <v>20.557638265890652</v>
      </c>
      <c r="Y254" s="170">
        <f>N252</f>
        <v>30.58570998730783</v>
      </c>
      <c r="Z254" s="170">
        <f>R252</f>
        <v>8.9562942807542516</v>
      </c>
      <c r="AA254" s="184">
        <f t="shared" si="172"/>
        <v>22.131485105939003</v>
      </c>
      <c r="AB254" s="172">
        <f>S252</f>
        <v>28.091943423429804</v>
      </c>
      <c r="AK254" t="s">
        <v>138</v>
      </c>
      <c r="AM254" s="10"/>
      <c r="AN254" s="10"/>
    </row>
    <row r="255" spans="1:74" ht="15" thickBot="1" x14ac:dyDescent="0.35">
      <c r="B255" s="11"/>
      <c r="C255" s="11"/>
      <c r="E255" s="18"/>
      <c r="F255" s="18"/>
      <c r="I255" t="s">
        <v>134</v>
      </c>
      <c r="J255">
        <f>MAX(J$194:J$195)</f>
        <v>1057</v>
      </c>
      <c r="K255">
        <f t="shared" ref="K255:S255" si="174">MAX(K$194:K$195)</f>
        <v>4.277679</v>
      </c>
      <c r="L255">
        <f t="shared" si="174"/>
        <v>427.7679</v>
      </c>
      <c r="M255" s="10">
        <f t="shared" si="174"/>
        <v>8.2764891490676398</v>
      </c>
      <c r="N255">
        <f t="shared" si="174"/>
        <v>33.736924470801412</v>
      </c>
      <c r="O255">
        <f t="shared" si="174"/>
        <v>186</v>
      </c>
      <c r="P255">
        <f t="shared" si="174"/>
        <v>0.75274200000000002</v>
      </c>
      <c r="Q255">
        <f t="shared" si="174"/>
        <v>75.274200000000008</v>
      </c>
      <c r="R255" s="10">
        <f t="shared" si="174"/>
        <v>6.0546875</v>
      </c>
      <c r="S255">
        <f t="shared" si="174"/>
        <v>40.810795730808159</v>
      </c>
      <c r="U255" s="1"/>
      <c r="V255" s="188" t="str">
        <f t="shared" si="168"/>
        <v>SD</v>
      </c>
      <c r="W255" s="9">
        <f>M253</f>
        <v>0.74187377897362727</v>
      </c>
      <c r="X255" s="30">
        <f t="shared" si="171"/>
        <v>1.8332100280718795</v>
      </c>
      <c r="Y255" s="9">
        <f>N253</f>
        <v>2.6658429221717315</v>
      </c>
      <c r="Z255" s="9">
        <f>R253</f>
        <v>0.90909127301738235</v>
      </c>
      <c r="AA255" s="30">
        <f t="shared" si="172"/>
        <v>2.2464134538273526</v>
      </c>
      <c r="AB255" s="161">
        <f>S253</f>
        <v>3.3501253176285899</v>
      </c>
      <c r="AK255" t="s">
        <v>134</v>
      </c>
      <c r="AL255">
        <f t="shared" ref="AL255:AR255" si="175">MAX(AL$196:AL$209)</f>
        <v>2173.39</v>
      </c>
      <c r="AM255" s="10">
        <f t="shared" si="175"/>
        <v>5.9162075689593161</v>
      </c>
      <c r="AN255" s="10">
        <f t="shared" si="175"/>
        <v>4.0821832225819277</v>
      </c>
      <c r="AO255">
        <f t="shared" si="175"/>
        <v>2204.25</v>
      </c>
      <c r="AP255">
        <f t="shared" si="175"/>
        <v>5.5044304059451372</v>
      </c>
      <c r="AQ255">
        <f t="shared" si="175"/>
        <v>1296.2</v>
      </c>
      <c r="AR255">
        <f t="shared" si="175"/>
        <v>9.3152959394997605</v>
      </c>
    </row>
    <row r="256" spans="1:74" ht="15" thickBot="1" x14ac:dyDescent="0.35">
      <c r="B256" s="11"/>
      <c r="C256" s="11"/>
      <c r="E256" s="18"/>
      <c r="F256" s="18"/>
      <c r="I256" t="s">
        <v>135</v>
      </c>
      <c r="J256">
        <f>MIN(J$194:J$195)</f>
        <v>225</v>
      </c>
      <c r="K256">
        <f t="shared" ref="K256:S256" si="176">MIN(K$194:K$195)</f>
        <v>0.91057500000000002</v>
      </c>
      <c r="L256">
        <f t="shared" si="176"/>
        <v>91.057500000000005</v>
      </c>
      <c r="M256" s="10">
        <f t="shared" si="176"/>
        <v>7.32421875</v>
      </c>
      <c r="N256">
        <f t="shared" si="176"/>
        <v>29.855245421811905</v>
      </c>
      <c r="O256">
        <f t="shared" si="176"/>
        <v>186</v>
      </c>
      <c r="P256">
        <f t="shared" si="176"/>
        <v>0.75274200000000002</v>
      </c>
      <c r="Q256">
        <f t="shared" si="176"/>
        <v>75.274200000000008</v>
      </c>
      <c r="R256" s="10">
        <f t="shared" si="176"/>
        <v>6.0546875</v>
      </c>
      <c r="S256">
        <f t="shared" si="176"/>
        <v>40.810795730808159</v>
      </c>
      <c r="U256" s="1"/>
      <c r="V256" s="190" t="s">
        <v>243</v>
      </c>
      <c r="W256" s="176"/>
      <c r="X256" s="165"/>
      <c r="Y256" s="176"/>
      <c r="Z256" s="176"/>
      <c r="AA256" s="165"/>
      <c r="AB256" s="177"/>
      <c r="AK256" t="s">
        <v>135</v>
      </c>
      <c r="AL256">
        <f t="shared" ref="AL256:AR256" si="177">MIN(AL$196:AL$209)</f>
        <v>1563.89</v>
      </c>
      <c r="AM256" s="10">
        <f t="shared" si="177"/>
        <v>2.371656117349934</v>
      </c>
      <c r="AN256" s="10">
        <f t="shared" si="177"/>
        <v>2.5497887620924047</v>
      </c>
      <c r="AO256">
        <f t="shared" si="177"/>
        <v>2162.7600000000002</v>
      </c>
      <c r="AP256">
        <f t="shared" si="177"/>
        <v>1.8667303834984685</v>
      </c>
      <c r="AQ256">
        <f t="shared" si="177"/>
        <v>1277.98</v>
      </c>
      <c r="AR256">
        <f t="shared" si="177"/>
        <v>3.1757908742264829</v>
      </c>
    </row>
    <row r="257" spans="1:44" ht="15" thickBot="1" x14ac:dyDescent="0.35">
      <c r="B257" s="11"/>
      <c r="C257" s="11"/>
      <c r="E257" s="18"/>
      <c r="F257" s="18"/>
      <c r="I257" t="s">
        <v>137</v>
      </c>
      <c r="J257">
        <f t="shared" ref="J257:S257" si="178">wtavg($E194:$E195,J$194:J$195)</f>
        <v>895.67415612003572</v>
      </c>
      <c r="K257">
        <f t="shared" si="178"/>
        <v>3.6247933098177851</v>
      </c>
      <c r="L257">
        <f t="shared" si="178"/>
        <v>362.4793309817785</v>
      </c>
      <c r="M257" s="10">
        <f t="shared" si="178"/>
        <v>8.0918427239095916</v>
      </c>
      <c r="N257">
        <f t="shared" si="178"/>
        <v>30.607907859611675</v>
      </c>
      <c r="O257">
        <f t="shared" si="178"/>
        <v>186</v>
      </c>
      <c r="P257">
        <f t="shared" si="178"/>
        <v>0.75274200000000002</v>
      </c>
      <c r="Q257">
        <f t="shared" si="178"/>
        <v>75.274200000000008</v>
      </c>
      <c r="R257" s="10">
        <f>wtavg($E194:$E195,R$194:R$195)</f>
        <v>6.0546875</v>
      </c>
      <c r="S257">
        <f t="shared" si="178"/>
        <v>40.810795730808159</v>
      </c>
      <c r="U257" s="1"/>
      <c r="V257" s="188" t="str">
        <f>I260</f>
        <v>Max</v>
      </c>
      <c r="W257" s="9">
        <f>M255</f>
        <v>8.2764891490676398</v>
      </c>
      <c r="X257" s="30">
        <f>W257*2.47105381</f>
        <v>20.451650045227247</v>
      </c>
      <c r="Y257" s="9">
        <f>N255</f>
        <v>33.736924470801412</v>
      </c>
      <c r="Z257" s="9">
        <f>R255</f>
        <v>6.0546875</v>
      </c>
      <c r="AA257" s="30">
        <f t="shared" si="172"/>
        <v>14.961458615234374</v>
      </c>
      <c r="AB257" s="161">
        <f>S255</f>
        <v>40.810795730808159</v>
      </c>
      <c r="AK257" s="365" t="s">
        <v>137</v>
      </c>
      <c r="AL257" s="366">
        <f t="shared" ref="AL257:AR257" si="179">wtavg($E196:$E209,AL$196:AL$209)</f>
        <v>2050.2073105042214</v>
      </c>
      <c r="AM257" s="367">
        <f t="shared" si="179"/>
        <v>3.6792717830148716</v>
      </c>
      <c r="AN257" s="367">
        <f t="shared" si="179"/>
        <v>2.7971077289721067</v>
      </c>
      <c r="AO257" s="366">
        <f t="shared" si="179"/>
        <v>2196.7068025977719</v>
      </c>
      <c r="AP257" s="366">
        <f t="shared" si="179"/>
        <v>3.4317187199928081</v>
      </c>
      <c r="AQ257" s="366">
        <f t="shared" si="179"/>
        <v>1292.7190328096817</v>
      </c>
      <c r="AR257" s="368">
        <f t="shared" si="179"/>
        <v>5.8321789730539688</v>
      </c>
    </row>
    <row r="258" spans="1:44" x14ac:dyDescent="0.3">
      <c r="B258" s="11"/>
      <c r="C258" s="11"/>
      <c r="E258" s="18"/>
      <c r="F258" s="18"/>
      <c r="I258" t="s">
        <v>136</v>
      </c>
      <c r="J258">
        <f>wtstd($E$194:$E$195,J$194:J$195)</f>
        <v>657.86647339577246</v>
      </c>
      <c r="K258">
        <f>wtstd($E$194:$E$195,K$194:K$195)</f>
        <v>2.6623856178326912</v>
      </c>
      <c r="L258">
        <f>wtstd($E$194:$E$195,L$194:L$195)</f>
        <v>266.23856178326912</v>
      </c>
      <c r="M258" s="10">
        <f>wtstd($E$194:$E$195,M$194:M$195)</f>
        <v>0.75296486677140995</v>
      </c>
      <c r="N258">
        <f>wtstd($E$194:$E$195,N$194:N$195)</f>
        <v>3.0692626283809896</v>
      </c>
      <c r="O258">
        <v>0</v>
      </c>
      <c r="P258">
        <v>0</v>
      </c>
      <c r="Q258">
        <v>0</v>
      </c>
      <c r="R258" s="10">
        <v>0</v>
      </c>
      <c r="S258">
        <v>0</v>
      </c>
      <c r="U258" s="1"/>
      <c r="V258" s="188" t="str">
        <f>I261</f>
        <v>Min</v>
      </c>
      <c r="W258" s="9">
        <f>M256</f>
        <v>7.32421875</v>
      </c>
      <c r="X258" s="30">
        <f t="shared" si="171"/>
        <v>18.098538647460938</v>
      </c>
      <c r="Y258" s="9">
        <f>N256</f>
        <v>29.855245421811905</v>
      </c>
      <c r="Z258" s="9">
        <f>R256</f>
        <v>6.0546875</v>
      </c>
      <c r="AA258" s="30">
        <f t="shared" si="172"/>
        <v>14.961458615234374</v>
      </c>
      <c r="AB258" s="161">
        <f>S256</f>
        <v>40.810795730808159</v>
      </c>
      <c r="AK258" t="s">
        <v>136</v>
      </c>
      <c r="AL258">
        <f t="shared" ref="AL258:AR258" si="180">wtstd($E$196:$E$209,AL$196:AL$209)</f>
        <v>69.678720809519973</v>
      </c>
      <c r="AM258" s="10">
        <f t="shared" si="180"/>
        <v>0.36004982913798717</v>
      </c>
      <c r="AN258" s="10">
        <f t="shared" si="180"/>
        <v>0.39012573708365633</v>
      </c>
      <c r="AO258">
        <f t="shared" si="180"/>
        <v>4.7576300139061942</v>
      </c>
      <c r="AP258">
        <f t="shared" si="180"/>
        <v>0.34050648433485559</v>
      </c>
      <c r="AQ258">
        <f t="shared" si="180"/>
        <v>1.6600057691065573</v>
      </c>
      <c r="AR258">
        <f t="shared" si="180"/>
        <v>0.58029814975093907</v>
      </c>
    </row>
    <row r="259" spans="1:44" x14ac:dyDescent="0.3">
      <c r="B259" s="11"/>
      <c r="C259" s="11"/>
      <c r="E259" s="18"/>
      <c r="F259" s="18"/>
      <c r="I259" s="10" t="s">
        <v>138</v>
      </c>
      <c r="M259" s="10"/>
      <c r="R259" s="10"/>
      <c r="U259" s="1"/>
      <c r="V259" s="189" t="str">
        <f>I262</f>
        <v>W. Average</v>
      </c>
      <c r="W259" s="9">
        <f>M257</f>
        <v>8.0918427239095916</v>
      </c>
      <c r="X259" s="184">
        <f t="shared" si="171"/>
        <v>19.995378792837574</v>
      </c>
      <c r="Y259" s="9">
        <f>N257</f>
        <v>30.607907859611675</v>
      </c>
      <c r="Z259" s="9">
        <f>R257</f>
        <v>6.0546875</v>
      </c>
      <c r="AA259" s="184">
        <f t="shared" si="172"/>
        <v>14.961458615234374</v>
      </c>
      <c r="AB259" s="161">
        <f>S257</f>
        <v>40.810795730808159</v>
      </c>
      <c r="AM259" s="10"/>
      <c r="AN259" s="10"/>
    </row>
    <row r="260" spans="1:44" ht="15" thickBot="1" x14ac:dyDescent="0.35">
      <c r="B260" s="11"/>
      <c r="C260" s="11"/>
      <c r="E260" s="18"/>
      <c r="F260" s="18"/>
      <c r="I260" t="s">
        <v>134</v>
      </c>
      <c r="J260">
        <f t="shared" ref="J260:S260" si="181">MAX(J$196:J$209)</f>
        <v>4245</v>
      </c>
      <c r="K260">
        <f t="shared" si="181"/>
        <v>17.179515000000002</v>
      </c>
      <c r="L260">
        <f t="shared" si="181"/>
        <v>1717.9515000000001</v>
      </c>
      <c r="M260" s="10">
        <f t="shared" si="181"/>
        <v>11.904761904761905</v>
      </c>
      <c r="N260">
        <f t="shared" si="181"/>
        <v>60.108560782581293</v>
      </c>
      <c r="O260">
        <f t="shared" si="181"/>
        <v>3005</v>
      </c>
      <c r="P260">
        <f t="shared" si="181"/>
        <v>12.161235000000001</v>
      </c>
      <c r="Q260">
        <f t="shared" si="181"/>
        <v>1216.1234999999999</v>
      </c>
      <c r="R260" s="10">
        <f t="shared" si="181"/>
        <v>7.666666666666667</v>
      </c>
      <c r="S260">
        <f t="shared" si="181"/>
        <v>57.91326908821349</v>
      </c>
      <c r="U260" s="1"/>
      <c r="V260" s="188" t="str">
        <f>I263</f>
        <v>SD</v>
      </c>
      <c r="W260" s="9">
        <f>M258</f>
        <v>0.75296486677140995</v>
      </c>
      <c r="X260" s="30">
        <f t="shared" si="171"/>
        <v>1.8606167028316349</v>
      </c>
      <c r="Y260" s="9">
        <f>N258</f>
        <v>3.0692626283809896</v>
      </c>
      <c r="Z260" s="9">
        <f>R258</f>
        <v>0</v>
      </c>
      <c r="AA260" s="30">
        <f t="shared" si="172"/>
        <v>0</v>
      </c>
      <c r="AB260" s="161">
        <f>S258</f>
        <v>0</v>
      </c>
      <c r="AM260" s="10"/>
      <c r="AN260" s="10"/>
    </row>
    <row r="261" spans="1:44" ht="15" thickBot="1" x14ac:dyDescent="0.35">
      <c r="B261" s="11"/>
      <c r="C261" s="11"/>
      <c r="E261" s="18"/>
      <c r="F261" s="18"/>
      <c r="I261" t="s">
        <v>135</v>
      </c>
      <c r="J261">
        <f t="shared" ref="J261:S261" si="182">MIN(J$196:J$209)</f>
        <v>134</v>
      </c>
      <c r="K261">
        <f t="shared" si="182"/>
        <v>0.54229800000000006</v>
      </c>
      <c r="L261">
        <f t="shared" si="182"/>
        <v>54.229799999999997</v>
      </c>
      <c r="M261" s="10">
        <f t="shared" si="182"/>
        <v>4.1108389813249868</v>
      </c>
      <c r="N261">
        <f t="shared" si="182"/>
        <v>20.756115641215711</v>
      </c>
      <c r="O261">
        <f t="shared" si="182"/>
        <v>76.8</v>
      </c>
      <c r="P261">
        <f t="shared" si="182"/>
        <v>0.31080960000000002</v>
      </c>
      <c r="Q261">
        <f t="shared" si="182"/>
        <v>31.080959999999997</v>
      </c>
      <c r="R261" s="10">
        <f t="shared" si="182"/>
        <v>4.2666666666666666</v>
      </c>
      <c r="S261">
        <f t="shared" si="182"/>
        <v>32.229993231701421</v>
      </c>
      <c r="U261" s="1"/>
      <c r="V261" s="190" t="s">
        <v>138</v>
      </c>
      <c r="W261" s="176"/>
      <c r="X261" s="165"/>
      <c r="Y261" s="176"/>
      <c r="Z261" s="176"/>
      <c r="AA261" s="165"/>
      <c r="AB261" s="177"/>
      <c r="AM261" s="10"/>
      <c r="AN261" s="10"/>
    </row>
    <row r="262" spans="1:44" x14ac:dyDescent="0.3">
      <c r="B262" s="11"/>
      <c r="C262" s="11"/>
      <c r="E262" s="18"/>
      <c r="F262" s="18"/>
      <c r="I262" t="s">
        <v>137</v>
      </c>
      <c r="J262">
        <f t="shared" ref="J262:S262" si="183">wtavg($E196:$E209,J$196:J$209)</f>
        <v>2891.1309272229309</v>
      </c>
      <c r="K262">
        <f t="shared" si="183"/>
        <v>11.700406862471201</v>
      </c>
      <c r="L262">
        <f t="shared" si="183"/>
        <v>1170.04068624712</v>
      </c>
      <c r="M262" s="10">
        <f t="shared" si="183"/>
        <v>7.5378576095002652</v>
      </c>
      <c r="N262">
        <f t="shared" si="183"/>
        <v>33.778347972811758</v>
      </c>
      <c r="O262">
        <f t="shared" si="183"/>
        <v>2286.3276881720431</v>
      </c>
      <c r="P262">
        <f t="shared" si="183"/>
        <v>9.2527681540322586</v>
      </c>
      <c r="Q262">
        <f t="shared" si="183"/>
        <v>925.27681540322578</v>
      </c>
      <c r="R262" s="10">
        <f t="shared" si="183"/>
        <v>5.7852150537634408</v>
      </c>
      <c r="S262">
        <f t="shared" si="183"/>
        <v>43.310969558504176</v>
      </c>
      <c r="U262" s="1"/>
      <c r="V262" s="188" t="str">
        <f>I255</f>
        <v>Max</v>
      </c>
      <c r="W262" s="9">
        <f>M260</f>
        <v>11.904761904761905</v>
      </c>
      <c r="X262" s="30">
        <f t="shared" si="171"/>
        <v>29.41730726190476</v>
      </c>
      <c r="Y262" s="9">
        <f>N260</f>
        <v>60.108560782581293</v>
      </c>
      <c r="Z262" s="9">
        <f>R260</f>
        <v>7.666666666666667</v>
      </c>
      <c r="AA262" s="30">
        <f t="shared" si="172"/>
        <v>18.944745876666666</v>
      </c>
      <c r="AB262" s="161">
        <f>S260</f>
        <v>57.91326908821349</v>
      </c>
      <c r="AM262" s="10"/>
      <c r="AN262" s="10"/>
    </row>
    <row r="263" spans="1:44" x14ac:dyDescent="0.3">
      <c r="B263" s="11"/>
      <c r="C263" s="11"/>
      <c r="E263" s="18"/>
      <c r="F263" s="18"/>
      <c r="I263" t="s">
        <v>136</v>
      </c>
      <c r="J263">
        <f t="shared" ref="J263:S263" si="184">wtstd($E$196:$E$209,J$196:J$209)</f>
        <v>804.32313027766054</v>
      </c>
      <c r="K263">
        <f t="shared" si="184"/>
        <v>3.2550957082336929</v>
      </c>
      <c r="L263">
        <f t="shared" si="184"/>
        <v>325.50957082336924</v>
      </c>
      <c r="M263" s="10">
        <f t="shared" si="184"/>
        <v>0.74265162635115645</v>
      </c>
      <c r="N263">
        <f t="shared" si="184"/>
        <v>3.3266293884788896</v>
      </c>
      <c r="O263">
        <f t="shared" si="184"/>
        <v>988.75622622621017</v>
      </c>
      <c r="P263">
        <f t="shared" si="184"/>
        <v>4.0014964475374732</v>
      </c>
      <c r="Q263">
        <f t="shared" si="184"/>
        <v>400.14964475374722</v>
      </c>
      <c r="R263" s="10">
        <f t="shared" si="184"/>
        <v>0.59531415583086889</v>
      </c>
      <c r="S263">
        <f t="shared" si="184"/>
        <v>3.9422909210076127</v>
      </c>
      <c r="U263" s="1"/>
      <c r="V263" s="188" t="str">
        <f>I256</f>
        <v>Min</v>
      </c>
      <c r="W263" s="9">
        <f>M261</f>
        <v>4.1108389813249868</v>
      </c>
      <c r="X263" s="30">
        <f t="shared" si="171"/>
        <v>10.158104327099627</v>
      </c>
      <c r="Y263" s="9">
        <f>N261</f>
        <v>20.756115641215711</v>
      </c>
      <c r="Z263" s="9">
        <f>R261</f>
        <v>4.2666666666666666</v>
      </c>
      <c r="AA263" s="30">
        <f t="shared" si="172"/>
        <v>10.543162922666665</v>
      </c>
      <c r="AB263" s="161">
        <f>S261</f>
        <v>32.229993231701421</v>
      </c>
      <c r="AC263" s="15"/>
      <c r="AD263" s="15"/>
      <c r="AM263" s="10"/>
      <c r="AN263" s="10"/>
    </row>
    <row r="264" spans="1:44" x14ac:dyDescent="0.3">
      <c r="B264" s="11"/>
      <c r="C264" s="11"/>
      <c r="E264" s="18"/>
      <c r="F264" s="18"/>
      <c r="I264" t="s">
        <v>248</v>
      </c>
      <c r="U264" s="1"/>
      <c r="V264" s="189" t="str">
        <f>I257</f>
        <v>W. Average</v>
      </c>
      <c r="W264" s="9">
        <f>M262</f>
        <v>7.5378576095002652</v>
      </c>
      <c r="X264" s="184">
        <f t="shared" si="171"/>
        <v>18.626451765193121</v>
      </c>
      <c r="Y264" s="9">
        <f>N262</f>
        <v>33.778347972811758</v>
      </c>
      <c r="Z264" s="9">
        <f>R262</f>
        <v>5.7852150537634408</v>
      </c>
      <c r="AA264" s="184">
        <f t="shared" si="172"/>
        <v>14.295577700271505</v>
      </c>
      <c r="AB264" s="161">
        <f>S262</f>
        <v>43.310969558504176</v>
      </c>
      <c r="AK264" t="s">
        <v>229</v>
      </c>
      <c r="AM264" s="10"/>
      <c r="AN264" s="10"/>
    </row>
    <row r="265" spans="1:44" ht="15" thickBot="1" x14ac:dyDescent="0.35">
      <c r="B265" s="11"/>
      <c r="C265" s="11"/>
      <c r="E265" s="18"/>
      <c r="F265" s="18"/>
      <c r="I265" t="s">
        <v>134</v>
      </c>
      <c r="J265">
        <f t="shared" ref="J265:S265" si="185">MAX(J$210:J$242)</f>
        <v>5587</v>
      </c>
      <c r="K265">
        <f t="shared" si="185"/>
        <v>22.610589000000001</v>
      </c>
      <c r="L265">
        <f t="shared" si="185"/>
        <v>2261.0589</v>
      </c>
      <c r="M265">
        <f t="shared" si="185"/>
        <v>13.25</v>
      </c>
      <c r="N265">
        <f t="shared" si="185"/>
        <v>65.743738355948295</v>
      </c>
      <c r="O265">
        <f t="shared" si="185"/>
        <v>277</v>
      </c>
      <c r="P265">
        <f t="shared" si="185"/>
        <v>1.121019</v>
      </c>
      <c r="Q265">
        <f t="shared" si="185"/>
        <v>112.1019</v>
      </c>
      <c r="R265">
        <f t="shared" si="185"/>
        <v>5.54</v>
      </c>
      <c r="S265">
        <f t="shared" si="185"/>
        <v>70.312044855066787</v>
      </c>
      <c r="U265" s="1"/>
      <c r="V265" s="188" t="str">
        <f>I258</f>
        <v>SD</v>
      </c>
      <c r="W265" s="9">
        <f>M263</f>
        <v>0.74265162635115645</v>
      </c>
      <c r="X265" s="30">
        <f t="shared" si="171"/>
        <v>1.8351321307977215</v>
      </c>
      <c r="Y265" s="9">
        <f>N263</f>
        <v>3.3266293884788896</v>
      </c>
      <c r="Z265" s="9">
        <f>R263</f>
        <v>0.59531415583086889</v>
      </c>
      <c r="AA265" s="30">
        <f t="shared" si="172"/>
        <v>1.4710533129128023</v>
      </c>
      <c r="AB265" s="161">
        <f>S263</f>
        <v>3.9422909210076127</v>
      </c>
      <c r="AK265" t="s">
        <v>134</v>
      </c>
      <c r="AL265">
        <f t="shared" ref="AL265:AR265" si="186">MAX(AL$178:AL$242)</f>
        <v>3089.14</v>
      </c>
      <c r="AM265" s="10">
        <f t="shared" si="186"/>
        <v>5.9162075689593161</v>
      </c>
      <c r="AN265" s="10">
        <f t="shared" si="186"/>
        <v>4.0821832225819277</v>
      </c>
      <c r="AO265">
        <f t="shared" si="186"/>
        <v>3150.65</v>
      </c>
      <c r="AP265">
        <f t="shared" si="186"/>
        <v>5.5044304059451372</v>
      </c>
      <c r="AQ265">
        <f t="shared" si="186"/>
        <v>1682.24</v>
      </c>
      <c r="AR265">
        <f t="shared" si="186"/>
        <v>9.3152959394997605</v>
      </c>
    </row>
    <row r="266" spans="1:44" ht="15" thickBot="1" x14ac:dyDescent="0.35">
      <c r="B266" s="11"/>
      <c r="C266" s="11"/>
      <c r="E266" s="18"/>
      <c r="F266" s="18"/>
      <c r="I266" t="s">
        <v>135</v>
      </c>
      <c r="J266">
        <f t="shared" ref="J266:S266" si="187">MIN(J$210:J$242)</f>
        <v>123</v>
      </c>
      <c r="K266">
        <f t="shared" si="187"/>
        <v>0.49778100000000003</v>
      </c>
      <c r="L266">
        <f t="shared" si="187"/>
        <v>49.778100000000002</v>
      </c>
      <c r="M266">
        <f t="shared" si="187"/>
        <v>3.7584813543542737</v>
      </c>
      <c r="N266">
        <f t="shared" si="187"/>
        <v>18.648801115198303</v>
      </c>
      <c r="O266">
        <f t="shared" si="187"/>
        <v>246</v>
      </c>
      <c r="P266">
        <f t="shared" si="187"/>
        <v>0.99556200000000006</v>
      </c>
      <c r="Q266">
        <f t="shared" si="187"/>
        <v>99.556200000000004</v>
      </c>
      <c r="R266">
        <f t="shared" si="187"/>
        <v>3.5142857142857142</v>
      </c>
      <c r="S266">
        <f t="shared" si="187"/>
        <v>44.602277035447216</v>
      </c>
      <c r="U266" s="1"/>
      <c r="V266" s="190" t="s">
        <v>248</v>
      </c>
      <c r="W266" s="176"/>
      <c r="X266" s="165"/>
      <c r="Y266" s="176"/>
      <c r="Z266" s="176"/>
      <c r="AA266" s="165"/>
      <c r="AB266" s="177"/>
      <c r="AK266" t="s">
        <v>135</v>
      </c>
      <c r="AL266">
        <f t="shared" ref="AL266:AR266" si="188">MIN(AL$178:AL$242)</f>
        <v>1563.89</v>
      </c>
      <c r="AM266" s="10">
        <f t="shared" si="188"/>
        <v>2.3709572081550205</v>
      </c>
      <c r="AN266" s="10">
        <f t="shared" si="188"/>
        <v>1.959991292074817</v>
      </c>
      <c r="AO266">
        <f t="shared" si="188"/>
        <v>2162.7600000000002</v>
      </c>
      <c r="AP266">
        <f t="shared" si="188"/>
        <v>1.8667303834984685</v>
      </c>
      <c r="AQ266">
        <f t="shared" si="188"/>
        <v>1277.98</v>
      </c>
      <c r="AR266">
        <f t="shared" si="188"/>
        <v>3.1757908742264829</v>
      </c>
    </row>
    <row r="267" spans="1:44" ht="15" thickBot="1" x14ac:dyDescent="0.35">
      <c r="B267" s="11"/>
      <c r="C267" s="11"/>
      <c r="E267" s="18"/>
      <c r="F267" s="18"/>
      <c r="I267" t="s">
        <v>137</v>
      </c>
      <c r="J267">
        <f t="shared" ref="J267:S267" si="189">wtavg($E210:$E242,J$210:J$242)</f>
        <v>2839.7288081914849</v>
      </c>
      <c r="K267">
        <f t="shared" si="189"/>
        <v>11.492382486750939</v>
      </c>
      <c r="L267">
        <f t="shared" si="189"/>
        <v>1149.2382486750937</v>
      </c>
      <c r="M267">
        <f t="shared" si="189"/>
        <v>8.5241748070531482</v>
      </c>
      <c r="N267">
        <f t="shared" si="189"/>
        <v>31.53916540702274</v>
      </c>
      <c r="O267">
        <f t="shared" si="189"/>
        <v>258.91666666666669</v>
      </c>
      <c r="P267">
        <f t="shared" si="189"/>
        <v>1.0478357500000002</v>
      </c>
      <c r="Q267">
        <f t="shared" si="189"/>
        <v>104.783575</v>
      </c>
      <c r="R267">
        <f t="shared" si="189"/>
        <v>4.3583333333333334</v>
      </c>
      <c r="S267">
        <f t="shared" si="189"/>
        <v>59.599641596891964</v>
      </c>
      <c r="U267" s="1"/>
      <c r="V267" s="188" t="str">
        <f t="shared" si="168"/>
        <v>Max</v>
      </c>
      <c r="W267" s="9">
        <f>M265</f>
        <v>13.25</v>
      </c>
      <c r="X267" s="30">
        <f t="shared" si="171"/>
        <v>32.741462982499996</v>
      </c>
      <c r="Y267" s="9">
        <f>N265</f>
        <v>65.743738355948295</v>
      </c>
      <c r="Z267" s="9">
        <f>R265</f>
        <v>5.54</v>
      </c>
      <c r="AA267" s="30">
        <f t="shared" si="172"/>
        <v>13.6896381074</v>
      </c>
      <c r="AB267" s="161">
        <f>S265</f>
        <v>70.312044855066787</v>
      </c>
      <c r="AK267" s="365" t="s">
        <v>137</v>
      </c>
      <c r="AL267" s="366">
        <f t="shared" ref="AL267:AR267" si="190">wtavg($E178:$E242,AL$178:AL$242)</f>
        <v>2322.6544424734734</v>
      </c>
      <c r="AM267" s="367">
        <f t="shared" si="190"/>
        <v>3.4483942170600836</v>
      </c>
      <c r="AN267" s="367">
        <f t="shared" si="190"/>
        <v>3.0766163504446675</v>
      </c>
      <c r="AO267" s="366">
        <f t="shared" si="190"/>
        <v>2460.9701849390331</v>
      </c>
      <c r="AP267" s="366">
        <f t="shared" si="190"/>
        <v>3.2438604334019199</v>
      </c>
      <c r="AQ267" s="366">
        <f t="shared" si="190"/>
        <v>1392.7968227897782</v>
      </c>
      <c r="AR267" s="368">
        <f t="shared" si="190"/>
        <v>5.7038912256387739</v>
      </c>
    </row>
    <row r="268" spans="1:44" x14ac:dyDescent="0.3">
      <c r="B268" s="11"/>
      <c r="C268" s="11"/>
      <c r="E268" s="18"/>
      <c r="F268" s="18"/>
      <c r="I268" t="s">
        <v>136</v>
      </c>
      <c r="J268">
        <f t="shared" ref="J268:S268" si="191">wtstd($E$210:$E$242,J$210:J$242)</f>
        <v>651.9451812428747</v>
      </c>
      <c r="K268">
        <f t="shared" si="191"/>
        <v>2.638422148489914</v>
      </c>
      <c r="L268">
        <f t="shared" si="191"/>
        <v>263.84221484899143</v>
      </c>
      <c r="M268">
        <f t="shared" si="191"/>
        <v>0.85644489361467602</v>
      </c>
      <c r="N268">
        <f t="shared" si="191"/>
        <v>3.0151892520533834</v>
      </c>
      <c r="O268">
        <f t="shared" si="191"/>
        <v>30.56641221268135</v>
      </c>
      <c r="P268">
        <f t="shared" si="191"/>
        <v>0.12370227022472136</v>
      </c>
      <c r="Q268">
        <f t="shared" si="191"/>
        <v>12.370227022472138</v>
      </c>
      <c r="R268">
        <f t="shared" si="191"/>
        <v>1.9973812220083942</v>
      </c>
      <c r="S268">
        <f t="shared" si="191"/>
        <v>25.350172937639407</v>
      </c>
      <c r="T268" t="s">
        <v>842</v>
      </c>
      <c r="U268" s="1"/>
      <c r="V268" s="188" t="str">
        <f t="shared" si="168"/>
        <v>Min</v>
      </c>
      <c r="W268" s="9">
        <f>M266</f>
        <v>3.7584813543542737</v>
      </c>
      <c r="X268" s="30">
        <f t="shared" si="171"/>
        <v>9.2874096704910869</v>
      </c>
      <c r="Y268" s="9">
        <f>N266</f>
        <v>18.648801115198303</v>
      </c>
      <c r="Z268" s="9">
        <f>R266</f>
        <v>3.5142857142857142</v>
      </c>
      <c r="AA268" s="30">
        <f t="shared" si="172"/>
        <v>8.6839891037142856</v>
      </c>
      <c r="AB268" s="161">
        <f>S266</f>
        <v>44.602277035447216</v>
      </c>
      <c r="AK268" t="s">
        <v>136</v>
      </c>
      <c r="AL268">
        <f t="shared" ref="AL268:AR268" si="192">wtstd($E$178:$E$242,AL$178:AL$242)</f>
        <v>108.85675849199463</v>
      </c>
      <c r="AM268" s="10">
        <f t="shared" si="192"/>
        <v>0.24269810058196908</v>
      </c>
      <c r="AN268" s="10">
        <f t="shared" si="192"/>
        <v>0.31183822883306173</v>
      </c>
      <c r="AO268">
        <f t="shared" si="192"/>
        <v>100.3197726307245</v>
      </c>
      <c r="AP268">
        <f t="shared" si="192"/>
        <v>0.21762031174074126</v>
      </c>
      <c r="AQ268">
        <f t="shared" si="192"/>
        <v>38.953260689238689</v>
      </c>
      <c r="AR268">
        <f t="shared" si="192"/>
        <v>0.36476041160226863</v>
      </c>
    </row>
    <row r="269" spans="1:44" x14ac:dyDescent="0.3">
      <c r="B269" s="11"/>
      <c r="C269" s="11"/>
      <c r="F269" s="18"/>
      <c r="I269" t="s">
        <v>229</v>
      </c>
      <c r="T269" t="s">
        <v>13</v>
      </c>
      <c r="U269" s="1" t="s">
        <v>345</v>
      </c>
      <c r="V269" s="189" t="str">
        <f t="shared" si="168"/>
        <v>W. Average</v>
      </c>
      <c r="W269" s="170">
        <f>M267</f>
        <v>8.5241748070531482</v>
      </c>
      <c r="X269" s="184">
        <f t="shared" si="171"/>
        <v>21.063694634074697</v>
      </c>
      <c r="Y269" s="170">
        <f>N267</f>
        <v>31.53916540702274</v>
      </c>
      <c r="Z269" s="170">
        <f>R267</f>
        <v>4.3583333333333334</v>
      </c>
      <c r="AA269" s="184">
        <f t="shared" si="172"/>
        <v>10.769676188583333</v>
      </c>
      <c r="AB269" s="172">
        <f>S267</f>
        <v>59.599641596891964</v>
      </c>
      <c r="AM269" s="10"/>
      <c r="AN269" s="10"/>
    </row>
    <row r="270" spans="1:44" x14ac:dyDescent="0.3">
      <c r="B270" s="11"/>
      <c r="C270" s="11"/>
      <c r="F270" s="18"/>
      <c r="I270" t="s">
        <v>134</v>
      </c>
      <c r="J270">
        <f t="shared" ref="J270:S270" si="193">MAX(J$178:J$209)</f>
        <v>4245</v>
      </c>
      <c r="K270" s="260">
        <f t="shared" si="193"/>
        <v>17.179515000000002</v>
      </c>
      <c r="L270" s="260">
        <f t="shared" si="193"/>
        <v>1717.9515000000001</v>
      </c>
      <c r="M270" s="260">
        <f t="shared" si="193"/>
        <v>11.904761904761905</v>
      </c>
      <c r="N270" s="260">
        <f t="shared" si="193"/>
        <v>60.108560782581293</v>
      </c>
      <c r="O270" s="260">
        <f t="shared" si="193"/>
        <v>3005</v>
      </c>
      <c r="P270" s="260">
        <f t="shared" si="193"/>
        <v>12.161235000000001</v>
      </c>
      <c r="Q270" s="260">
        <f t="shared" si="193"/>
        <v>1216.1234999999999</v>
      </c>
      <c r="R270" s="260">
        <f t="shared" si="193"/>
        <v>9.956619802115295</v>
      </c>
      <c r="S270" s="260">
        <f t="shared" si="193"/>
        <v>57.91326908821349</v>
      </c>
      <c r="T270" s="1">
        <f>M270-M271</f>
        <v>2.4218163852022183</v>
      </c>
      <c r="U270" s="1">
        <f>R270-R271</f>
        <v>2.4232864687819617</v>
      </c>
      <c r="V270" s="188" t="str">
        <f t="shared" si="168"/>
        <v>SD</v>
      </c>
      <c r="W270" s="9">
        <f>M268</f>
        <v>0.85644489361467602</v>
      </c>
      <c r="X270" s="30">
        <f t="shared" si="171"/>
        <v>2.1163214174215899</v>
      </c>
      <c r="Y270" s="9">
        <f>N268</f>
        <v>3.0151892520533834</v>
      </c>
      <c r="Z270" s="9">
        <f>R268</f>
        <v>1.9973812220083942</v>
      </c>
      <c r="AA270" s="30">
        <f t="shared" si="172"/>
        <v>4.9356364786662983</v>
      </c>
      <c r="AB270" s="161">
        <f>S268</f>
        <v>25.350172937639407</v>
      </c>
      <c r="AM270" s="10"/>
      <c r="AN270" s="10"/>
    </row>
    <row r="271" spans="1:44" x14ac:dyDescent="0.3">
      <c r="A271" s="260"/>
      <c r="B271" s="11"/>
      <c r="C271" s="11"/>
      <c r="D271" s="260"/>
      <c r="E271" s="11"/>
      <c r="F271" s="18"/>
      <c r="G271" s="260"/>
      <c r="H271" s="260"/>
      <c r="I271" s="260"/>
      <c r="J271" s="260"/>
      <c r="K271" s="260"/>
      <c r="L271" s="260"/>
      <c r="M271" s="1">
        <f>PERCENTILE(M$178:M$209,0.75)</f>
        <v>9.4829455195596868</v>
      </c>
      <c r="N271" s="260"/>
      <c r="O271" s="260"/>
      <c r="P271" s="260"/>
      <c r="Q271" s="260"/>
      <c r="R271" s="1">
        <f>PERCENTILE(R$178:R$209,0.75)</f>
        <v>7.5333333333333332</v>
      </c>
      <c r="S271" s="260"/>
      <c r="T271" s="1">
        <f>M271-M272</f>
        <v>1.0816641345832512</v>
      </c>
      <c r="U271" s="1">
        <f t="shared" ref="U271:U272" si="194">R271-R272</f>
        <v>0.61279297130282817</v>
      </c>
      <c r="V271" s="188"/>
      <c r="W271" s="9"/>
      <c r="X271" s="30"/>
      <c r="Y271" s="9"/>
      <c r="Z271" s="9"/>
      <c r="AA271" s="30"/>
      <c r="AB271" s="161"/>
      <c r="AC271" s="260"/>
      <c r="AD271" s="260"/>
      <c r="AE271" s="260"/>
      <c r="AF271" s="260"/>
      <c r="AG271" s="260"/>
      <c r="AH271" s="260"/>
      <c r="AI271" s="260"/>
      <c r="AK271" s="260"/>
      <c r="AL271" s="260"/>
      <c r="AM271" s="10"/>
      <c r="AN271" s="10"/>
      <c r="AO271" s="260"/>
      <c r="AP271" s="260"/>
      <c r="AQ271" s="260"/>
      <c r="AR271" s="260"/>
    </row>
    <row r="272" spans="1:44" s="260" customFormat="1" x14ac:dyDescent="0.3">
      <c r="B272" s="11"/>
      <c r="C272" s="11"/>
      <c r="E272" s="260" t="s">
        <v>956</v>
      </c>
      <c r="F272" s="11" t="s">
        <v>955</v>
      </c>
      <c r="M272" s="1">
        <f>AVERAGE(M$178:M$209)</f>
        <v>8.4012813849764356</v>
      </c>
      <c r="N272" s="1">
        <f>M272-M275</f>
        <v>0.47849572552932074</v>
      </c>
      <c r="O272" s="1">
        <f>R275-R272</f>
        <v>0.2927495959995996</v>
      </c>
      <c r="R272" s="1">
        <f>AVERAGE(R$178:R$209)</f>
        <v>6.920540362030505</v>
      </c>
      <c r="T272" s="1">
        <f>M272-M273</f>
        <v>1.1081173224764358</v>
      </c>
      <c r="U272" s="1">
        <f t="shared" si="194"/>
        <v>0.84632161203050504</v>
      </c>
      <c r="V272" s="188"/>
      <c r="W272" s="9"/>
      <c r="X272" s="30"/>
      <c r="Y272" s="9"/>
      <c r="Z272" s="9"/>
      <c r="AA272" s="30"/>
      <c r="AB272" s="161"/>
      <c r="AM272" s="10"/>
      <c r="AN272" s="10"/>
    </row>
    <row r="273" spans="1:70" s="260" customFormat="1" ht="15" thickBot="1" x14ac:dyDescent="0.35">
      <c r="B273" s="11"/>
      <c r="C273" s="11"/>
      <c r="E273" s="11" t="s">
        <v>217</v>
      </c>
      <c r="M273" s="1">
        <f>PERCENTILE(M$178:M$209,0.25)</f>
        <v>7.2931640624999998</v>
      </c>
      <c r="R273" s="1">
        <f>PERCENTILE(R$178:R$209,0.25)</f>
        <v>6.07421875</v>
      </c>
      <c r="T273" s="1">
        <f>M273</f>
        <v>7.2931640624999998</v>
      </c>
      <c r="U273" s="1">
        <f>R273</f>
        <v>6.07421875</v>
      </c>
      <c r="V273" s="188"/>
      <c r="W273" s="9"/>
      <c r="X273" s="30"/>
      <c r="Y273" s="9"/>
      <c r="Z273" s="9"/>
      <c r="AA273" s="30"/>
      <c r="AB273" s="161"/>
      <c r="AM273" s="10"/>
      <c r="AN273" s="10"/>
    </row>
    <row r="274" spans="1:70" s="260" customFormat="1" ht="15" thickBot="1" x14ac:dyDescent="0.35">
      <c r="A274"/>
      <c r="B274" s="11"/>
      <c r="C274" s="11"/>
      <c r="D274" s="11">
        <f>COUNTIF($AE$178:$AE$242,"=proposed")</f>
        <v>36</v>
      </c>
      <c r="E274" s="11">
        <f>SUMIF($AE$178:$AE$242,"=proposed",$E$178:$E$242)/1000</f>
        <v>6376.2279161081724</v>
      </c>
      <c r="F274" s="11">
        <f>SUMIF($AE$178:$AE$242,"=proposed",$F$178:$F$242)/1000</f>
        <v>7490.2406820203114</v>
      </c>
      <c r="G274"/>
      <c r="H274"/>
      <c r="I274" t="s">
        <v>135</v>
      </c>
      <c r="J274">
        <f t="shared" ref="J274:S274" si="195">MIN(J$178:J$209)</f>
        <v>134</v>
      </c>
      <c r="K274" s="260">
        <f t="shared" si="195"/>
        <v>0.54229800000000006</v>
      </c>
      <c r="L274" s="260">
        <f t="shared" si="195"/>
        <v>54.229799999999997</v>
      </c>
      <c r="M274" s="260">
        <f t="shared" si="195"/>
        <v>4.1108389813249868</v>
      </c>
      <c r="N274" s="260">
        <f t="shared" si="195"/>
        <v>20.756115641215711</v>
      </c>
      <c r="O274" s="260">
        <f t="shared" si="195"/>
        <v>76.8</v>
      </c>
      <c r="P274" s="260">
        <f t="shared" si="195"/>
        <v>0.31080960000000002</v>
      </c>
      <c r="Q274" s="260">
        <f t="shared" si="195"/>
        <v>31.080959999999997</v>
      </c>
      <c r="R274" s="260">
        <f t="shared" si="195"/>
        <v>4.2666666666666666</v>
      </c>
      <c r="S274" s="260">
        <f t="shared" si="195"/>
        <v>24.817319500728711</v>
      </c>
      <c r="T274" s="1">
        <f>M273-M274</f>
        <v>3.182325081175013</v>
      </c>
      <c r="U274" s="1">
        <f>R273-R274</f>
        <v>1.8075520833333334</v>
      </c>
      <c r="V274" s="190" t="s">
        <v>844</v>
      </c>
      <c r="W274" s="176"/>
      <c r="X274" s="165"/>
      <c r="Y274" s="176"/>
      <c r="Z274" s="176"/>
      <c r="AA274" s="165"/>
      <c r="AB274" s="177"/>
      <c r="AC274"/>
      <c r="AD274"/>
      <c r="AE274"/>
      <c r="AF274"/>
      <c r="AG274"/>
      <c r="AH274"/>
      <c r="AI274"/>
      <c r="AK274" t="s">
        <v>134</v>
      </c>
      <c r="AL274">
        <f t="shared" ref="AL274:AR274" si="196">MAX(AL$178:AL$242,AL$3:AL$128)</f>
        <v>3089.14</v>
      </c>
      <c r="AM274" s="10">
        <f t="shared" si="196"/>
        <v>7.106964754790579</v>
      </c>
      <c r="AN274" s="10">
        <f t="shared" si="196"/>
        <v>5.7908601705701015</v>
      </c>
      <c r="AO274">
        <f t="shared" si="196"/>
        <v>3154.59</v>
      </c>
      <c r="AP274">
        <f t="shared" si="196"/>
        <v>5.9712921361286586</v>
      </c>
      <c r="AQ274">
        <f t="shared" si="196"/>
        <v>1682.24</v>
      </c>
      <c r="AR274">
        <f t="shared" si="196"/>
        <v>10.169472279758997</v>
      </c>
    </row>
    <row r="275" spans="1:70" x14ac:dyDescent="0.3">
      <c r="B275" s="11"/>
      <c r="C275" s="11"/>
      <c r="E275" s="11" t="s">
        <v>218</v>
      </c>
      <c r="I275" t="s">
        <v>137</v>
      </c>
      <c r="J275">
        <f t="shared" ref="J275:S275" si="197">wtavg($E178:$E209,J$178:J$209)</f>
        <v>2256.0196269739408</v>
      </c>
      <c r="K275" s="260">
        <f t="shared" si="197"/>
        <v>9.130111430363538</v>
      </c>
      <c r="L275" s="260">
        <f t="shared" si="197"/>
        <v>913.01114303635404</v>
      </c>
      <c r="M275" s="260">
        <f t="shared" si="197"/>
        <v>7.9227856594471149</v>
      </c>
      <c r="N275" s="260">
        <f t="shared" si="197"/>
        <v>32.165377347585284</v>
      </c>
      <c r="O275" s="260">
        <f t="shared" si="197"/>
        <v>2175.1821276278879</v>
      </c>
      <c r="P275" s="260">
        <f t="shared" si="197"/>
        <v>8.8029620705100626</v>
      </c>
      <c r="Q275" s="260">
        <f t="shared" si="197"/>
        <v>880.29620705100626</v>
      </c>
      <c r="R275" s="260">
        <f t="shared" si="197"/>
        <v>7.2132899580301046</v>
      </c>
      <c r="S275" s="260">
        <f t="shared" si="197"/>
        <v>36.430786378438981</v>
      </c>
      <c r="U275" s="1"/>
      <c r="V275" s="188" t="str">
        <f>I270</f>
        <v>Max</v>
      </c>
      <c r="W275" s="9">
        <f>M270</f>
        <v>11.904761904761905</v>
      </c>
      <c r="X275" s="30">
        <f t="shared" si="171"/>
        <v>29.41730726190476</v>
      </c>
      <c r="Y275" s="9">
        <f>N270</f>
        <v>60.108560782581293</v>
      </c>
      <c r="Z275" s="9">
        <f>R270</f>
        <v>9.956619802115295</v>
      </c>
      <c r="AA275" s="30">
        <f t="shared" si="172"/>
        <v>24.603343296738444</v>
      </c>
      <c r="AB275" s="161">
        <f>S270</f>
        <v>57.91326908821349</v>
      </c>
      <c r="AK275" t="s">
        <v>135</v>
      </c>
      <c r="AL275">
        <f t="shared" ref="AL275:AR275" si="198">MIN(AL$178:AL$242,AL$3:AL$128)</f>
        <v>1352.9</v>
      </c>
      <c r="AM275" s="10">
        <f t="shared" si="198"/>
        <v>1.7513038867775303</v>
      </c>
      <c r="AN275" s="10">
        <f t="shared" si="198"/>
        <v>1.5985002231506311</v>
      </c>
      <c r="AO275">
        <f t="shared" si="198"/>
        <v>1894.92</v>
      </c>
      <c r="AP275">
        <f t="shared" si="198"/>
        <v>1.3850912581133592</v>
      </c>
      <c r="AQ275">
        <f t="shared" si="198"/>
        <v>1155.58</v>
      </c>
      <c r="AR275">
        <f t="shared" si="198"/>
        <v>2.3625720279235374</v>
      </c>
    </row>
    <row r="276" spans="1:70" x14ac:dyDescent="0.3">
      <c r="B276" s="11"/>
      <c r="C276" s="11"/>
      <c r="D276" s="11">
        <f>COUNTIF($AE$178:$AE$242,"=construction")</f>
        <v>19</v>
      </c>
      <c r="E276" s="11">
        <f>SUMIF($AE$178:$AE$242,"=construction",$E$178:$E$242)/1000</f>
        <v>1811.6478584401714</v>
      </c>
      <c r="F276" s="11">
        <f>SUMIF($AE$178:$AE$242,"=construction",$F$178:$F$242)/1000</f>
        <v>2127.8948298620162</v>
      </c>
      <c r="I276" t="s">
        <v>136</v>
      </c>
      <c r="J276">
        <f t="shared" ref="J276:S276" si="199">wtstd($E$178:$E$209,J$178:J$209)</f>
        <v>479.12300635663178</v>
      </c>
      <c r="K276" s="260">
        <f t="shared" si="199"/>
        <v>1.9390108067252889</v>
      </c>
      <c r="L276" s="260">
        <f t="shared" si="199"/>
        <v>193.90108067252891</v>
      </c>
      <c r="M276" s="260">
        <f t="shared" si="199"/>
        <v>0.50685216429391922</v>
      </c>
      <c r="N276" s="260">
        <f t="shared" si="199"/>
        <v>2.0546546639309136</v>
      </c>
      <c r="O276" s="260">
        <f t="shared" si="199"/>
        <v>611.68133280215943</v>
      </c>
      <c r="P276" s="260">
        <f t="shared" si="199"/>
        <v>2.4754743538503394</v>
      </c>
      <c r="Q276" s="260">
        <f t="shared" si="199"/>
        <v>247.54743538503388</v>
      </c>
      <c r="R276" s="260">
        <f t="shared" si="199"/>
        <v>0.972415784031611</v>
      </c>
      <c r="S276" s="260">
        <f t="shared" si="199"/>
        <v>4.6774519278888649</v>
      </c>
      <c r="U276" s="1"/>
      <c r="V276" s="188" t="str">
        <f t="shared" si="168"/>
        <v>Min</v>
      </c>
      <c r="W276" s="9">
        <f>M274</f>
        <v>4.1108389813249868</v>
      </c>
      <c r="X276" s="30">
        <f t="shared" si="171"/>
        <v>10.158104327099627</v>
      </c>
      <c r="Y276" s="9">
        <f>N274</f>
        <v>20.756115641215711</v>
      </c>
      <c r="Z276" s="9">
        <f>R274</f>
        <v>4.2666666666666666</v>
      </c>
      <c r="AA276" s="30">
        <f t="shared" si="172"/>
        <v>10.543162922666665</v>
      </c>
      <c r="AB276" s="161">
        <f>S274</f>
        <v>24.817319500728711</v>
      </c>
      <c r="AK276" t="s">
        <v>137</v>
      </c>
      <c r="AL276" t="e">
        <f>wtavg($E3:$E128:$E178:$E242, AL$3:AL$128:AL$178:AL$242)</f>
        <v>#VALUE!</v>
      </c>
      <c r="AM276" s="10" t="e">
        <f>wtavg($E3:$E128:$E178:$E242, AM$3:AM$128:AM$178:AM$242)</f>
        <v>#VALUE!</v>
      </c>
      <c r="AN276" s="10" t="e">
        <f>wtavg($E3:$E128:$E178:$E242, AN$3:AN$128:AN$178:AN$242)</f>
        <v>#VALUE!</v>
      </c>
      <c r="AO276" t="e">
        <f>wtavg($E3:$E128:$E178:$E242, AO$3:AO$128:AO$178:AO$242)</f>
        <v>#VALUE!</v>
      </c>
      <c r="AP276" t="e">
        <f>wtavg($E3:$E128:$E178:$E242, AP$3:AP$128:AP$178:AP$242)</f>
        <v>#VALUE!</v>
      </c>
      <c r="AQ276" t="e">
        <f>wtavg($E3:$E128:$E178:$E242, AQ$3:AQ$128:AQ$178:AQ$242)</f>
        <v>#VALUE!</v>
      </c>
      <c r="AR276" t="e">
        <f>wtavg($E3:$E128:$E178:$E242, AR$3:AR$128:AR$178:AR$242)</f>
        <v>#VALUE!</v>
      </c>
    </row>
    <row r="277" spans="1:70" x14ac:dyDescent="0.3">
      <c r="B277" s="11"/>
      <c r="C277" s="11"/>
      <c r="E277" t="s">
        <v>595</v>
      </c>
      <c r="U277" s="1"/>
      <c r="V277" s="189" t="str">
        <f t="shared" si="168"/>
        <v>W. Average</v>
      </c>
      <c r="W277" s="170">
        <f>M275</f>
        <v>7.9227856594471149</v>
      </c>
      <c r="X277" s="184">
        <f t="shared" si="171"/>
        <v>19.577629689590154</v>
      </c>
      <c r="Y277" s="170">
        <f>N275</f>
        <v>32.165377347585284</v>
      </c>
      <c r="Z277" s="170">
        <f>R275</f>
        <v>7.2132899580301046</v>
      </c>
      <c r="AA277" s="184">
        <f t="shared" si="172"/>
        <v>17.824427633425028</v>
      </c>
      <c r="AB277" s="172">
        <f>S275</f>
        <v>36.430786378438981</v>
      </c>
      <c r="AK277" t="s">
        <v>136</v>
      </c>
      <c r="AL277" t="e">
        <f>wtstd($E$3:$E$128:$E$178:$E$242,AL$3:AL$128:AL$178:AL$242)</f>
        <v>#VALUE!</v>
      </c>
      <c r="AM277" s="10" t="e">
        <f>wtstd($E$3:$E$128:$E$178:$E$242,AM$3:AM$128:AM$178:AM$242)</f>
        <v>#VALUE!</v>
      </c>
      <c r="AN277" s="10" t="e">
        <f>wtstd($E$3:$E$128:$E$178:$E$242,AN$3:AN$128:AN$178:AN$242)</f>
        <v>#VALUE!</v>
      </c>
      <c r="AO277" t="e">
        <f>wtstd($E$3:$E$128:$E$178:$E$242,AO$3:AO$128:AO$178:AO$242)</f>
        <v>#VALUE!</v>
      </c>
      <c r="AP277" t="e">
        <f>wtstd($E$3:$E$128:$E$178:$E$242,AP$3:AP$128:AP$178:AP$242)</f>
        <v>#VALUE!</v>
      </c>
      <c r="AQ277" t="e">
        <f>wtstd($E$3:$E$128:$E$178:$E$242,AQ$3:AQ$128:AQ$178:AQ$242)</f>
        <v>#VALUE!</v>
      </c>
      <c r="AR277" t="e">
        <f>wtstd($E$3:$E$128:$E$178:$E$242,AR$3:AR$128:AR$178:AR$242)</f>
        <v>#VALUE!</v>
      </c>
    </row>
    <row r="278" spans="1:70" ht="15" thickBot="1" x14ac:dyDescent="0.35">
      <c r="B278" s="11"/>
      <c r="C278" s="11"/>
      <c r="D278" s="11">
        <f>COUNTIF($AE$178:$AE$242,"=completed")</f>
        <v>10</v>
      </c>
      <c r="E278" s="11">
        <f>SUMIF($AE$178:$AE$242,"=completed",$E$178:$E$242)/1000</f>
        <v>256</v>
      </c>
      <c r="F278" s="11">
        <f>SUMIF($AE$178:$AE$242,"=completed",$F$178:$F$242)/1000</f>
        <v>302.62177962649974</v>
      </c>
      <c r="H278" t="s">
        <v>231</v>
      </c>
      <c r="U278" s="1"/>
      <c r="V278" s="191" t="str">
        <f t="shared" si="168"/>
        <v>SD</v>
      </c>
      <c r="W278" s="162">
        <f>M276</f>
        <v>0.50685216429391922</v>
      </c>
      <c r="X278" s="114">
        <f t="shared" si="171"/>
        <v>1.252458971685235</v>
      </c>
      <c r="Y278" s="162">
        <f>N276</f>
        <v>2.0546546639309136</v>
      </c>
      <c r="Z278" s="162">
        <f>R276</f>
        <v>0.972415784031611</v>
      </c>
      <c r="AA278" s="114">
        <f t="shared" si="172"/>
        <v>2.4028917280354496</v>
      </c>
      <c r="AB278" s="163">
        <f>S276</f>
        <v>4.6774519278888649</v>
      </c>
    </row>
    <row r="279" spans="1:70" ht="15" thickBot="1" x14ac:dyDescent="0.35">
      <c r="B279" s="11"/>
      <c r="C279" s="11"/>
      <c r="E279" t="s">
        <v>957</v>
      </c>
      <c r="I279" t="s">
        <v>134</v>
      </c>
      <c r="J279">
        <f t="shared" ref="J279:S279" si="200">MAX(J$178:J$242,J$3:J$128)</f>
        <v>5587</v>
      </c>
      <c r="K279">
        <f t="shared" si="200"/>
        <v>22.610589000000001</v>
      </c>
      <c r="L279">
        <f t="shared" si="200"/>
        <v>2261.0589</v>
      </c>
      <c r="M279">
        <f t="shared" si="200"/>
        <v>17.338232438241441</v>
      </c>
      <c r="N279">
        <f t="shared" si="200"/>
        <v>82.365538258792512</v>
      </c>
      <c r="O279">
        <f t="shared" si="200"/>
        <v>3005</v>
      </c>
      <c r="P279">
        <f t="shared" si="200"/>
        <v>12.161235000000001</v>
      </c>
      <c r="Q279">
        <f t="shared" si="200"/>
        <v>1216.1234999999999</v>
      </c>
      <c r="R279">
        <f t="shared" si="200"/>
        <v>11.745254232357103</v>
      </c>
      <c r="S279">
        <f t="shared" si="200"/>
        <v>110.70636862740929</v>
      </c>
      <c r="U279" s="1"/>
      <c r="V279" s="1"/>
      <c r="AM279">
        <f>1-AM257/AM247</f>
        <v>-0.12653007397508786</v>
      </c>
      <c r="AN279">
        <f>1-AN257/AN247</f>
        <v>0.1918573522367184</v>
      </c>
    </row>
    <row r="280" spans="1:70" ht="15" thickBot="1" x14ac:dyDescent="0.35">
      <c r="A280" t="s">
        <v>743</v>
      </c>
      <c r="B280" s="11"/>
      <c r="C280" s="11"/>
      <c r="D280">
        <f>D278+D276</f>
        <v>29</v>
      </c>
      <c r="E280" s="278">
        <f>E278+E276</f>
        <v>2067.6478584401711</v>
      </c>
      <c r="F280" s="260">
        <f>F278+F276</f>
        <v>2430.5166094885158</v>
      </c>
      <c r="I280" t="s">
        <v>135</v>
      </c>
      <c r="J280">
        <f t="shared" ref="J280:S280" si="201">MIN(J$178:J$242,J$3:J$128)</f>
        <v>1.635</v>
      </c>
      <c r="K280">
        <f t="shared" si="201"/>
        <v>6.6168450000000005E-3</v>
      </c>
      <c r="L280">
        <f t="shared" si="201"/>
        <v>0.66166102466999999</v>
      </c>
      <c r="M280">
        <f t="shared" si="201"/>
        <v>3</v>
      </c>
      <c r="N280">
        <f t="shared" si="201"/>
        <v>14.251545862966855</v>
      </c>
      <c r="O280">
        <f t="shared" si="201"/>
        <v>0.86</v>
      </c>
      <c r="P280">
        <f t="shared" si="201"/>
        <v>3.4804200000000001E-3</v>
      </c>
      <c r="Q280">
        <f t="shared" si="201"/>
        <v>0.34804200000000002</v>
      </c>
      <c r="R280">
        <f t="shared" si="201"/>
        <v>2.2320000000000002</v>
      </c>
      <c r="S280">
        <f t="shared" si="201"/>
        <v>21.037996273903456</v>
      </c>
      <c r="U280" s="1"/>
      <c r="V280" s="1"/>
      <c r="AM280">
        <f>1-AM257/AM252</f>
        <v>-0.32651406516115933</v>
      </c>
      <c r="AN280">
        <f>1-AN257/AN252</f>
        <v>-0.42710212044418361</v>
      </c>
    </row>
    <row r="281" spans="1:70" x14ac:dyDescent="0.3">
      <c r="A281">
        <f>COUNTA(A178:A242)</f>
        <v>65</v>
      </c>
      <c r="B281" s="11"/>
      <c r="C281" s="11"/>
      <c r="I281" t="s">
        <v>137</v>
      </c>
      <c r="J281" t="e">
        <f>wtavg($E3:$E128:$E178:$E242, J$3:J$128:J$178:J$242)</f>
        <v>#VALUE!</v>
      </c>
      <c r="K281" t="e">
        <f>wtavg($E3:$E128:$E178:$E242, K$3:K$128:K$178:K$242)</f>
        <v>#VALUE!</v>
      </c>
      <c r="L281" t="e">
        <f>wtavg($E3:$E128:$E178:$E242, L$3:L$128:L$178:L$242)</f>
        <v>#VALUE!</v>
      </c>
      <c r="M281" t="e">
        <f>wtavg($E3:$E128:$E178:$E242, M$3:M$128:M$178:M$242)</f>
        <v>#VALUE!</v>
      </c>
      <c r="N281" t="e">
        <f>wtavg($E3:$E128:$E178:$E242, N$3:N$128:N$178:N$242)</f>
        <v>#VALUE!</v>
      </c>
      <c r="O281" t="e">
        <f>wtavg($E3:$E128:$E178:$E242, O$3:O$128:O$178:O$242)</f>
        <v>#VALUE!</v>
      </c>
      <c r="P281" t="e">
        <f>wtavg($E3:$E128:$E178:$E242, P$3:P$128:P$178:P$242)</f>
        <v>#VALUE!</v>
      </c>
      <c r="Q281" t="e">
        <f>wtavg($E3:$E128:$E178:$E242, Q$3:Q$128:Q$178:Q$242)</f>
        <v>#VALUE!</v>
      </c>
      <c r="R281" t="e">
        <f>wtavg($E3:$E128:$E178:$E242, R$3:R$128:R$178:R$242)</f>
        <v>#VALUE!</v>
      </c>
      <c r="S281" t="e">
        <f>wtavg($E3:$E128:$E178:$E242, S$3:S$128:S$178:S$242)</f>
        <v>#VALUE!</v>
      </c>
      <c r="U281" s="1"/>
      <c r="V281" s="1"/>
    </row>
    <row r="282" spans="1:70" x14ac:dyDescent="0.3">
      <c r="B282" s="11"/>
      <c r="C282" s="11"/>
      <c r="I282" t="s">
        <v>136</v>
      </c>
      <c r="J282" t="e">
        <f>wtstd($E$3:$E$128:$E$178:$E$242,J$3:J$128:J$178:J$242)</f>
        <v>#VALUE!</v>
      </c>
      <c r="K282" t="e">
        <f>wtstd($E$3:$E$128:$E$178:$E$242,K$3:K$128:K$178:K$242)</f>
        <v>#VALUE!</v>
      </c>
      <c r="L282" t="e">
        <f>wtstd($E$3:$E$128:$E$178:$E$242,L$3:L$128:L$178:L$242)</f>
        <v>#VALUE!</v>
      </c>
      <c r="M282" t="e">
        <f>wtstd($E$3:$E$128:$E$178:$E$242,M$3:M$128:M$178:M$242)</f>
        <v>#VALUE!</v>
      </c>
      <c r="N282" t="e">
        <f>wtstd($E$3:$E$128:$E$178:$E$242,N$3:N$128:N$178:N$242)</f>
        <v>#VALUE!</v>
      </c>
      <c r="O282" t="e">
        <f>wtstd($E$3:$E$128:$E$178:$E$242,O$3:O$128:O$178:O$242)</f>
        <v>#VALUE!</v>
      </c>
      <c r="P282" t="e">
        <f>wtstd($E$3:$E$128:$E$178:$E$242,P$3:P$128:P$178:P$242)</f>
        <v>#VALUE!</v>
      </c>
      <c r="Q282" t="e">
        <f>wtstd($E$3:$E$128:$E$178:$E$242,Q$3:Q$128:Q$178:Q$242)</f>
        <v>#VALUE!</v>
      </c>
      <c r="R282" t="e">
        <f>wtstd($E$3:$E$128:$E$178:$E$242,R$3:R$128:R$178:R$242)</f>
        <v>#VALUE!</v>
      </c>
      <c r="S282" t="e">
        <f>wtstd($E$3:$E$128:$E$178:$E$242,S$3:S$128:S$178:S$242)</f>
        <v>#VALUE!</v>
      </c>
      <c r="U282" s="1"/>
      <c r="V282" s="1"/>
    </row>
    <row r="283" spans="1:70" x14ac:dyDescent="0.3">
      <c r="A283" t="s">
        <v>210</v>
      </c>
      <c r="B283" s="11"/>
      <c r="C283" s="11"/>
      <c r="K283" s="9"/>
      <c r="L283" s="9"/>
      <c r="M283" s="9"/>
      <c r="N283" s="9"/>
      <c r="P283" s="1"/>
      <c r="Q283" s="1"/>
      <c r="R283" s="1"/>
      <c r="S283" s="1"/>
      <c r="T283" s="1"/>
      <c r="U283" s="1"/>
      <c r="V283" s="1"/>
      <c r="BH283" s="111"/>
    </row>
    <row r="284" spans="1:70" ht="15" thickBot="1" x14ac:dyDescent="0.35">
      <c r="A284">
        <f>A281+A147</f>
        <v>191</v>
      </c>
      <c r="E284" s="8" t="s">
        <v>236</v>
      </c>
      <c r="F284" s="8"/>
      <c r="P284" t="s">
        <v>846</v>
      </c>
      <c r="AI284" t="s">
        <v>847</v>
      </c>
    </row>
    <row r="285" spans="1:70" ht="15" thickBot="1" x14ac:dyDescent="0.35">
      <c r="A285" t="s">
        <v>850</v>
      </c>
      <c r="E285" s="8"/>
      <c r="F285" s="8" t="s">
        <v>232</v>
      </c>
      <c r="P285" s="212"/>
      <c r="Q285" s="203" t="s">
        <v>768</v>
      </c>
      <c r="R285" s="203"/>
      <c r="S285" s="203" t="s">
        <v>771</v>
      </c>
      <c r="T285" s="203"/>
      <c r="U285" s="203" t="s">
        <v>772</v>
      </c>
      <c r="V285" s="203"/>
      <c r="W285" s="203" t="s">
        <v>773</v>
      </c>
      <c r="X285" s="211"/>
      <c r="AI285" s="212"/>
      <c r="AL285" s="203" t="s">
        <v>771</v>
      </c>
      <c r="AM285" s="203"/>
      <c r="AN285" s="203" t="s">
        <v>772</v>
      </c>
      <c r="AO285" s="203"/>
      <c r="AP285" s="203" t="s">
        <v>773</v>
      </c>
      <c r="AQ285" s="211"/>
      <c r="BB285" t="s">
        <v>845</v>
      </c>
    </row>
    <row r="286" spans="1:70" ht="15" thickBot="1" x14ac:dyDescent="0.35">
      <c r="A286" s="26">
        <f>SUM($E$3:$E$128)/1000</f>
        <v>647.92693333745808</v>
      </c>
      <c r="B286" s="11"/>
      <c r="C286" s="11"/>
      <c r="E286" s="8" t="s">
        <v>233</v>
      </c>
      <c r="F286" s="67">
        <f>'DC to AC conversion'!H11</f>
        <v>0.85367837195316643</v>
      </c>
      <c r="P286" s="220" t="s">
        <v>770</v>
      </c>
      <c r="Q286" s="140">
        <f>COUNTIFS($D$3:$D$128, "&lt;2008")</f>
        <v>10</v>
      </c>
      <c r="R286" s="223">
        <f>Q286/$A$147</f>
        <v>7.9365079365079361E-2</v>
      </c>
      <c r="S286" s="140">
        <f>COUNTIFS($D$3:$D$128, "&gt;=2008",$D$3:$D$128, "&lt;2010")</f>
        <v>27</v>
      </c>
      <c r="T286" s="201">
        <f>S286/$A$147</f>
        <v>0.21428571428571427</v>
      </c>
      <c r="U286" s="140">
        <f>COUNTIFS($D$3:$D$128, "&gt;=2010",$D$3:$D$128, "&lt;2012")</f>
        <v>63</v>
      </c>
      <c r="V286" s="201">
        <f>U286/$A$147</f>
        <v>0.5</v>
      </c>
      <c r="W286" s="140">
        <f>COUNTIFS($D$3:$D$128, "&gt;=2012")</f>
        <v>26</v>
      </c>
      <c r="X286" s="204">
        <f>W286/$A$147</f>
        <v>0.20634920634920634</v>
      </c>
      <c r="Y286" t="s">
        <v>775</v>
      </c>
      <c r="AI286" s="220" t="s">
        <v>770</v>
      </c>
      <c r="AJ286" s="203" t="s">
        <v>768</v>
      </c>
      <c r="AK286" s="203"/>
      <c r="AL286" s="140">
        <f>COUNTIFS($D$178:$D$242, "&gt;=2008",$D$178:$D$242, "&lt;2010")</f>
        <v>2</v>
      </c>
      <c r="AM286" s="201">
        <f>AL286/$A$281</f>
        <v>3.0769230769230771E-2</v>
      </c>
      <c r="AN286" s="140">
        <f>COUNTIFS($D$178:$D$242, "&gt;=2010",$D$178:$D$242, "&lt;2012")</f>
        <v>10</v>
      </c>
      <c r="AO286" s="201">
        <f>AN286/$A$281</f>
        <v>0.15384615384615385</v>
      </c>
      <c r="AP286" s="140">
        <f>COUNTIFS($D$178:$D$242, "&gt;=2012")</f>
        <v>53</v>
      </c>
      <c r="AQ286" s="204">
        <f>AP286/$A$281</f>
        <v>0.81538461538461537</v>
      </c>
      <c r="AR286" t="s">
        <v>775</v>
      </c>
      <c r="BB286" s="195"/>
      <c r="BC286" s="195" t="s">
        <v>768</v>
      </c>
      <c r="BD286" s="195"/>
      <c r="BE286" s="195" t="s">
        <v>771</v>
      </c>
      <c r="BF286" s="195"/>
      <c r="BG286" s="195" t="s">
        <v>772</v>
      </c>
      <c r="BH286" s="195"/>
      <c r="BI286" s="195" t="s">
        <v>773</v>
      </c>
      <c r="BJ286" s="195"/>
    </row>
    <row r="287" spans="1:70" ht="15" thickBot="1" x14ac:dyDescent="0.35">
      <c r="A287" t="s">
        <v>851</v>
      </c>
      <c r="B287" s="11"/>
      <c r="C287" s="11"/>
      <c r="E287" s="8" t="s">
        <v>234</v>
      </c>
      <c r="F287" s="67">
        <f>'DC to AC conversion'!H25</f>
        <v>0.85093391911224414</v>
      </c>
      <c r="P287" s="220" t="s">
        <v>212</v>
      </c>
      <c r="Q287" s="140">
        <f>SUMIF($D$3:$D$128, "&lt;2008",$E$3:$E$128)/1000</f>
        <v>40.498865858010696</v>
      </c>
      <c r="R287" s="223">
        <f>Q287/$A$286</f>
        <v>6.2505297702939874E-2</v>
      </c>
      <c r="S287" s="140">
        <f>SUMIFS($E$3:$E$128,$D$3:$D$128, "&gt;=2008",$D$3:$D$128, "&lt;2010")/1000</f>
        <v>40.373115744432127</v>
      </c>
      <c r="T287" s="202">
        <f>S287/$A$286</f>
        <v>6.2311217001693467E-2</v>
      </c>
      <c r="U287" s="140">
        <f>SUMIFS($E$3:$E$128,$D$3:$D$128, "&gt;=2010", $D$3:$D$128, "&lt;2012")/1000</f>
        <v>317.37321217417457</v>
      </c>
      <c r="V287" s="202">
        <f>U287/$A$286</f>
        <v>0.48982870728863176</v>
      </c>
      <c r="W287" s="140">
        <f>SUMIFS($E$3:$E$128,$D$3:$D$128, "&gt;=2012")/1000</f>
        <v>249.6817395608407</v>
      </c>
      <c r="X287" s="205">
        <f>W287/$A$286</f>
        <v>0.3853547780067349</v>
      </c>
      <c r="Y287" s="153" t="s">
        <v>768</v>
      </c>
      <c r="Z287" s="153" t="s">
        <v>771</v>
      </c>
      <c r="AA287" s="153" t="s">
        <v>772</v>
      </c>
      <c r="AB287" s="154" t="s">
        <v>773</v>
      </c>
      <c r="AC287" s="152" t="s">
        <v>768</v>
      </c>
      <c r="AD287" s="153" t="s">
        <v>771</v>
      </c>
      <c r="AE287" s="153" t="s">
        <v>772</v>
      </c>
      <c r="AF287" s="154" t="s">
        <v>773</v>
      </c>
      <c r="AI287" s="220" t="s">
        <v>212</v>
      </c>
      <c r="AJ287" s="140">
        <f>COUNTIFS($D$178:$D$242, "&lt;2008")</f>
        <v>0</v>
      </c>
      <c r="AK287" s="201">
        <f>AJ287/$A$281</f>
        <v>0</v>
      </c>
      <c r="AL287" s="140">
        <f>SUMIFS($E$178:$E$242,$D$178:$D$242, "&gt;=2008",$D$178:$D$242, "&lt;2010")/1000</f>
        <v>46</v>
      </c>
      <c r="AM287" s="202">
        <f>AL287/$A$288</f>
        <v>5.4477352850990403E-3</v>
      </c>
      <c r="AN287" s="140">
        <f>SUMIFS($E$178:$E$242,$D$178:$D$242, "&gt;=2010", $D$178:$D$242, "&lt;2012")/1000</f>
        <v>266.26315715045394</v>
      </c>
      <c r="AO287" s="202">
        <f>AN287/$A$288</f>
        <v>3.15332868767478E-2</v>
      </c>
      <c r="AP287" s="140">
        <f>SUMIFS($E$178:$E$242,$D$178:$D$242, "&gt;=2012")/1000</f>
        <v>8131.6126173978901</v>
      </c>
      <c r="AQ287" s="205">
        <f>AP287/$A$288</f>
        <v>0.96301897783815327</v>
      </c>
      <c r="AR287" s="153" t="s">
        <v>768</v>
      </c>
      <c r="BB287" s="195" t="s">
        <v>770</v>
      </c>
      <c r="BC287" s="266">
        <f>COUNTIFS($D$3:$D$128:$D$178:$D$242, "&lt;2008")</f>
        <v>15</v>
      </c>
      <c r="BD287" s="267">
        <f>BC287/196</f>
        <v>7.6530612244897961E-2</v>
      </c>
      <c r="BE287" s="266">
        <f>COUNTIFS($D$3:$D$128:$D$178:$D$242, "&gt;=2008",$D$3:$D$128:$D$178:$D$242, "&lt;2010")</f>
        <v>29</v>
      </c>
      <c r="BF287" s="267">
        <f>BE287/196</f>
        <v>0.14795918367346939</v>
      </c>
      <c r="BG287" s="266">
        <f>COUNTIFS($D$3:$D$128:$D$178:$D$242, "&gt;=2010",$D$3:$D$128:$D$178:$D$242, "&lt;2012")</f>
        <v>73</v>
      </c>
      <c r="BH287" s="267">
        <f>BG287/196</f>
        <v>0.37244897959183676</v>
      </c>
      <c r="BI287" s="266">
        <f>COUNTIFS($D$3:$D$128:$D$178:$D$242, "&gt;=2012")</f>
        <v>79</v>
      </c>
      <c r="BJ287" s="267">
        <f>BI287/196</f>
        <v>0.40306122448979592</v>
      </c>
      <c r="BK287" t="s">
        <v>775</v>
      </c>
    </row>
    <row r="288" spans="1:70" ht="15" thickBot="1" x14ac:dyDescent="0.35">
      <c r="A288" s="26">
        <f>SUM($E$178:$E$242)/1000</f>
        <v>8443.8757745483435</v>
      </c>
      <c r="B288" s="11"/>
      <c r="C288" s="11"/>
      <c r="E288" s="8"/>
      <c r="F288" s="67"/>
      <c r="P288" s="220" t="s">
        <v>242</v>
      </c>
      <c r="Q288" s="140">
        <f>SUMIFS($E$3:$E$128,$Y$3:$Y$128,"=1 axis", $D$3:$D$128, "&lt;2008")/1000</f>
        <v>31.533031736347976</v>
      </c>
      <c r="R288" s="223">
        <f>Q288/SUM($Q$288:$Q$291)</f>
        <v>0.78149030269832309</v>
      </c>
      <c r="S288" s="140">
        <f>SUMIFS($E$3:$E$128,$Y$3:$Y$128,"=1 axis", $D$3:$D$128, "&gt;=2008",$D$3:$D$128, "&lt;2010")/1000</f>
        <v>14.43582695125431</v>
      </c>
      <c r="T288" s="201">
        <f>S288/SUM($S$288:$S$291)</f>
        <v>0.35756038851782601</v>
      </c>
      <c r="U288" s="140">
        <f>SUMIFS($E$3:$E$128,$Y$3:$Y$128,"=1 axis", $D$3:$D$128, "&gt;=2010", $D$3:$D$128, "&lt;2012")/1000</f>
        <v>142.50065431662296</v>
      </c>
      <c r="V288" s="201">
        <f>U288/SUM($U$288:$U$291)</f>
        <v>0.45902536219674411</v>
      </c>
      <c r="W288" s="140">
        <f>SUMIFS($E$3:$E$128,$Y$3:$Y$128,"=1 axis", $D$3:$D$128, "&gt;=2012")/1000</f>
        <v>114.23980118052955</v>
      </c>
      <c r="X288" s="204">
        <f>W288/SUM($W$288:$W$291)</f>
        <v>0.45754167437900439</v>
      </c>
      <c r="Y288" s="199">
        <f>R288</f>
        <v>0.78149030269832309</v>
      </c>
      <c r="Z288" s="143">
        <f>T288</f>
        <v>0.35756038851782601</v>
      </c>
      <c r="AA288" s="143">
        <f>V288</f>
        <v>0.45902536219674411</v>
      </c>
      <c r="AB288" s="144">
        <f>X288</f>
        <v>0.45754167437900439</v>
      </c>
      <c r="AC288" s="147">
        <f>Q288</f>
        <v>31.533031736347976</v>
      </c>
      <c r="AD288" s="33">
        <f>S288</f>
        <v>14.43582695125431</v>
      </c>
      <c r="AE288" s="33">
        <f>U288</f>
        <v>142.50065431662296</v>
      </c>
      <c r="AF288" s="148">
        <f>W288</f>
        <v>114.23980118052955</v>
      </c>
      <c r="AI288" s="220" t="s">
        <v>242</v>
      </c>
      <c r="AJ288" s="140">
        <f>SUMIF($D$178:$D$242, "&lt;2008",$E$178:$E$242)/1000</f>
        <v>0</v>
      </c>
      <c r="AK288" s="202">
        <f>AJ288/$A$288</f>
        <v>0</v>
      </c>
      <c r="AL288" s="140">
        <f>SUMIFS($E$178:$E$242,$Y$178:$Y$242,"=1 axis", $D$178:$D$242, "&gt;=2008",$D$178:$D$242, "&lt;2010")/1000</f>
        <v>25</v>
      </c>
      <c r="AM288" s="201">
        <f>AL288/SUM($AL$288:$AL$291)</f>
        <v>0.54347826086956519</v>
      </c>
      <c r="AN288" s="140">
        <f>SUMIFS($E$178:$E$242,$Y$178:$Y$242,"=1 axis", $D$178:$D$242, "&gt;=2010", $D$178:$D$242, "&lt;2012")/1000</f>
        <v>57</v>
      </c>
      <c r="AO288" s="201">
        <f>AN288/SUM($AN$288:$AN$291)</f>
        <v>0.21407392825208535</v>
      </c>
      <c r="AP288" s="140">
        <f>SUMIFS($E$178:$E$242,$Y$178:$Y$242,"=1 axis", $D$178:$D$242, "&gt;=2012")/1000</f>
        <v>1554.6157411609968</v>
      </c>
      <c r="AQ288" s="204">
        <f>AP288/SUM($AP$288:$AP$291)</f>
        <v>0.19118172671369488</v>
      </c>
      <c r="AR288" s="199">
        <f>AK289</f>
        <v>0</v>
      </c>
      <c r="AS288" s="153" t="s">
        <v>771</v>
      </c>
      <c r="AT288" s="153" t="s">
        <v>772</v>
      </c>
      <c r="AU288" s="154" t="s">
        <v>773</v>
      </c>
      <c r="AV288" s="152" t="s">
        <v>768</v>
      </c>
      <c r="AW288" s="153" t="s">
        <v>771</v>
      </c>
      <c r="AX288" s="153" t="s">
        <v>772</v>
      </c>
      <c r="AY288" s="154" t="s">
        <v>773</v>
      </c>
      <c r="BB288" s="195" t="s">
        <v>212</v>
      </c>
      <c r="BC288" s="268">
        <f>SUMIF($D$3:$D$128:$D$178:$D$242, "&lt;2008",$E$3:$E$128:$E$178:$E$242)/1000</f>
        <v>42.372660944326427</v>
      </c>
      <c r="BD288" s="267">
        <f>BC288/$A$291</f>
        <v>4.6605345832652495E-3</v>
      </c>
      <c r="BE288" s="268">
        <f>SUMIFS($E$3:$E$128:$E$178:$E$242,$D$3:$D$128:$D$178:$D$242, "&gt;=2008",$D$3:$D$128:$D$178:$D$242, "&lt;2010")/1000</f>
        <v>86.373115744432127</v>
      </c>
      <c r="BF288" s="267">
        <f>BE288/$A$291</f>
        <v>9.5001088914430723E-3</v>
      </c>
      <c r="BG288" s="268">
        <f>SUMIFS($E$3:$E$128:$E$178:$E$242,$D$3:$D$128:$D$178:$D$242, "&gt;=2010", $D$3:$D$128:$D$178:$D$242, "&lt;2012")/1000</f>
        <v>583.6363693246285</v>
      </c>
      <c r="BH288" s="267">
        <f>BG288/$A$291</f>
        <v>6.4193690522827751E-2</v>
      </c>
      <c r="BI288" s="266">
        <f>SUMIFS($E$3:$E$128:$E$178:$E$242,$D$3:$D$128:$D$178:$D$242, "&gt;=2012")/1000</f>
        <v>8381.2943569587314</v>
      </c>
      <c r="BJ288" s="267">
        <f>BI288/$A$291</f>
        <v>0.9218517632030433</v>
      </c>
      <c r="BK288" s="153" t="s">
        <v>768</v>
      </c>
      <c r="BL288" s="153" t="s">
        <v>771</v>
      </c>
      <c r="BM288" s="153" t="s">
        <v>772</v>
      </c>
      <c r="BN288" s="154" t="s">
        <v>773</v>
      </c>
      <c r="BO288" s="152" t="s">
        <v>768</v>
      </c>
      <c r="BP288" s="153" t="s">
        <v>771</v>
      </c>
      <c r="BQ288" s="153" t="s">
        <v>772</v>
      </c>
      <c r="BR288" s="154" t="s">
        <v>773</v>
      </c>
    </row>
    <row r="289" spans="1:70" x14ac:dyDescent="0.3">
      <c r="B289" s="11"/>
      <c r="C289" s="11"/>
      <c r="E289" s="8" t="s">
        <v>235</v>
      </c>
      <c r="F289" s="67">
        <f>'DC to AC conversion'!H47</f>
        <v>0.85140770920487285</v>
      </c>
      <c r="M289" t="s">
        <v>848</v>
      </c>
      <c r="P289" s="220" t="s">
        <v>243</v>
      </c>
      <c r="Q289" s="140">
        <f>SUMIFS($E$3:$E$128,$Y$3:$Y$128,"=2 axis", $D$3:$D$128, "&lt;2008")/1000</f>
        <v>0.88290979444545314</v>
      </c>
      <c r="R289" s="223">
        <f>Q289/SUM($Q$288:$Q$291)</f>
        <v>2.1881354393245622E-2</v>
      </c>
      <c r="S289" s="140">
        <f>SUMIFS($E$3:$E$128,$Y$3:$Y$128,"=2 axis", $D$3:$D$128, "&gt;=2008",$D$3:$D$128, "&lt;2010")/1000</f>
        <v>0.86332741713374106</v>
      </c>
      <c r="T289" s="201">
        <f>S289/SUM($S$288:$S$291)</f>
        <v>2.1383720359823923E-2</v>
      </c>
      <c r="U289" s="140">
        <f>SUMIFS($E$3:$E$128,$Y$3:$Y$128,"=2 axis", $D$3:$D$128, "&gt;=2010", $D$3:$D$128, "&lt;2012")/1000</f>
        <v>2.859878495219168</v>
      </c>
      <c r="V289" s="201">
        <f>U289/SUM($U$288:$U$291)</f>
        <v>9.2122858551220189E-3</v>
      </c>
      <c r="W289" s="140">
        <f>SUMIFS($E$3:$E$128,$Y$3:$Y$128,"=2 axis", $D$3:$D$128, "&gt;=2012")/1000</f>
        <v>0</v>
      </c>
      <c r="X289" s="204">
        <f>W289/SUM($W$288:$W$291)</f>
        <v>0</v>
      </c>
      <c r="Y289" s="199">
        <f>R289</f>
        <v>2.1881354393245622E-2</v>
      </c>
      <c r="Z289" s="143">
        <f>T289</f>
        <v>2.1383720359823923E-2</v>
      </c>
      <c r="AA289" s="143">
        <f>V289</f>
        <v>9.2122858551220189E-3</v>
      </c>
      <c r="AB289" s="144">
        <f>X289</f>
        <v>0</v>
      </c>
      <c r="AC289" s="147">
        <f>Q289</f>
        <v>0.88290979444545314</v>
      </c>
      <c r="AD289" s="33">
        <f>S289</f>
        <v>0.86332741713374106</v>
      </c>
      <c r="AE289" s="33">
        <f>U289</f>
        <v>2.859878495219168</v>
      </c>
      <c r="AF289" s="148">
        <f>W289</f>
        <v>0</v>
      </c>
      <c r="AI289" s="220" t="s">
        <v>243</v>
      </c>
      <c r="AJ289" s="140">
        <f>SUMIFS($E$178:$E$242,$Y$178:$Y$242,"=1 axis", $D$178:$D$242, "&lt;2008")/1000</f>
        <v>0</v>
      </c>
      <c r="AK289" s="201">
        <v>0</v>
      </c>
      <c r="AL289" s="140">
        <f>SUMIFS($E$178:$E$242,$Y$178:$Y$242,"=2 axis", $D$178:$D$242, "&gt;=2008",$D$178:$D$242, "&lt;2010")/1000</f>
        <v>0</v>
      </c>
      <c r="AM289" s="201">
        <f>AL289/SUM($AL$288:$AL$291)</f>
        <v>0</v>
      </c>
      <c r="AN289" s="140">
        <f>SUMIFS($E$178:$E$242,$Y$178:$Y$242,"=2 axis",$D$178:$D$242, "&gt;=2010", $D$178:$D$242, "&lt;2012")/1000</f>
        <v>0</v>
      </c>
      <c r="AO289" s="201">
        <f>AN289/SUM($AN$288:$AN$291)</f>
        <v>0</v>
      </c>
      <c r="AP289" s="140">
        <f>SUMIFS($E$178:$E$242,$Y$178:$Y$242,"=2 axis", $D$178:$D$242, "&gt;=2012")/1000</f>
        <v>158.43115638073093</v>
      </c>
      <c r="AQ289" s="204">
        <f>AP289/SUM($AP$288:$AP$291)</f>
        <v>1.9483362505705388E-2</v>
      </c>
      <c r="AR289" s="199">
        <f>AK290</f>
        <v>0</v>
      </c>
      <c r="AS289" s="143">
        <f>AM288</f>
        <v>0.54347826086956519</v>
      </c>
      <c r="AT289" s="143">
        <f>AO288</f>
        <v>0.21407392825208535</v>
      </c>
      <c r="AU289" s="144">
        <f>AQ288</f>
        <v>0.19118172671369488</v>
      </c>
      <c r="AV289" s="224">
        <f>AJ289</f>
        <v>0</v>
      </c>
      <c r="AW289" s="219">
        <f>AL288</f>
        <v>25</v>
      </c>
      <c r="AX289" s="219">
        <f>AN288</f>
        <v>57</v>
      </c>
      <c r="AY289" s="225">
        <f>AP288</f>
        <v>1554.6157411609968</v>
      </c>
      <c r="BB289" s="195" t="s">
        <v>242</v>
      </c>
      <c r="BC289" s="268">
        <f>SUMIFS($E$3:$E$128:$E$178:$E$242,$Y$3:$Y$128:$Y$178:$Y$242,"=1 axis", $D$3:$D$128:$D$178:$D$242, "&lt;2008")/1000</f>
        <v>31.533031736347976</v>
      </c>
      <c r="BD289" s="267">
        <f>BC289/SUM($BC$289:$BC$292)</f>
        <v>0.78149030269832309</v>
      </c>
      <c r="BE289" s="268">
        <f>SUMIFS($E$3:$E$128:$E$178:$E$242,$Y$3:$Y$128:$Y$178:$Y$242,"=1 axis", $D$3:$D$128:$D$178:$D$242, "&gt;=2008",$D$3:$D$128:$D$178:$D$242, "&lt;2010")/1000</f>
        <v>39.435826951254313</v>
      </c>
      <c r="BF289" s="267">
        <f>BE289/SUM($BE$289:$BE$292)</f>
        <v>0.45657525042792574</v>
      </c>
      <c r="BG289" s="268">
        <f>SUMIFS($E$3:$E$128:$E$178:$E$242,$Y$3:$Y$128:$Y$178:$Y$242,"=1 axis", $D$3:$D$128:$D$178:$D$242, "&gt;=2010", $D$3:$D$128:$D$178:$D$242, "&lt;2012")/1000</f>
        <v>199.50065431662296</v>
      </c>
      <c r="BH289" s="267">
        <f>BG289/SUM($BG$289:$BG$292)</f>
        <v>0.34593192912518606</v>
      </c>
      <c r="BI289" s="266">
        <f>SUMIFS($E$3:$E$128:$E$178:$E$242,$Y$3:$Y$128:$Y$178:$Y$242,"=1 axis", $D$3:$D$128:$D$178:$D$242, "&gt;=2012")/1000</f>
        <v>1668.8555423415262</v>
      </c>
      <c r="BJ289" s="267">
        <f>BI289/SUM($BI$289:$BI$292)</f>
        <v>0.19911668428110113</v>
      </c>
      <c r="BK289" s="199">
        <f>BD289</f>
        <v>0.78149030269832309</v>
      </c>
      <c r="BL289" s="143">
        <f>BF289</f>
        <v>0.45657525042792574</v>
      </c>
      <c r="BM289" s="143">
        <f>BH289</f>
        <v>0.34593192912518606</v>
      </c>
      <c r="BN289" s="144">
        <f>BJ289</f>
        <v>0.19911668428110113</v>
      </c>
      <c r="BO289" s="147">
        <f>BC289</f>
        <v>31.533031736347976</v>
      </c>
      <c r="BP289" s="33">
        <f>BE289</f>
        <v>39.435826951254313</v>
      </c>
      <c r="BQ289" s="33">
        <f>BG289</f>
        <v>199.50065431662296</v>
      </c>
      <c r="BR289" s="148">
        <f>BI289</f>
        <v>1668.8555423415262</v>
      </c>
    </row>
    <row r="290" spans="1:70" x14ac:dyDescent="0.3">
      <c r="A290" s="11" t="s">
        <v>774</v>
      </c>
      <c r="B290" s="11"/>
      <c r="C290" s="11"/>
      <c r="M290" t="s">
        <v>849</v>
      </c>
      <c r="P290" s="220" t="s">
        <v>138</v>
      </c>
      <c r="Q290" s="140">
        <f>SUMIFS($E$3:$E$128,$Y$3:$Y$128,"=Fixed", $D$3:$D$128, "&lt;2008")/1000</f>
        <v>7.9339279781064143</v>
      </c>
      <c r="R290" s="223">
        <f>Q290/SUM($Q$288:$Q$291)</f>
        <v>0.19662834290843129</v>
      </c>
      <c r="S290" s="140">
        <f>SUMIFS($E$3:$E$128,$Y$3:$Y$128,"=Fixed", $D$3:$D$128, "&gt;=2008",$D$3:$D$128, "&lt;2010")/1000</f>
        <v>25.073961376044078</v>
      </c>
      <c r="T290" s="201">
        <f>S290/SUM($S$288:$S$291)</f>
        <v>0.62105589112235016</v>
      </c>
      <c r="U290" s="140">
        <f>SUMIFS($E$3:$E$128,$Y$3:$Y$128,"=Fixed", $D$3:$D$128, "&gt;=2010", $D$3:$D$128, "&lt;2012")/1000</f>
        <v>156.82260071150773</v>
      </c>
      <c r="V290" s="201">
        <f>U290/SUM($U$288:$U$291)</f>
        <v>0.50515944251238409</v>
      </c>
      <c r="W290" s="140">
        <f>SUMIFS($E$3:$E$128,$Y$3:$Y$128,"=Fixed", $D$3:$D$128, "&gt;=2012")/1000</f>
        <v>49.551928675723595</v>
      </c>
      <c r="X290" s="204">
        <f>W290/SUM($W$288:$W$291)</f>
        <v>0.1984603630320716</v>
      </c>
      <c r="Y290" s="199">
        <f>R290</f>
        <v>0.19662834290843129</v>
      </c>
      <c r="Z290" s="143">
        <f>T290</f>
        <v>0.62105589112235016</v>
      </c>
      <c r="AA290" s="143">
        <f>V290</f>
        <v>0.50515944251238409</v>
      </c>
      <c r="AB290" s="144">
        <f>X290</f>
        <v>0.1984603630320716</v>
      </c>
      <c r="AC290" s="147">
        <f>Q290</f>
        <v>7.9339279781064143</v>
      </c>
      <c r="AD290" s="33">
        <f>S290</f>
        <v>25.073961376044078</v>
      </c>
      <c r="AE290" s="33">
        <f>U290</f>
        <v>156.82260071150773</v>
      </c>
      <c r="AF290" s="148">
        <f>W290</f>
        <v>49.551928675723595</v>
      </c>
      <c r="AI290" s="220" t="s">
        <v>138</v>
      </c>
      <c r="AJ290" s="140">
        <f>SUMIFS($E$178:$E$242,$Y$178:$Y$242,"=2 axis", $D$178:$D$242, "&lt;2008")/1000</f>
        <v>0</v>
      </c>
      <c r="AK290" s="201">
        <v>0</v>
      </c>
      <c r="AL290" s="140">
        <f>SUMIFS($E$178:$E$242,$Y$178:$Y$242,"=Fixed", $D$178:$D$242, "&gt;=2008",$D$178:$D$242, "&lt;2010")/1000</f>
        <v>21</v>
      </c>
      <c r="AM290" s="201">
        <f>AL290/SUM($AL$288:$AL$291)</f>
        <v>0.45652173913043476</v>
      </c>
      <c r="AN290" s="140">
        <f>SUMIFS($E$178:$E$242,$Y$178:$Y$242,"=Fixed", $D$178:$D$242, "&gt;=2010", $D$178:$D$242, "&lt;2012")/1000</f>
        <v>209.26315715045394</v>
      </c>
      <c r="AO290" s="201">
        <f>AN290/SUM($AN$288:$AN$291)</f>
        <v>0.78592607174791462</v>
      </c>
      <c r="AP290" s="140">
        <f>SUMIFS($E$178:$E$242,$Y$178:$Y$242,"=Fixed", $D$178:$D$242, "&gt;=2012")/1000</f>
        <v>1525.5407709204874</v>
      </c>
      <c r="AQ290" s="204">
        <f>AP290/SUM($AP$288:$AP$291)</f>
        <v>0.18760617883549144</v>
      </c>
      <c r="AR290" s="199">
        <f>AK291</f>
        <v>0</v>
      </c>
      <c r="AS290" s="143">
        <f>AM289</f>
        <v>0</v>
      </c>
      <c r="AT290" s="143">
        <f>AO289</f>
        <v>0</v>
      </c>
      <c r="AU290" s="144">
        <f>AQ289</f>
        <v>1.9483362505705388E-2</v>
      </c>
      <c r="AV290" s="224">
        <f>AJ290</f>
        <v>0</v>
      </c>
      <c r="AW290" s="219">
        <f>AL289</f>
        <v>0</v>
      </c>
      <c r="AX290" s="219">
        <f>AN289</f>
        <v>0</v>
      </c>
      <c r="AY290" s="225">
        <f>AP289</f>
        <v>158.43115638073093</v>
      </c>
      <c r="BB290" s="195" t="s">
        <v>243</v>
      </c>
      <c r="BC290" s="268">
        <f>SUMIFS($E$3:$E$128:$E$178:$E$242,$Y$3:$Y$128:$Y$178:$Y$242,"=2 axis", $D$3:$D$128:$D$178:$D$242, "&lt;2008")/1000</f>
        <v>0.88290979444545314</v>
      </c>
      <c r="BD290" s="267">
        <f>BC290/SUM($BC$289:$BC$292)</f>
        <v>2.1881354393245622E-2</v>
      </c>
      <c r="BE290" s="268">
        <f>SUMIFS($E$3:$E$128:$E$178:$E$242,$Y$3:$Y$128:$Y$178:$Y$242,"=2 axis", $D$3:$D$128:$D$178:$D$242, "&gt;=2008",$D$3:$D$128:$D$178:$D$242, "&lt;2010")/1000</f>
        <v>0.86332741713374106</v>
      </c>
      <c r="BF290" s="267">
        <f>BE290/SUM($BE$289:$BE$292)</f>
        <v>9.9953256252585023E-3</v>
      </c>
      <c r="BG290" s="268">
        <f>SUMIFS($E$3:$E$128:$E$178:$E$242,$Y$3:$Y$128:$Y$178:$Y$242,"=2 axis", $D$3:$D$128:$D$178:$D$242, "&gt;=2010", $D$3:$D$128:$D$178:$D$242, "&lt;2012")/1000</f>
        <v>2.859878495219168</v>
      </c>
      <c r="BH290" s="267">
        <f>BG290/SUM($BG$289:$BG$292)</f>
        <v>4.9589976950384753E-3</v>
      </c>
      <c r="BI290" s="266">
        <f>SUMIFS($E$3:$E$128:$E$178:$E$242,$Y$3:$Y$128:$Y$178:$Y$242,"=2 axis", $D$3:$D$128:$D$178:$D$242, "&gt;=2012")/1000</f>
        <v>158.43115638073093</v>
      </c>
      <c r="BJ290" s="267">
        <f>BI290/SUM($BI$289:$BI$292)</f>
        <v>1.8902946207728689E-2</v>
      </c>
      <c r="BK290" s="199">
        <f>BD290</f>
        <v>2.1881354393245622E-2</v>
      </c>
      <c r="BL290" s="143">
        <f>BF290</f>
        <v>9.9953256252585023E-3</v>
      </c>
      <c r="BM290" s="143">
        <f>BH290</f>
        <v>4.9589976950384753E-3</v>
      </c>
      <c r="BN290" s="144">
        <f>BJ290</f>
        <v>1.8902946207728689E-2</v>
      </c>
      <c r="BO290" s="147">
        <f>BC290</f>
        <v>0.88290979444545314</v>
      </c>
      <c r="BP290" s="33">
        <f>BE290</f>
        <v>0.86332741713374106</v>
      </c>
      <c r="BQ290" s="33">
        <f>BG290</f>
        <v>2.859878495219168</v>
      </c>
      <c r="BR290" s="148">
        <f>BI290</f>
        <v>158.43115638073093</v>
      </c>
    </row>
    <row r="291" spans="1:70" x14ac:dyDescent="0.3">
      <c r="A291" s="26">
        <f>SUM($E$178:$E$242,$E$3:$E$128)/1000</f>
        <v>9091.8027078858031</v>
      </c>
      <c r="B291" s="11"/>
      <c r="C291" s="11"/>
      <c r="D291" t="s">
        <v>959</v>
      </c>
      <c r="I291" s="260" t="e">
        <f>COUNTIF(#REF!:#REF!,"=complete")</f>
        <v>#REF!</v>
      </c>
      <c r="J291" s="260" t="e">
        <f>COUNTIF(#REF!,"=Complete")</f>
        <v>#REF!</v>
      </c>
      <c r="P291" s="220" t="s">
        <v>203</v>
      </c>
      <c r="Q291" s="140">
        <f>SUMIFS($E$3:$E$128,$Y$3:$Y$128,"=unknown", $D$3:$D$128, "&lt;2008")/1000</f>
        <v>0</v>
      </c>
      <c r="R291" s="201">
        <f>Q291/SUM($Q$288:$Q$291)</f>
        <v>0</v>
      </c>
      <c r="S291" s="140">
        <f>SUMIFS($E$3:$E$128,$Y$3:$Y$128,"=unknown", $D$3:$D$128, "&gt;=2008",$D$3:$D$128, "&lt;2010")/1000</f>
        <v>0</v>
      </c>
      <c r="T291" s="201">
        <f>S291/SUM($S$288:$S$291)</f>
        <v>0</v>
      </c>
      <c r="U291" s="140">
        <f>SUMIFS($E$3:$E$128,$Y$3:$Y$128,"=unknown", $D$3:$D$128, "&gt;=2010", $D$3:$D$128, "&lt;2012")/1000</f>
        <v>8.2586547792872658</v>
      </c>
      <c r="V291" s="201">
        <f>U291/SUM($U$288:$U$291)</f>
        <v>2.6602909435749795E-2</v>
      </c>
      <c r="W291" s="140">
        <f>SUMIFS($E$3:$E$128,$Y$3:$Y$128,"=unknown", $D$3:$D$128, "&gt;=2012")/1000</f>
        <v>85.890009704587555</v>
      </c>
      <c r="X291" s="204">
        <f>W291/SUM($W$288:$W$291)</f>
        <v>0.34399796258892407</v>
      </c>
      <c r="Y291" s="199">
        <f>R291</f>
        <v>0</v>
      </c>
      <c r="Z291" s="143">
        <f>T291</f>
        <v>0</v>
      </c>
      <c r="AA291" s="143">
        <f>V291</f>
        <v>2.6602909435749795E-2</v>
      </c>
      <c r="AB291" s="144">
        <f>X291</f>
        <v>0.34399796258892407</v>
      </c>
      <c r="AC291" s="147">
        <f>Q291</f>
        <v>0</v>
      </c>
      <c r="AD291" s="33">
        <f>S291</f>
        <v>0</v>
      </c>
      <c r="AE291" s="33">
        <f>U291</f>
        <v>8.2586547792872658</v>
      </c>
      <c r="AF291" s="148">
        <f>W291</f>
        <v>85.890009704587555</v>
      </c>
      <c r="AI291" s="220" t="s">
        <v>203</v>
      </c>
      <c r="AJ291" s="140">
        <f>SUMIFS($E$178:$E$242,$Y$178:$Y$242,"=Fixed",$D$178:$D$242, "&lt;2008")/1000</f>
        <v>0</v>
      </c>
      <c r="AK291" s="201">
        <v>0</v>
      </c>
      <c r="AL291" s="140">
        <f>SUMIFS($E$178:$E$242,$Y$178:$Y$242,"=unknown", $D$178:$D$242, "&gt;=2008",$D$178:$D$242, "&lt;2010")/1000</f>
        <v>0</v>
      </c>
      <c r="AM291" s="201">
        <f>AL291/SUM($AL$288:$AL$291)</f>
        <v>0</v>
      </c>
      <c r="AN291" s="140">
        <f>SUMIFS($E$178:$E$242,$Y$178:$Y$242,"=unknown", $D$178:$D$242, "&gt;=2010", $D$178:$D$242, "&lt;2012")/1000</f>
        <v>0</v>
      </c>
      <c r="AO291" s="201">
        <f>AN291/SUM($AN$288:$AN$291)</f>
        <v>0</v>
      </c>
      <c r="AP291" s="140">
        <f>SUMIFS($E$178:$E$242,$Y$178:$Y$242,"=unknown", $D$178:$D$242, "&gt;=2012")/1000</f>
        <v>4893.0249489356756</v>
      </c>
      <c r="AQ291" s="204">
        <f>AP291/SUM($AP$288:$AP$291)</f>
        <v>0.60172873194510823</v>
      </c>
      <c r="AR291" s="199">
        <f>AK292</f>
        <v>0</v>
      </c>
      <c r="AS291" s="143">
        <f>AM290</f>
        <v>0.45652173913043476</v>
      </c>
      <c r="AT291" s="143">
        <f>AO290</f>
        <v>0.78592607174791462</v>
      </c>
      <c r="AU291" s="144">
        <f>AQ290</f>
        <v>0.18760617883549144</v>
      </c>
      <c r="AV291" s="224">
        <f>AJ291</f>
        <v>0</v>
      </c>
      <c r="AW291" s="219">
        <f>AL290</f>
        <v>21</v>
      </c>
      <c r="AX291" s="219">
        <f>AN290</f>
        <v>209.26315715045394</v>
      </c>
      <c r="AY291" s="225">
        <f>AP290</f>
        <v>1525.5407709204874</v>
      </c>
      <c r="BB291" s="195" t="s">
        <v>138</v>
      </c>
      <c r="BC291" s="268">
        <f>SUMIFS($E$3:$E$128:$E$178:$E$242,$Y$3:$Y$128:$Y$178:$Y$242,"=Fixed", $D$3:$D$128:$D$178:$D$242, "&lt;2008")/1000</f>
        <v>7.9339279781064143</v>
      </c>
      <c r="BD291" s="267">
        <f>BC291/SUM($BC$289:$BC$292)</f>
        <v>0.19662834290843129</v>
      </c>
      <c r="BE291" s="268">
        <f>SUMIFS($E$3:$E$128:$E$178:$E$242,$Y$3:$Y$128:$Y$178:$Y$242,"=Fixed", $D$3:$D$128:$D$178:$D$242, "&gt;=2008",$D$3:$D$128:$D$178:$D$242, "&lt;2010")/1000</f>
        <v>46.073961376044075</v>
      </c>
      <c r="BF291" s="267">
        <f>BE291/SUM($BE$289:$BE$292)</f>
        <v>0.53342942394681581</v>
      </c>
      <c r="BG291" s="268">
        <f>SUMIFS($E$3:$E$128:$E$178:$E$242,$Y$3:$Y$128:$Y$178:$Y$242,"=Fixed", $D$3:$D$128:$D$178:$D$242, "&gt;=2010", $D$3:$D$128:$D$178:$D$242, "&lt;2012")/1000</f>
        <v>366.08575786196167</v>
      </c>
      <c r="BH291" s="267">
        <f>BG291/SUM($BG$289:$BG$292)</f>
        <v>0.63478865709109644</v>
      </c>
      <c r="BI291" s="266">
        <f>SUMIFS($E$3:$E$128:$E$178:$E$242,$Y$3:$Y$128:$Y$178:$Y$242,"=Fixed", $D$3:$D$128:$D$178:$D$242, "&gt;=2012")/1000</f>
        <v>1575.0926995962109</v>
      </c>
      <c r="BJ291" s="267">
        <f>BI291/SUM($BI$289:$BI$292)</f>
        <v>0.18792952884281647</v>
      </c>
      <c r="BK291" s="199">
        <f>BD291</f>
        <v>0.19662834290843129</v>
      </c>
      <c r="BL291" s="143">
        <f>BF291</f>
        <v>0.53342942394681581</v>
      </c>
      <c r="BM291" s="143">
        <f>BH291</f>
        <v>0.63478865709109644</v>
      </c>
      <c r="BN291" s="144">
        <f>BJ291</f>
        <v>0.18792952884281647</v>
      </c>
      <c r="BO291" s="147">
        <f>BC291</f>
        <v>7.9339279781064143</v>
      </c>
      <c r="BP291" s="33">
        <f>BE291</f>
        <v>46.073961376044075</v>
      </c>
      <c r="BQ291" s="33">
        <f>BG291</f>
        <v>366.08575786196167</v>
      </c>
      <c r="BR291" s="148">
        <f>BI291</f>
        <v>1575.0926995962109</v>
      </c>
    </row>
    <row r="292" spans="1:70" x14ac:dyDescent="0.3">
      <c r="B292" s="11"/>
      <c r="C292" s="11"/>
      <c r="D292">
        <f>D158+D280+CSP!C62</f>
        <v>162</v>
      </c>
      <c r="E292">
        <f>E280+E158+CSP!$D$62</f>
        <v>4769.5890780809887</v>
      </c>
      <c r="F292" s="260">
        <f>F280+F158+CSP!$D$62</f>
        <v>5234.4694003082213</v>
      </c>
      <c r="I292" s="260" t="e">
        <f>COUNTIF(#REF!:#REF!,"=construction")</f>
        <v>#REF!</v>
      </c>
      <c r="J292" s="260" t="e">
        <f>COUNTIF(#REF!:#REF!,"=construction")</f>
        <v>#REF!</v>
      </c>
      <c r="P292" s="220"/>
      <c r="Q292" s="140"/>
      <c r="R292" s="142"/>
      <c r="S292" s="140"/>
      <c r="T292" s="142"/>
      <c r="U292" s="140"/>
      <c r="V292" s="142"/>
      <c r="W292" s="140"/>
      <c r="X292" s="206"/>
      <c r="Y292" s="199"/>
      <c r="Z292" s="143"/>
      <c r="AA292" s="143"/>
      <c r="AB292" s="144"/>
      <c r="AC292" s="147"/>
      <c r="AD292" s="33"/>
      <c r="AE292" s="33"/>
      <c r="AF292" s="148"/>
      <c r="AI292" s="220"/>
      <c r="AJ292" s="140">
        <f>SUMIFS($E$178:$E$242,$Y$178:$Y$242,"=unknown", $D$178:$D$242, "&lt;2008")/1000</f>
        <v>0</v>
      </c>
      <c r="AK292" s="201">
        <v>0</v>
      </c>
      <c r="AL292" s="140"/>
      <c r="AM292" s="142"/>
      <c r="AN292" s="140"/>
      <c r="AO292" s="142"/>
      <c r="AP292" s="140"/>
      <c r="AQ292" s="206"/>
      <c r="AR292" s="199"/>
      <c r="AS292" s="143">
        <f>AM291</f>
        <v>0</v>
      </c>
      <c r="AT292" s="143">
        <f>AO291</f>
        <v>0</v>
      </c>
      <c r="AU292" s="144">
        <f>AQ291</f>
        <v>0.60172873194510823</v>
      </c>
      <c r="AV292" s="224">
        <f>AJ292</f>
        <v>0</v>
      </c>
      <c r="AW292" s="219">
        <f>AL291</f>
        <v>0</v>
      </c>
      <c r="AX292" s="219">
        <f>AN291</f>
        <v>0</v>
      </c>
      <c r="AY292" s="225">
        <f>AP291</f>
        <v>4893.0249489356756</v>
      </c>
      <c r="BB292" s="195" t="s">
        <v>203</v>
      </c>
      <c r="BC292" s="268">
        <f>SUMIFS($E$3:$E$128:$E$178:$E$242,$Y$3:$Y$128:$Y$178:$Y$242,"=unknown", $D$3:$D$128:$D$178:$D$242, "&lt;2008")/1000</f>
        <v>0</v>
      </c>
      <c r="BD292" s="267">
        <f>BC292/SUM($BC$289:$BC$292)</f>
        <v>0</v>
      </c>
      <c r="BE292" s="268">
        <f>SUMIFS($E$3:$E$128:$E$178:$E$242,$Y$3:$Y$128:$Y$178:$Y$242,"=unknown", $D$3:$D$128:$D$178:$D$242, "&gt;=2008",$D$3:$D$128:$D$178:$D$242, "&lt;2010")/1000</f>
        <v>0</v>
      </c>
      <c r="BF292" s="267">
        <f>BE292/SUM($BE$289:$BE$292)</f>
        <v>0</v>
      </c>
      <c r="BG292" s="268">
        <f>SUMIFS($E$3:$E$128:$E$178:$E$242,$Y$3:$Y$128:$Y$178:$Y$242,"=unknown", $D$3:$D$128:$D$178:$D$242, "&gt;=2010", $D$3:$D$128:$D$178:$D$242, "&lt;2012")/1000</f>
        <v>8.2586547792872658</v>
      </c>
      <c r="BH292" s="267">
        <f>BG292/SUM($BG$289:$BG$292)</f>
        <v>1.4320416088679132E-2</v>
      </c>
      <c r="BI292" s="266">
        <f>SUMIFS($E$3:$E$128:$E$178:$E$242,$Y$3:$Y$128:$Y$178:$Y$242,"=unknown", $D$3:$D$128:$D$178:$D$242, "&gt;=2012")/1000</f>
        <v>4978.9149586402636</v>
      </c>
      <c r="BJ292" s="267">
        <f>BI292/SUM($BI$289:$BI$292)</f>
        <v>0.59405084066835379</v>
      </c>
      <c r="BK292" s="199">
        <f>BD292</f>
        <v>0</v>
      </c>
      <c r="BL292" s="143">
        <f>BF292</f>
        <v>0</v>
      </c>
      <c r="BM292" s="143">
        <f>BH292</f>
        <v>1.4320416088679132E-2</v>
      </c>
      <c r="BN292" s="144">
        <f>BJ292</f>
        <v>0.59405084066835379</v>
      </c>
      <c r="BO292" s="147">
        <f>BC292</f>
        <v>0</v>
      </c>
      <c r="BP292" s="33">
        <f>BE292</f>
        <v>0</v>
      </c>
      <c r="BQ292" s="33">
        <f>BG292</f>
        <v>8.2586547792872658</v>
      </c>
      <c r="BR292" s="148">
        <f>BI292</f>
        <v>4978.9149586402636</v>
      </c>
    </row>
    <row r="293" spans="1:70" x14ac:dyDescent="0.3">
      <c r="B293" s="11"/>
      <c r="C293" s="11"/>
      <c r="D293" t="s">
        <v>963</v>
      </c>
      <c r="E293" t="s">
        <v>960</v>
      </c>
      <c r="F293" t="s">
        <v>961</v>
      </c>
      <c r="P293" s="220" t="s">
        <v>330</v>
      </c>
      <c r="Q293" s="140">
        <f>SUMIFS($E$3:$E$128,$AC$3:$AC$128,"=thin film",$D$3:$D$128, "&lt;2008")/1000</f>
        <v>0</v>
      </c>
      <c r="R293" s="141">
        <f>Q293/$Q$287</f>
        <v>0</v>
      </c>
      <c r="S293" s="140">
        <f>SUMIFS($E$3:$E$128,$AC$3:$AC$128,"=thin film", $D$3:$D$128, "&gt;=2008",$D$3:$D$128, "&lt;2010")/1000</f>
        <v>4.8535450549158359</v>
      </c>
      <c r="T293" s="141">
        <f>S293/$S$287</f>
        <v>0.12021725263017854</v>
      </c>
      <c r="U293" s="140">
        <f>SUMIFS($E$3:$E$128,$AC$3:$AC$128,"=thin film", $D$3:$D$128, "&gt;=2010", $D$3:$D$128, "&lt;2012")/1000</f>
        <v>69.79970792886823</v>
      </c>
      <c r="V293" s="201">
        <f>U293/$U$287</f>
        <v>0.21992942457463019</v>
      </c>
      <c r="W293" s="140">
        <f>SUMIFS($E$3:$E$128,$AC$3:$AC$128,"=thin film", $D$3:$D$128, "&gt;=2012")/1000</f>
        <v>38.653909997901224</v>
      </c>
      <c r="X293" s="204">
        <f>W293/$W$287</f>
        <v>0.15481272305250945</v>
      </c>
      <c r="Y293" s="199">
        <f>R293</f>
        <v>0</v>
      </c>
      <c r="Z293" s="143">
        <f>T293</f>
        <v>0.12021725263017854</v>
      </c>
      <c r="AA293" s="143">
        <f>V293</f>
        <v>0.21992942457463019</v>
      </c>
      <c r="AB293" s="144">
        <f>X293</f>
        <v>0.15481272305250945</v>
      </c>
      <c r="AC293" s="147">
        <f>Q293</f>
        <v>0</v>
      </c>
      <c r="AD293" s="33">
        <f>S293</f>
        <v>4.8535450549158359</v>
      </c>
      <c r="AE293" s="33">
        <f>U293</f>
        <v>69.79970792886823</v>
      </c>
      <c r="AF293" s="148">
        <f>W293</f>
        <v>38.653909997901224</v>
      </c>
      <c r="AI293" s="220" t="s">
        <v>330</v>
      </c>
      <c r="AJ293" s="140"/>
      <c r="AK293" s="142"/>
      <c r="AL293" s="140">
        <f>SUMIFS($E$178:$E$242,$AC$178:$AC$242,"=thin film",$D$178:$D$242, "&gt;=2008",$D$178:$D$242, "&lt;2010")/1000</f>
        <v>0</v>
      </c>
      <c r="AM293" s="141">
        <f>AL293/$AL$287</f>
        <v>0</v>
      </c>
      <c r="AN293" s="140">
        <f>SUMIFS($E$178:$E$242,$AC$178:$AC$242,"=thin film", $D$178:$D$242, "&gt;=2010", $D$178:$D$242, "&lt;2012")/1000</f>
        <v>160.53218754794676</v>
      </c>
      <c r="AO293" s="201">
        <f>AN293/$AN$287</f>
        <v>0.60290799998753442</v>
      </c>
      <c r="AP293" s="140">
        <f>SUMIFS($E$178:$E$242,$AC$178:$AC$242,"=thin film",$D$178:$D$242, "&gt;=2012")/1000</f>
        <v>2718.0892510458475</v>
      </c>
      <c r="AQ293" s="204">
        <f>AP293/$AP$287</f>
        <v>0.33426201897891616</v>
      </c>
      <c r="AR293" s="199">
        <f>AK294</f>
        <v>0</v>
      </c>
      <c r="AS293" s="143"/>
      <c r="AT293" s="143"/>
      <c r="AU293" s="144"/>
      <c r="AV293" s="147"/>
      <c r="AW293" s="33"/>
      <c r="AX293" s="33"/>
      <c r="AY293" s="148"/>
      <c r="BB293" s="195"/>
      <c r="BC293" s="268"/>
      <c r="BD293" s="267"/>
      <c r="BE293" s="268"/>
      <c r="BF293" s="267"/>
      <c r="BG293" s="268"/>
      <c r="BH293" s="267"/>
      <c r="BI293" s="266"/>
      <c r="BJ293" s="267"/>
      <c r="BK293" s="199"/>
      <c r="BL293" s="143"/>
      <c r="BM293" s="143"/>
      <c r="BN293" s="144"/>
      <c r="BO293" s="147"/>
      <c r="BP293" s="33"/>
      <c r="BQ293" s="33"/>
      <c r="BR293" s="148"/>
    </row>
    <row r="294" spans="1:70" x14ac:dyDescent="0.3">
      <c r="P294" s="220" t="s">
        <v>399</v>
      </c>
      <c r="Q294" s="140">
        <f>SUMIFS($E$3:$E$128,$AC$3:$AC$128,"=poly",$D$3:$D$128, "&lt;2008")/1000</f>
        <v>7.134308544821109</v>
      </c>
      <c r="R294" s="141">
        <f>Q294/$Q$287</f>
        <v>0.17616069965598652</v>
      </c>
      <c r="S294" s="140">
        <f>SUMIFS($E$3:$E$128,$AC$3:$AC$128,"=poly", $D$3:$D$128, "&gt;=2008",$D$3:$D$128, "&lt;2010")/1000</f>
        <v>3.7053744171337413</v>
      </c>
      <c r="T294" s="141">
        <f>S294/$S$287</f>
        <v>9.1778262559405036E-2</v>
      </c>
      <c r="U294" s="140">
        <f>SUMIFS($E$3:$E$128,$AC$3:$AC$128,"=poly", $D$3:$D$128, "&gt;=2010", $D$3:$D$128, "&lt;2012")/1000</f>
        <v>82.527346946376895</v>
      </c>
      <c r="V294" s="201">
        <f>U294/$U$287</f>
        <v>0.26003249102537945</v>
      </c>
      <c r="W294" s="140">
        <f>SUMIFS($E$3:$E$128,$AC$3:$AC$128,"=poly", $D$3:$D$128, "&gt;=2012")/1000</f>
        <v>30.906099844136886</v>
      </c>
      <c r="X294" s="204">
        <f>W294/$W$287</f>
        <v>0.12378197900453951</v>
      </c>
      <c r="Y294" s="199">
        <f>R294</f>
        <v>0.17616069965598652</v>
      </c>
      <c r="Z294" s="143">
        <f>T294</f>
        <v>9.1778262559405036E-2</v>
      </c>
      <c r="AA294" s="143">
        <f>V294</f>
        <v>0.26003249102537945</v>
      </c>
      <c r="AB294" s="144">
        <f>X294</f>
        <v>0.12378197900453951</v>
      </c>
      <c r="AC294" s="147">
        <f>Q294</f>
        <v>7.134308544821109</v>
      </c>
      <c r="AD294" s="33">
        <f>S294</f>
        <v>3.7053744171337413</v>
      </c>
      <c r="AE294" s="33">
        <f>U294</f>
        <v>82.527346946376895</v>
      </c>
      <c r="AF294" s="148">
        <f>W294</f>
        <v>30.906099844136886</v>
      </c>
      <c r="AI294" s="220" t="s">
        <v>399</v>
      </c>
      <c r="AJ294" s="140">
        <f>SUMIFS($E$178:$E$242,$AC$178:$AC$242,"=thin film",$D$178:$D$242, "&lt;2008")/1000</f>
        <v>0</v>
      </c>
      <c r="AK294" s="141">
        <v>0</v>
      </c>
      <c r="AL294" s="140">
        <f>SUMIFS($E$178:$E$242,$AC$178:$AC$242,"=poly", $D$178:$D$242, "&gt;=2008",$D$178:$D$242, "&lt;2010")/1000</f>
        <v>0</v>
      </c>
      <c r="AM294" s="141">
        <f>AL294/$AL$287</f>
        <v>0</v>
      </c>
      <c r="AN294" s="140">
        <f>SUMIFS($E$178:$E$242,$AC$178:$AC$242,"=poly", $D$178:$D$242, "&gt;=2010",$D$178:$D$242, "&lt;2012")/1000</f>
        <v>50</v>
      </c>
      <c r="AO294" s="201">
        <f>AN294/$AN$287</f>
        <v>0.18778414758954853</v>
      </c>
      <c r="AP294" s="140">
        <f>SUMIFS($E$178:$E$242,$AC$178:$AC$242,"=poly", $D$178:$D$242, "&gt;=2012")/1000</f>
        <v>223</v>
      </c>
      <c r="AQ294" s="204">
        <f>AP294/$AP$287</f>
        <v>2.7423834667539761E-2</v>
      </c>
      <c r="AR294" s="199">
        <f>AK295</f>
        <v>0</v>
      </c>
      <c r="AS294" s="143">
        <f>AM293</f>
        <v>0</v>
      </c>
      <c r="AT294" s="143">
        <f>AO293</f>
        <v>0.60290799998753442</v>
      </c>
      <c r="AU294" s="144">
        <f>AQ293</f>
        <v>0.33426201897891616</v>
      </c>
      <c r="AV294" s="147">
        <f>AJ294</f>
        <v>0</v>
      </c>
      <c r="AW294" s="33">
        <f>AL293</f>
        <v>0</v>
      </c>
      <c r="AX294" s="33">
        <f>AN293</f>
        <v>160.53218754794676</v>
      </c>
      <c r="AY294" s="148">
        <f>AP293</f>
        <v>2718.0892510458475</v>
      </c>
      <c r="BK294" s="199">
        <f>BD301</f>
        <v>0</v>
      </c>
      <c r="BL294" s="143">
        <f>BF301</f>
        <v>5.6192774951836909E-2</v>
      </c>
      <c r="BM294" s="143">
        <f>BH301</f>
        <v>0.39464966130083717</v>
      </c>
      <c r="BN294" s="144">
        <f>BJ301</f>
        <v>0.32891616063513018</v>
      </c>
      <c r="BO294" s="147">
        <f>BC301</f>
        <v>0</v>
      </c>
      <c r="BP294" s="33">
        <f>BE301</f>
        <v>4.8535450549158359</v>
      </c>
      <c r="BQ294" s="33">
        <f>BG301</f>
        <v>230.33189547681496</v>
      </c>
      <c r="BR294" s="148">
        <f>BI301</f>
        <v>2756.7431610437484</v>
      </c>
    </row>
    <row r="295" spans="1:70" x14ac:dyDescent="0.3">
      <c r="D295">
        <f>D274+D280+D158+D152+CSP!C62+CSP!C56</f>
        <v>213</v>
      </c>
      <c r="E295" s="260">
        <f>E274+E280+E158+E152+CSP!$D$62+CSP!$D$56</f>
        <v>12785.802707885801</v>
      </c>
      <c r="F295" s="260">
        <f>F274+F280+F158+F152+CSP!$D$62+CSP!$D$56</f>
        <v>14376.910082328533</v>
      </c>
      <c r="P295" s="220" t="s">
        <v>391</v>
      </c>
      <c r="Q295" s="140">
        <f>SUMIFS($E$3:$E$128,$AC$3:$AC$128,"=mono",$D$3:$D$128, "&lt;2008")/1000</f>
        <v>0.88290979444545314</v>
      </c>
      <c r="R295" s="141">
        <f>Q295/$Q$287</f>
        <v>2.1800852338456612E-2</v>
      </c>
      <c r="S295" s="140">
        <f>SUMIFS($E$3:$E$128,$AC$3:$AC$128,"=mono", $D$3:$D$128, "&gt;=2008",$D$3:$D$128, "&lt;2010")/1000</f>
        <v>8.0187059512543097</v>
      </c>
      <c r="T295" s="141">
        <f>S295/$S$287</f>
        <v>0.19861498929173363</v>
      </c>
      <c r="U295" s="140">
        <f>SUMIFS($E$3:$E$128,$AC$3:$AC$128,"=mono", $D$3:$D$128, "&gt;=2010", $D$3:$D$128, "&lt;2012")/1000</f>
        <v>18.596392052719203</v>
      </c>
      <c r="V295" s="201">
        <f>U295/$U$287</f>
        <v>5.8594712279981254E-2</v>
      </c>
      <c r="W295" s="140">
        <f>SUMIFS($E$3:$E$128,$AC$3:$AC$128,"=mono", $D$3:$D$128, "&gt;=2012")/1000</f>
        <v>49.656954861500076</v>
      </c>
      <c r="X295" s="204">
        <f>W295/$W$287</f>
        <v>0.19888100326776206</v>
      </c>
      <c r="Y295" s="199">
        <f>R295</f>
        <v>2.1800852338456612E-2</v>
      </c>
      <c r="Z295" s="143">
        <f>T295</f>
        <v>0.19861498929173363</v>
      </c>
      <c r="AA295" s="143">
        <f>V295</f>
        <v>5.8594712279981254E-2</v>
      </c>
      <c r="AB295" s="144">
        <f>X295</f>
        <v>0.19888100326776206</v>
      </c>
      <c r="AC295" s="147">
        <f>Q295</f>
        <v>0.88290979444545314</v>
      </c>
      <c r="AD295" s="33">
        <f>S295</f>
        <v>8.0187059512543097</v>
      </c>
      <c r="AE295" s="33">
        <f>U295</f>
        <v>18.596392052719203</v>
      </c>
      <c r="AF295" s="148">
        <f>W295</f>
        <v>49.656954861500076</v>
      </c>
      <c r="AI295" s="220" t="s">
        <v>391</v>
      </c>
      <c r="AJ295" s="140">
        <f>SUMIFS($E$178:$E$242,$AC$178:$AC$242,"=poly",$D$178:$D$242, "&lt;2008")/1000</f>
        <v>0</v>
      </c>
      <c r="AK295" s="141">
        <v>0</v>
      </c>
      <c r="AL295" s="140">
        <f>SUMIFS($E$178:$E$242,$AC$178:$AC$242,"=mono", $D$178:$D$242, "&gt;=2008",$D$178:$D$242, "&lt;2010")/1000</f>
        <v>25</v>
      </c>
      <c r="AM295" s="141">
        <f>AL295/$AL$287</f>
        <v>0.54347826086956519</v>
      </c>
      <c r="AN295" s="140">
        <f>SUMIFS($E$178:$E$242,$AC$178:$AC$242,"=mono", $D$178:$D$242, "&gt;=2010", $D$178:$D$242, "&lt;2012")/1000</f>
        <v>37</v>
      </c>
      <c r="AO295" s="201">
        <f>AN295/$AN$287</f>
        <v>0.13896026921626592</v>
      </c>
      <c r="AP295" s="140">
        <f>SUMIFS($E$178:$E$242,$AC$178:$AC$242,"=mono", $D$178:$D$242, "&gt;=2012")/1000</f>
        <v>283.6956189330233</v>
      </c>
      <c r="AQ295" s="204">
        <f>AP295/$AP$287</f>
        <v>3.4887989908182038E-2</v>
      </c>
      <c r="AR295" s="199">
        <f>AK296</f>
        <v>0</v>
      </c>
      <c r="AS295" s="143">
        <f>AM294</f>
        <v>0</v>
      </c>
      <c r="AT295" s="143">
        <f>AO294</f>
        <v>0.18778414758954853</v>
      </c>
      <c r="AU295" s="144">
        <f>AQ294</f>
        <v>2.7423834667539761E-2</v>
      </c>
      <c r="AV295" s="147">
        <f>AJ295</f>
        <v>0</v>
      </c>
      <c r="AW295" s="33">
        <f>AL294</f>
        <v>0</v>
      </c>
      <c r="AX295" s="33">
        <f>AN294</f>
        <v>50</v>
      </c>
      <c r="AY295" s="148">
        <f>AP294</f>
        <v>223</v>
      </c>
      <c r="BK295" s="199">
        <f>BD302</f>
        <v>0.16837055747324672</v>
      </c>
      <c r="BL295" s="143">
        <f>BF302</f>
        <v>4.2899626639584333E-2</v>
      </c>
      <c r="BM295" s="143">
        <f>BH302</f>
        <v>0.22707177604393416</v>
      </c>
      <c r="BN295" s="144">
        <f>BJ302</f>
        <v>3.0294378055500039E-2</v>
      </c>
      <c r="BO295" s="147">
        <f>BC302</f>
        <v>7.134308544821109</v>
      </c>
      <c r="BP295" s="33">
        <f>BE302</f>
        <v>3.7053744171337413</v>
      </c>
      <c r="BQ295" s="33">
        <f>BG302</f>
        <v>132.52734694637689</v>
      </c>
      <c r="BR295" s="148">
        <f>BI302</f>
        <v>253.90609984413689</v>
      </c>
    </row>
    <row r="296" spans="1:70" x14ac:dyDescent="0.3">
      <c r="P296" s="221" t="s">
        <v>203</v>
      </c>
      <c r="Q296" s="140">
        <f>SUMIFS($E$3:$E$128,$AC$3:$AC$128,"=",$D$3:$D$128, "&lt;2008")/1000</f>
        <v>27.008651169633282</v>
      </c>
      <c r="R296" s="141">
        <f>Q296/$Q$287</f>
        <v>0.66689895130213772</v>
      </c>
      <c r="S296" s="140">
        <f>SUMIFS($E$3:$E$128,$AC$3:$AC$128,"=", $D$3:$D$128, "&gt;=2008",$D$3:$D$128, "&lt;2010")/1000</f>
        <v>19.328936321128239</v>
      </c>
      <c r="T296" s="141">
        <f>S296/$S$287</f>
        <v>0.47875760799546169</v>
      </c>
      <c r="U296" s="140">
        <f>SUMIFS($E$3:$E$128,$AC$3:$AC$128,"=", $D$3:$D$128, "&gt;=2010", $D$3:$D$128, "&lt;2012")/1000</f>
        <v>135.21360783460031</v>
      </c>
      <c r="V296" s="201">
        <f>U296/$U$287</f>
        <v>0.42603976217247669</v>
      </c>
      <c r="W296" s="140">
        <f>SUMIFS($E$3:$E$128,$AC$3:$AC$128,"=",$D$3:$D$128, "&gt;=2012")/1000</f>
        <v>130.46477485730253</v>
      </c>
      <c r="X296" s="204">
        <f>W296/$W$287</f>
        <v>0.52252429467518902</v>
      </c>
      <c r="Y296" s="199">
        <f>R296</f>
        <v>0.66689895130213772</v>
      </c>
      <c r="Z296" s="143">
        <f>T296</f>
        <v>0.47875760799546169</v>
      </c>
      <c r="AA296" s="143">
        <f>V296</f>
        <v>0.42603976217247669</v>
      </c>
      <c r="AB296" s="144">
        <f>X296</f>
        <v>0.52252429467518902</v>
      </c>
      <c r="AC296" s="147">
        <f>Q296</f>
        <v>27.008651169633282</v>
      </c>
      <c r="AD296" s="33">
        <f>S296</f>
        <v>19.328936321128239</v>
      </c>
      <c r="AE296" s="33">
        <f>U296</f>
        <v>135.21360783460031</v>
      </c>
      <c r="AF296" s="148">
        <f>W296</f>
        <v>130.46477485730253</v>
      </c>
      <c r="AI296" s="221" t="s">
        <v>203</v>
      </c>
      <c r="AJ296" s="140">
        <f>SUMIFS($E$178:$E$242,$AC$178:$AC$242,"=mono",$D$178:$D$242, "&lt;2008")/1000</f>
        <v>0</v>
      </c>
      <c r="AK296" s="141">
        <v>0</v>
      </c>
      <c r="AL296" s="140">
        <f>SUMIFS($E$178:$E$242,$AC$178:$AC$242,"=", $D$178:$D$242, "&gt;=2008",$D$178:$D$242, "&lt;2010")/1000</f>
        <v>21</v>
      </c>
      <c r="AM296" s="141">
        <f>AL296/$AL$287</f>
        <v>0.45652173913043476</v>
      </c>
      <c r="AN296" s="140">
        <f>SUMIFS($E$178:$E$242,$AC$178:$AC$242,"=", $D$178:$D$242, "&gt;=2010", $D$178:$D$242, "&lt;2012")/1000</f>
        <v>18.730969602507205</v>
      </c>
      <c r="AO296" s="201">
        <f>AN296/$AN$287</f>
        <v>7.0347583206651215E-2</v>
      </c>
      <c r="AP296" s="140">
        <f>SUMIFS($E$178:$E$242,$AC$178:$AC$242,"=",$D$178:$D$242, "&gt;=2012")/1000</f>
        <v>4748.3965910382894</v>
      </c>
      <c r="AQ296" s="204">
        <f>AP296/$AP$287</f>
        <v>0.58394279393965676</v>
      </c>
      <c r="AR296" s="199">
        <f>AK297</f>
        <v>0</v>
      </c>
      <c r="AS296" s="143">
        <f>AM295</f>
        <v>0.54347826086956519</v>
      </c>
      <c r="AT296" s="143">
        <f>AO295</f>
        <v>0.13896026921626592</v>
      </c>
      <c r="AU296" s="144">
        <f>AQ295</f>
        <v>3.4887989908182038E-2</v>
      </c>
      <c r="AV296" s="147">
        <f>AJ296</f>
        <v>0</v>
      </c>
      <c r="AW296" s="33">
        <f>AL295</f>
        <v>25</v>
      </c>
      <c r="AX296" s="33">
        <f>AN295</f>
        <v>37</v>
      </c>
      <c r="AY296" s="148">
        <f>AP295</f>
        <v>283.6956189330233</v>
      </c>
      <c r="BK296" s="199">
        <f>BD303</f>
        <v>2.0836779535878362E-2</v>
      </c>
      <c r="BL296" s="143">
        <f>BF303</f>
        <v>0.38227989886289115</v>
      </c>
      <c r="BM296" s="143">
        <f>BH303</f>
        <v>9.5258614738238739E-2</v>
      </c>
      <c r="BN296" s="144">
        <f>BJ303</f>
        <v>3.9773400097533974E-2</v>
      </c>
      <c r="BO296" s="147">
        <f>BC303</f>
        <v>0.88290979444545314</v>
      </c>
      <c r="BP296" s="33">
        <f>BE303</f>
        <v>33.018705951254304</v>
      </c>
      <c r="BQ296" s="33">
        <f>BG303</f>
        <v>55.596392052719203</v>
      </c>
      <c r="BR296" s="148">
        <f>BI303</f>
        <v>333.35257379452338</v>
      </c>
    </row>
    <row r="297" spans="1:70" ht="15" thickBot="1" x14ac:dyDescent="0.35">
      <c r="P297" s="222" t="s">
        <v>604</v>
      </c>
      <c r="Q297" s="207">
        <f>Q287-SUM(Q293:Q296)</f>
        <v>5.4729963491108506</v>
      </c>
      <c r="R297" s="208">
        <f>Q297/$Q$287</f>
        <v>0.13513949670341915</v>
      </c>
      <c r="S297" s="207">
        <f>S287-SUM(S293:S296)</f>
        <v>4.4665540000000021</v>
      </c>
      <c r="T297" s="208">
        <f>S297/$S$287</f>
        <v>0.1106318875232211</v>
      </c>
      <c r="U297" s="207">
        <f>U287-SUM(U293:U296)</f>
        <v>11.236157411609952</v>
      </c>
      <c r="V297" s="209">
        <f>U297/$U$287</f>
        <v>3.5403609947532506E-2</v>
      </c>
      <c r="W297" s="207">
        <f>W287-SUM(W293:W296)</f>
        <v>0</v>
      </c>
      <c r="X297" s="210">
        <f>W297/$W$287</f>
        <v>0</v>
      </c>
      <c r="Y297" s="200">
        <f>R297</f>
        <v>0.13513949670341915</v>
      </c>
      <c r="Z297" s="145">
        <f>T297</f>
        <v>0.1106318875232211</v>
      </c>
      <c r="AA297" s="145">
        <f>V297</f>
        <v>3.5403609947532506E-2</v>
      </c>
      <c r="AB297" s="146">
        <f>X297</f>
        <v>0</v>
      </c>
      <c r="AC297" s="149">
        <f>Q297</f>
        <v>5.4729963491108506</v>
      </c>
      <c r="AD297" s="150">
        <f>S297</f>
        <v>4.4665540000000021</v>
      </c>
      <c r="AE297" s="150">
        <f>U297</f>
        <v>11.236157411609952</v>
      </c>
      <c r="AF297" s="151">
        <f>W297</f>
        <v>0</v>
      </c>
      <c r="AI297" s="222" t="s">
        <v>604</v>
      </c>
      <c r="AJ297" s="140">
        <f>SUMIFS($E$178:$E$242,$AC$178:$AC$242,"=",$D$178:$D$242, "&lt;2008")/1000</f>
        <v>0</v>
      </c>
      <c r="AK297" s="141">
        <v>0</v>
      </c>
      <c r="AL297" s="207">
        <f>AL287-SUM(AL293:AL296)</f>
        <v>0</v>
      </c>
      <c r="AM297" s="208">
        <f>AL297/$AL$287</f>
        <v>0</v>
      </c>
      <c r="AN297" s="207">
        <f>AN287-SUM(AN293:AN296)</f>
        <v>0</v>
      </c>
      <c r="AO297" s="209">
        <f>AN297/$AN$287</f>
        <v>0</v>
      </c>
      <c r="AP297" s="207">
        <f>AP287-SUM(AP293:AP296)</f>
        <v>158.43115638072959</v>
      </c>
      <c r="AQ297" s="210">
        <f>AP297/$AP$287</f>
        <v>1.9483362505705225E-2</v>
      </c>
      <c r="AR297" s="200">
        <f>AK298</f>
        <v>0</v>
      </c>
      <c r="AS297" s="143">
        <f>AM296</f>
        <v>0.45652173913043476</v>
      </c>
      <c r="AT297" s="143">
        <f>AO296</f>
        <v>7.0347583206651215E-2</v>
      </c>
      <c r="AU297" s="144">
        <f>AQ296</f>
        <v>0.58394279393965676</v>
      </c>
      <c r="AV297" s="147">
        <f>AJ297</f>
        <v>0</v>
      </c>
      <c r="AW297" s="33">
        <f>AL296</f>
        <v>21</v>
      </c>
      <c r="AX297" s="33">
        <f>AN296</f>
        <v>18.730969602507205</v>
      </c>
      <c r="AY297" s="148">
        <f>AP296</f>
        <v>4748.3965910382894</v>
      </c>
      <c r="BK297" s="199">
        <f>BD304</f>
        <v>0.68162927728088052</v>
      </c>
      <c r="BL297" s="143">
        <f>BF304</f>
        <v>0.46691538187017373</v>
      </c>
      <c r="BM297" s="143">
        <f>BH304</f>
        <v>0.26376796500061994</v>
      </c>
      <c r="BN297" s="144">
        <f>BJ304</f>
        <v>0.58211311500410712</v>
      </c>
      <c r="BO297" s="147">
        <f>BC304</f>
        <v>28.882446255949016</v>
      </c>
      <c r="BP297" s="33">
        <f>BE304</f>
        <v>40.328936321128239</v>
      </c>
      <c r="BQ297" s="33">
        <f>BG304</f>
        <v>153.94457743710751</v>
      </c>
      <c r="BR297" s="148">
        <f>BI304</f>
        <v>4878.8613658955919</v>
      </c>
    </row>
    <row r="298" spans="1:70" ht="15" thickBot="1" x14ac:dyDescent="0.35">
      <c r="AJ298" s="207">
        <f>AJ288-SUM(AJ294:AJ297)</f>
        <v>0</v>
      </c>
      <c r="AK298" s="208">
        <v>0</v>
      </c>
      <c r="AS298" s="145">
        <f>AM297</f>
        <v>0</v>
      </c>
      <c r="AT298" s="145">
        <f>AO297</f>
        <v>0</v>
      </c>
      <c r="AU298" s="146">
        <f>AQ297</f>
        <v>1.9483362505705225E-2</v>
      </c>
      <c r="AV298" s="149">
        <f>AJ298</f>
        <v>0</v>
      </c>
      <c r="AW298" s="150">
        <f>AL297</f>
        <v>0</v>
      </c>
      <c r="AX298" s="150">
        <f>AN297</f>
        <v>0</v>
      </c>
      <c r="AY298" s="151">
        <f>AP297</f>
        <v>158.43115638072959</v>
      </c>
      <c r="BK298" s="200">
        <f>BD305</f>
        <v>0.12916338570999425</v>
      </c>
      <c r="BL298" s="145">
        <f>BF305</f>
        <v>5.1712317675513861E-2</v>
      </c>
      <c r="BM298" s="145">
        <f>BH305</f>
        <v>1.9251982916369988E-2</v>
      </c>
      <c r="BN298" s="146">
        <f>BJ305</f>
        <v>1.8902946207728748E-2</v>
      </c>
      <c r="BO298" s="149">
        <f>BC305</f>
        <v>5.4729963491108435</v>
      </c>
      <c r="BP298" s="150">
        <f>BE305</f>
        <v>4.4665540000000021</v>
      </c>
      <c r="BQ298" s="150">
        <f>BG305</f>
        <v>11.236157411609952</v>
      </c>
      <c r="BR298" s="151">
        <f>BI305</f>
        <v>158.43115638073141</v>
      </c>
    </row>
    <row r="299" spans="1:70" x14ac:dyDescent="0.3">
      <c r="BB299" s="195"/>
      <c r="BC299" s="195" t="s">
        <v>768</v>
      </c>
      <c r="BD299" s="195"/>
      <c r="BE299" s="195" t="s">
        <v>771</v>
      </c>
      <c r="BF299" s="195"/>
      <c r="BG299" s="195" t="s">
        <v>772</v>
      </c>
      <c r="BH299" s="195"/>
      <c r="BI299" s="195" t="s">
        <v>773</v>
      </c>
      <c r="BJ299" s="195"/>
    </row>
    <row r="300" spans="1:70" x14ac:dyDescent="0.3">
      <c r="E300" t="s">
        <v>749</v>
      </c>
      <c r="BB300" s="195" t="s">
        <v>212</v>
      </c>
      <c r="BC300" s="268">
        <f>SUMIF($D$3:$D$128:$D$178:$D$242, "&lt;2008",$E$3:$E$128:$E$178:$E$242)/1000</f>
        <v>42.372660944326427</v>
      </c>
      <c r="BD300" s="267">
        <f>BC300/$A$291</f>
        <v>4.6605345832652495E-3</v>
      </c>
      <c r="BE300" s="268">
        <f>SUMIFS($E$3:$E$128:$E$178:$E$242,$D$3:$D$128:$D$178:$D$242, "&gt;=2008",$D$3:$D$128:$D$178:$D$242, "&lt;2010")/1000</f>
        <v>86.373115744432127</v>
      </c>
      <c r="BF300" s="267">
        <f>BE300/$A$291</f>
        <v>9.5001088914430723E-3</v>
      </c>
      <c r="BG300" s="268">
        <f>SUMIFS($E$3:$E$128:$E$178:$E$242,$D$3:$D$128:$D$178:$D$242, "&gt;=2010", $D$3:$D$128:$D$178:$D$242, "&lt;2012")/1000</f>
        <v>583.6363693246285</v>
      </c>
      <c r="BH300" s="267">
        <f>BG300/$A$291</f>
        <v>6.4193690522827751E-2</v>
      </c>
      <c r="BI300" s="266">
        <f>SUMIFS($E$3:$E$128:$E$178:$E$242,$D$3:$D$128:$D$178:$D$242, "&gt;=2012")/1000</f>
        <v>8381.2943569587314</v>
      </c>
      <c r="BJ300" s="267">
        <f>BI300/$A$291</f>
        <v>0.9218517632030433</v>
      </c>
    </row>
    <row r="301" spans="1:70" x14ac:dyDescent="0.3">
      <c r="BB301" s="195" t="s">
        <v>330</v>
      </c>
      <c r="BC301" s="268">
        <f>SUMIFS($E$3:$E$128:$E$178:$E$242,$AC$3:$AC$128:$AC$178:$AC$242,"=thin film",$D$3:$D$128:$D$178:$D$242, "&lt;2008")/1000</f>
        <v>0</v>
      </c>
      <c r="BD301" s="267">
        <f>BC301/$BC$288</f>
        <v>0</v>
      </c>
      <c r="BE301" s="268">
        <f>SUMIFS($E$3:$E$128:$E$178:$E$242,$AC$3:$AC$128:$AC$178:$AC$242,"=thin film", $D$3:$D$128:$D$178:$D$242, "&gt;=2008",$D$3:$D$128:$D$178:$D$242, "&lt;2010")/1000</f>
        <v>4.8535450549158359</v>
      </c>
      <c r="BF301" s="267">
        <f>BE301/$BE$288</f>
        <v>5.6192774951836909E-2</v>
      </c>
      <c r="BG301" s="268">
        <f>SUMIFS($E$3:$E$128:$E$178:$E$242,$AC$3:$AC$128:$AC$178:$AC$242,"=thin film", $D$3:$D$128:$D$178:$D$242, "&gt;=2010", $D$3:$D$128:$D$178:$D$242, "&lt;2012")/1000</f>
        <v>230.33189547681496</v>
      </c>
      <c r="BH301" s="267">
        <f>BG301/$BG$288</f>
        <v>0.39464966130083717</v>
      </c>
      <c r="BI301" s="266">
        <f>SUMIFS($E$3:$E$128:$E$178:$E$242,$AC$3:$AC$128:$AC$178:$AC$242,"=thin film", $D$3:$D$128:$D$178:$D$242, "&gt;=2012")/1000</f>
        <v>2756.7431610437484</v>
      </c>
      <c r="BJ301" s="267">
        <f>BI301/$BI$288</f>
        <v>0.32891616063513018</v>
      </c>
    </row>
    <row r="302" spans="1:70" x14ac:dyDescent="0.3">
      <c r="BB302" s="195" t="s">
        <v>399</v>
      </c>
      <c r="BC302" s="268">
        <f>SUMIFS($E$3:$E$128:$E$178:$E$242,$AC$3:$AC$128:$AC$178:$AC$242,"=poly",$D$3:$D$128:$D$178:$D$242, "&lt;2008")/1000</f>
        <v>7.134308544821109</v>
      </c>
      <c r="BD302" s="267">
        <f>BC302/$BC$288</f>
        <v>0.16837055747324672</v>
      </c>
      <c r="BE302" s="268">
        <f>SUMIFS($E$3:$E$128:$E$178:$E$242,$AC$3:$AC$128:$AC$178:$AC$242,"=poly", $D$3:$D$128:$D$178:$D$242, "&gt;=2008",$D$3:$D$128:$D$178:$D$242, "&lt;2010")/1000</f>
        <v>3.7053744171337413</v>
      </c>
      <c r="BF302" s="267">
        <f>BE302/$BE$288</f>
        <v>4.2899626639584333E-2</v>
      </c>
      <c r="BG302" s="268">
        <f>SUMIFS($E$3:$E$128:$E$178:$E$242,$AC$3:$AC$128:$AC$178:$AC$242,"=poly", $D$3:$D$128:$D$178:$D$242, "&gt;=2010", $D$3:$D$128:$D$178:$D$242, "&lt;2012")/1000</f>
        <v>132.52734694637689</v>
      </c>
      <c r="BH302" s="267">
        <f>BG302/$BG$288</f>
        <v>0.22707177604393416</v>
      </c>
      <c r="BI302" s="266">
        <f>SUMIFS($E$3:$E$128:$E$178:$E$242,$AC$3:$AC$128:$AC$178:$AC$242,"=poly", $D$3:$D$128:$D$178:$D$242, "&gt;=2012")/1000</f>
        <v>253.90609984413689</v>
      </c>
      <c r="BJ302" s="267">
        <f>BI302/$BI$288</f>
        <v>3.0294378055500039E-2</v>
      </c>
    </row>
    <row r="303" spans="1:70" x14ac:dyDescent="0.3">
      <c r="BB303" s="195" t="s">
        <v>391</v>
      </c>
      <c r="BC303" s="268">
        <f>SUMIFS($E$3:$E$128:$E$178:$E$242,$AC$3:$AC$128:$AC$178:$AC$242,"=mono",$D$3:$D$128:$D$178:$D$242, "&lt;2008")/1000</f>
        <v>0.88290979444545314</v>
      </c>
      <c r="BD303" s="267">
        <f>BC303/$BC$288</f>
        <v>2.0836779535878362E-2</v>
      </c>
      <c r="BE303" s="268">
        <f>SUMIFS($E$3:$E$128:$E$178:$E$242,$AC$3:$AC$128:$AC$178:$AC$242,"=mono", $D$3:$D$128:$D$178:$D$242, "&gt;=2008",$D$3:$D$128:$D$178:$D$242, "&lt;2010")/1000</f>
        <v>33.018705951254304</v>
      </c>
      <c r="BF303" s="267">
        <f>BE303/$BE$288</f>
        <v>0.38227989886289115</v>
      </c>
      <c r="BG303" s="268">
        <f>SUMIFS($E$3:$E$128:$E$178:$E$242,$AC$3:$AC$128:$AC$178:$AC$242,"=mono", $D$3:$D$128:$D$178:$D$242, "&gt;=2010", $D$3:$D$128:$D$178:$D$242, "&lt;2012")/1000</f>
        <v>55.596392052719203</v>
      </c>
      <c r="BH303" s="267">
        <f>BG303/$BG$288</f>
        <v>9.5258614738238739E-2</v>
      </c>
      <c r="BI303" s="266">
        <f>SUMIFS($E$3:$E$128:$E$178:$E$242,$AC$3:$AC$128:$AC$178:$AC$242,"=mono", $D$3:$D$128:$D$178:$D$242, "&gt;=2012")/1000</f>
        <v>333.35257379452338</v>
      </c>
      <c r="BJ303" s="267">
        <f>BI303/$BI$288</f>
        <v>3.9773400097533974E-2</v>
      </c>
    </row>
    <row r="304" spans="1:70" x14ac:dyDescent="0.3">
      <c r="BB304" s="269" t="s">
        <v>203</v>
      </c>
      <c r="BC304" s="268">
        <f>SUMIFS($E$3:$E$128:$E$178:$E$242,$AC$3:$AC$128:$AC$178:$AC$242,"=",$D$3:$D$128:$D$178:$D$242, "&lt;2008")/1000</f>
        <v>28.882446255949016</v>
      </c>
      <c r="BD304" s="267">
        <f>BC304/$BC$288</f>
        <v>0.68162927728088052</v>
      </c>
      <c r="BE304" s="268">
        <f>SUMIFS($E$3:$E$128:$E$178:$E$242,$AC$3:$AC$128:$AC$178:$AC$242,"=", $D$3:$D$128:$D$178:$D$242, "&gt;=2008",$D$3:$D$128:$D$178:$D$242, "&lt;2010")/1000</f>
        <v>40.328936321128239</v>
      </c>
      <c r="BF304" s="267">
        <f>BE304/$BE$288</f>
        <v>0.46691538187017373</v>
      </c>
      <c r="BG304" s="268">
        <f>SUMIFS($E$3:$E$128:$E$178:$E$242,$AC$3:$AC$128:$AC$178:$AC$242,"=", $D$3:$D$128:$D$178:$D$242, "&gt;=2010", $D$3:$D$128:$D$178:$D$242, "&lt;2012")/1000</f>
        <v>153.94457743710751</v>
      </c>
      <c r="BH304" s="267">
        <f>BG304/$BG$288</f>
        <v>0.26376796500061994</v>
      </c>
      <c r="BI304" s="266">
        <f>SUMIFS($E$3:$E$128:$E$178:$E$242,$AC$3:$AC$128:$AC$178:$AC$242,"=",$D$3:$D$128:$D$178:$D$242, "&gt;=2012")/1000</f>
        <v>4878.8613658955919</v>
      </c>
      <c r="BJ304" s="267">
        <f>BI304/$BI$288</f>
        <v>0.58211311500410712</v>
      </c>
    </row>
    <row r="305" spans="3:62" x14ac:dyDescent="0.3">
      <c r="BB305" s="269" t="s">
        <v>604</v>
      </c>
      <c r="BC305" s="268">
        <f>BC288-SUM(BC301:BC304)</f>
        <v>5.4729963491108435</v>
      </c>
      <c r="BD305" s="267">
        <f>BC305/$BC$288</f>
        <v>0.12916338570999425</v>
      </c>
      <c r="BE305" s="268">
        <f>BE288-SUM(BE301:BE304)</f>
        <v>4.4665540000000021</v>
      </c>
      <c r="BF305" s="267">
        <f>BE305/$BE$288</f>
        <v>5.1712317675513861E-2</v>
      </c>
      <c r="BG305" s="268">
        <f>BG288-SUM(BG301:BG304)</f>
        <v>11.236157411609952</v>
      </c>
      <c r="BH305" s="267">
        <f>BG305/$BG$288</f>
        <v>1.9251982916369988E-2</v>
      </c>
      <c r="BI305" s="266">
        <f>BI288-SUM(BI301:BI304)</f>
        <v>158.43115638073141</v>
      </c>
      <c r="BJ305" s="267">
        <f>BI305/$BI$288</f>
        <v>1.8902946207728748E-2</v>
      </c>
    </row>
    <row r="309" spans="3:62" x14ac:dyDescent="0.3">
      <c r="AF309" s="11"/>
    </row>
    <row r="310" spans="3:62" x14ac:dyDescent="0.3">
      <c r="I310" s="1"/>
      <c r="J310" s="1"/>
    </row>
    <row r="311" spans="3:62" x14ac:dyDescent="0.3">
      <c r="C311" t="s">
        <v>138</v>
      </c>
    </row>
    <row r="312" spans="3:62" x14ac:dyDescent="0.3">
      <c r="C312" t="s">
        <v>242</v>
      </c>
    </row>
    <row r="313" spans="3:62" x14ac:dyDescent="0.3">
      <c r="C313" t="s">
        <v>243</v>
      </c>
    </row>
    <row r="314" spans="3:62" x14ac:dyDescent="0.3">
      <c r="C314" t="s">
        <v>732</v>
      </c>
    </row>
    <row r="378" spans="5:5" x14ac:dyDescent="0.3">
      <c r="E378" t="s">
        <v>296</v>
      </c>
    </row>
    <row r="441" spans="2:2" x14ac:dyDescent="0.3">
      <c r="B441" t="s">
        <v>778</v>
      </c>
    </row>
    <row r="465" spans="1:35" x14ac:dyDescent="0.3">
      <c r="A465" s="260" t="s">
        <v>1104</v>
      </c>
    </row>
    <row r="466" spans="1:35" x14ac:dyDescent="0.3">
      <c r="A466" s="69" t="s">
        <v>26</v>
      </c>
      <c r="B466" s="11" t="s">
        <v>103</v>
      </c>
      <c r="C466" s="11"/>
      <c r="D466" s="260">
        <v>2013</v>
      </c>
      <c r="E466" s="18">
        <f>F466*$F$289</f>
        <v>38313.346914219277</v>
      </c>
      <c r="F466" s="18">
        <v>45000</v>
      </c>
      <c r="G466" s="260"/>
      <c r="H466" s="260"/>
      <c r="I466" s="260" t="s">
        <v>104</v>
      </c>
      <c r="J466" s="260">
        <v>516</v>
      </c>
      <c r="K466" s="9">
        <f t="shared" ref="K466" si="202">J466*0.004047</f>
        <v>2.0882520000000002</v>
      </c>
      <c r="L466" s="9">
        <f t="shared" ref="L466" si="203">J466*0.4047</f>
        <v>208.8252</v>
      </c>
      <c r="M466" s="1">
        <f t="shared" ref="M466" si="204">J466/(E466/1000)</f>
        <v>13.467891519769482</v>
      </c>
      <c r="N466" s="9">
        <f t="shared" ref="N466" si="205">E466/1000/K466</f>
        <v>18.347089773753009</v>
      </c>
      <c r="O466" s="260">
        <v>422</v>
      </c>
      <c r="P466" s="1">
        <f>O466*0.004047</f>
        <v>1.7078340000000001</v>
      </c>
      <c r="Q466" s="1">
        <f>O466*0.4047</f>
        <v>170.7834</v>
      </c>
      <c r="R466" s="1">
        <f t="shared" ref="R466" si="206">O466/(E466/1000)</f>
        <v>11.014438413454887</v>
      </c>
      <c r="S466" s="1">
        <f>E466/1000/P466</f>
        <v>22.433882282598468</v>
      </c>
      <c r="T466" s="1"/>
      <c r="U466" s="1"/>
      <c r="V466" s="1"/>
      <c r="W466" s="260">
        <v>34.425964999999998</v>
      </c>
      <c r="X466" s="260">
        <v>-116.78941</v>
      </c>
      <c r="Y466" s="260" t="s">
        <v>91</v>
      </c>
      <c r="Z466" s="260" t="s">
        <v>105</v>
      </c>
      <c r="AA466" s="260" t="s">
        <v>106</v>
      </c>
      <c r="AB466" s="15">
        <v>0.1</v>
      </c>
      <c r="AC466" s="15" t="s">
        <v>366</v>
      </c>
      <c r="AD466" s="15"/>
      <c r="AE466" s="260" t="s">
        <v>109</v>
      </c>
      <c r="AF466" s="260" t="s">
        <v>34</v>
      </c>
      <c r="AG466" s="15" t="s">
        <v>353</v>
      </c>
      <c r="AH466" s="260">
        <v>1</v>
      </c>
      <c r="AI466" s="260">
        <v>1</v>
      </c>
    </row>
    <row r="498" spans="4:4" x14ac:dyDescent="0.3">
      <c r="D498" t="s">
        <v>856</v>
      </c>
    </row>
  </sheetData>
  <sortState ref="A58:QG65">
    <sortCondition ref="Y58:Y65"/>
  </sortState>
  <customSheetViews>
    <customSheetView guid="{A817C2B6-B412-4BD4-89EB-C78C16183A0C}" scale="70">
      <pane xSplit="2" ySplit="2" topLeftCell="BB258" activePane="bottomRight" state="frozen"/>
      <selection pane="bottomRight" activeCell="BX289" sqref="BX289"/>
      <pageMargins left="0.7" right="0.7" top="0.75" bottom="0.75" header="0.3" footer="0.3"/>
      <pageSetup orientation="portrait" r:id="rId1"/>
    </customSheetView>
  </customSheetViews>
  <mergeCells count="2">
    <mergeCell ref="J1:L1"/>
    <mergeCell ref="O1:Q1"/>
  </mergeCells>
  <pageMargins left="0.7" right="0.7" top="0.75" bottom="0.75" header="0.3" footer="0.3"/>
  <pageSetup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P144"/>
  <sheetViews>
    <sheetView workbookViewId="0">
      <selection activeCell="S28" sqref="S28"/>
    </sheetView>
  </sheetViews>
  <sheetFormatPr defaultRowHeight="14.4" x14ac:dyDescent="0.3"/>
  <cols>
    <col min="2" max="4" width="9.33203125" bestFit="1" customWidth="1"/>
    <col min="6" max="6" width="9.33203125" bestFit="1" customWidth="1"/>
    <col min="7" max="7" width="9.5546875" bestFit="1" customWidth="1"/>
    <col min="8" max="8" width="9.33203125" bestFit="1" customWidth="1"/>
    <col min="9" max="9" width="9.6640625" bestFit="1" customWidth="1"/>
    <col min="27" max="27" width="16" customWidth="1"/>
    <col min="31" max="31" width="14" customWidth="1"/>
  </cols>
  <sheetData>
    <row r="1" spans="1:42" ht="15" x14ac:dyDescent="0.25">
      <c r="A1" s="19" t="s">
        <v>295</v>
      </c>
      <c r="C1" t="s">
        <v>331</v>
      </c>
      <c r="G1" t="s">
        <v>339</v>
      </c>
      <c r="K1" s="19" t="s">
        <v>296</v>
      </c>
      <c r="M1" t="s">
        <v>331</v>
      </c>
      <c r="Q1" t="s">
        <v>339</v>
      </c>
      <c r="V1" t="s">
        <v>339</v>
      </c>
      <c r="W1" t="s">
        <v>349</v>
      </c>
    </row>
    <row r="2" spans="1:42" ht="15" x14ac:dyDescent="0.25">
      <c r="B2" t="s">
        <v>601</v>
      </c>
      <c r="C2" t="s">
        <v>214</v>
      </c>
      <c r="D2" t="s">
        <v>54</v>
      </c>
      <c r="F2" t="s">
        <v>338</v>
      </c>
      <c r="G2" t="s">
        <v>214</v>
      </c>
      <c r="I2" t="s">
        <v>54</v>
      </c>
      <c r="L2" t="s">
        <v>601</v>
      </c>
      <c r="M2" t="s">
        <v>214</v>
      </c>
      <c r="N2" t="s">
        <v>54</v>
      </c>
      <c r="P2" t="s">
        <v>338</v>
      </c>
      <c r="Q2" t="s">
        <v>214</v>
      </c>
      <c r="R2" t="s">
        <v>54</v>
      </c>
      <c r="U2" t="s">
        <v>338</v>
      </c>
      <c r="V2" t="s">
        <v>214</v>
      </c>
      <c r="X2" t="s">
        <v>54</v>
      </c>
      <c r="AA2" s="48" t="s">
        <v>340</v>
      </c>
      <c r="AB2" s="48" t="s">
        <v>13</v>
      </c>
      <c r="AC2" s="8"/>
      <c r="AE2" s="48" t="s">
        <v>340</v>
      </c>
      <c r="AF2" t="s">
        <v>249</v>
      </c>
      <c r="AJ2" t="s">
        <v>348</v>
      </c>
      <c r="AK2" t="s">
        <v>13</v>
      </c>
      <c r="AN2" t="s">
        <v>348</v>
      </c>
      <c r="AO2" t="s">
        <v>249</v>
      </c>
    </row>
    <row r="3" spans="1:42" x14ac:dyDescent="0.3">
      <c r="A3" s="94" t="str">
        <f>Data!Y3</f>
        <v>1 axis</v>
      </c>
      <c r="B3" s="99">
        <f>Data!E3</f>
        <v>446.88</v>
      </c>
      <c r="C3" s="95">
        <f>Data!M3</f>
        <v>10.987289652703186</v>
      </c>
      <c r="D3" s="95">
        <f>Data!N3</f>
        <v>22.489314706979144</v>
      </c>
      <c r="F3" s="99">
        <f>Data!E3</f>
        <v>446.88</v>
      </c>
      <c r="G3" s="96">
        <f>Data!R3</f>
        <v>9.4432509846043668</v>
      </c>
      <c r="H3" s="94" t="str">
        <f>Data!Y3</f>
        <v>1 axis</v>
      </c>
      <c r="I3" s="97">
        <f>Data!S3</f>
        <v>26.166477538215069</v>
      </c>
      <c r="K3" t="str">
        <f>Data!Y178</f>
        <v>1 axis</v>
      </c>
      <c r="L3">
        <f>Data!E178</f>
        <v>17000</v>
      </c>
      <c r="M3">
        <f>Data!M178</f>
        <v>10.331176470588234</v>
      </c>
      <c r="N3">
        <f>100/M3</f>
        <v>9.6794397312532041</v>
      </c>
      <c r="P3">
        <f>Data!E178</f>
        <v>17000</v>
      </c>
      <c r="U3">
        <v>189787.625304705</v>
      </c>
      <c r="V3">
        <v>4.1688097352487716</v>
      </c>
      <c r="W3" t="s">
        <v>21</v>
      </c>
      <c r="X3">
        <f t="shared" ref="X3:X8" si="0">100/V3</f>
        <v>23.987662270711077</v>
      </c>
      <c r="AA3" s="48"/>
      <c r="AB3" s="48" t="s">
        <v>240</v>
      </c>
      <c r="AC3" s="8" t="s">
        <v>54</v>
      </c>
      <c r="AE3" s="48"/>
      <c r="AF3" t="s">
        <v>240</v>
      </c>
      <c r="AG3" t="s">
        <v>54</v>
      </c>
      <c r="AK3" t="s">
        <v>240</v>
      </c>
      <c r="AL3" t="s">
        <v>54</v>
      </c>
      <c r="AO3" t="s">
        <v>240</v>
      </c>
      <c r="AP3" t="s">
        <v>54</v>
      </c>
    </row>
    <row r="4" spans="1:42" x14ac:dyDescent="0.3">
      <c r="A4" s="94" t="str">
        <f>Data!Y4</f>
        <v>1 axis</v>
      </c>
      <c r="B4" s="99">
        <f>Data!E4</f>
        <v>474.81</v>
      </c>
      <c r="C4" s="95">
        <f>Data!M4</f>
        <v>11.261346643920726</v>
      </c>
      <c r="D4" s="95">
        <f>Data!N4</f>
        <v>21.942013028234864</v>
      </c>
      <c r="F4" s="99">
        <f>Data!E4</f>
        <v>474.81</v>
      </c>
      <c r="G4" s="96">
        <f>Data!R4</f>
        <v>7.0343927044502008</v>
      </c>
      <c r="H4" s="94" t="str">
        <f>Data!Y4</f>
        <v>1 axis</v>
      </c>
      <c r="I4" s="97">
        <f>Data!S4</f>
        <v>35.12692924011133</v>
      </c>
      <c r="K4" t="str">
        <f>Data!Y179</f>
        <v>1 axis</v>
      </c>
      <c r="L4">
        <f>Data!E179</f>
        <v>20000</v>
      </c>
      <c r="M4">
        <f>Data!M179</f>
        <v>7.2</v>
      </c>
      <c r="N4">
        <f>100/M4</f>
        <v>13.888888888888889</v>
      </c>
      <c r="P4">
        <f>Data!E179</f>
        <v>20000</v>
      </c>
      <c r="Q4">
        <f>Data!R179</f>
        <v>5.92</v>
      </c>
      <c r="R4">
        <f>Data!S179</f>
        <v>41.739293036550258</v>
      </c>
      <c r="U4">
        <v>20629.089707033145</v>
      </c>
      <c r="V4">
        <v>3.531227069857783</v>
      </c>
      <c r="W4" t="s">
        <v>21</v>
      </c>
      <c r="X4">
        <f t="shared" si="0"/>
        <v>28.318767958478357</v>
      </c>
      <c r="AA4" s="51" t="s">
        <v>241</v>
      </c>
      <c r="AB4" s="48"/>
      <c r="AC4" s="8"/>
      <c r="AE4" s="51" t="s">
        <v>241</v>
      </c>
      <c r="AJ4" t="s">
        <v>241</v>
      </c>
      <c r="AN4" t="s">
        <v>241</v>
      </c>
    </row>
    <row r="5" spans="1:42" x14ac:dyDescent="0.3">
      <c r="A5" s="94" t="str">
        <f>Data!Y5</f>
        <v>1 axis</v>
      </c>
      <c r="B5" s="99">
        <f>Data!E5</f>
        <v>503.16</v>
      </c>
      <c r="C5" s="95">
        <f>Data!M5</f>
        <v>8.784482073296763</v>
      </c>
      <c r="D5" s="95">
        <f>Data!N5</f>
        <v>28.128763052235783</v>
      </c>
      <c r="F5" s="99">
        <f>Data!E5</f>
        <v>503.16</v>
      </c>
      <c r="G5" s="96">
        <f>Data!R5</f>
        <v>7.1349073853247464</v>
      </c>
      <c r="H5" s="94" t="str">
        <f>Data!Y5</f>
        <v>1 axis</v>
      </c>
      <c r="I5" s="97">
        <f>Data!S5</f>
        <v>34.63207038743235</v>
      </c>
      <c r="K5" t="str">
        <f>Data!Y180</f>
        <v>1 axis</v>
      </c>
      <c r="L5">
        <f>Data!E180</f>
        <v>20000</v>
      </c>
      <c r="M5">
        <f>Data!M180</f>
        <v>10.5</v>
      </c>
      <c r="N5">
        <f t="shared" ref="N5:N53" si="1">100/M5</f>
        <v>9.5238095238095237</v>
      </c>
      <c r="P5">
        <f>Data!E180</f>
        <v>20000</v>
      </c>
      <c r="Q5">
        <f>Data!R180</f>
        <v>8.4649999999999999</v>
      </c>
      <c r="R5">
        <f>Data!S180</f>
        <v>29.190385679430307</v>
      </c>
      <c r="U5">
        <v>61557.203685786902</v>
      </c>
      <c r="V5">
        <v>3.3660788273890097</v>
      </c>
      <c r="W5" t="s">
        <v>21</v>
      </c>
      <c r="X5">
        <f t="shared" si="0"/>
        <v>29.7081575114412</v>
      </c>
      <c r="AA5" s="8" t="s">
        <v>138</v>
      </c>
      <c r="AB5" s="93">
        <f>wtstd($B$69:$B$115,$C$69:$C$115)</f>
        <v>0.67640194743359139</v>
      </c>
      <c r="AC5" s="93">
        <f>wtstd($B$69:$B$115,$D$69:$D$115)</f>
        <v>3.9404708620280617</v>
      </c>
      <c r="AE5" s="8" t="s">
        <v>138</v>
      </c>
      <c r="AF5">
        <f>wtstd($F$54:$F$92,$G$54:$G$92)</f>
        <v>0.67530701669524484</v>
      </c>
      <c r="AG5">
        <f>wtstd($F$54:$F$92,$I$54:$I$92)</f>
        <v>7.4731615608354662</v>
      </c>
      <c r="AJ5" t="s">
        <v>138</v>
      </c>
      <c r="AK5">
        <f>wtavg($B$54:$B$92,$C$54:$C$92)</f>
        <v>8.9029219183345489</v>
      </c>
      <c r="AL5">
        <f>wtavg($B$54:$B$92,$D$54:$D$92)</f>
        <v>30.021792371010157</v>
      </c>
      <c r="AN5" t="s">
        <v>138</v>
      </c>
      <c r="AO5">
        <f>wtavg($F$54:$F$92,$G$54:$G$92)</f>
        <v>5.5626099046093733</v>
      </c>
      <c r="AP5">
        <f>wtavg($F$54:$F$92,$I$54:$I$92)</f>
        <v>48.574928059751713</v>
      </c>
    </row>
    <row r="6" spans="1:42" x14ac:dyDescent="0.3">
      <c r="A6" s="94" t="str">
        <f>Data!Y6</f>
        <v>1 axis</v>
      </c>
      <c r="B6" s="99">
        <f>Data!E6</f>
        <v>657.87</v>
      </c>
      <c r="C6" s="95">
        <f>Data!M6</f>
        <v>8.1779074893215995</v>
      </c>
      <c r="D6" s="95">
        <f>Data!N6</f>
        <v>30.215139398315145</v>
      </c>
      <c r="F6" s="99">
        <f>Data!E6</f>
        <v>657.87</v>
      </c>
      <c r="G6" s="96">
        <f>Data!R6</f>
        <v>4.6209737486129479</v>
      </c>
      <c r="H6" s="94" t="str">
        <f>Data!Y6</f>
        <v>1 axis</v>
      </c>
      <c r="I6" s="97">
        <f>Data!S6</f>
        <v>53.47284538254457</v>
      </c>
      <c r="K6" t="str">
        <f>Data!Y181</f>
        <v>1 axis</v>
      </c>
      <c r="L6">
        <f>Data!E181</f>
        <v>20000</v>
      </c>
      <c r="M6">
        <f>Data!M181</f>
        <v>8</v>
      </c>
      <c r="N6">
        <f t="shared" si="1"/>
        <v>12.5</v>
      </c>
      <c r="P6">
        <f>Data!E181</f>
        <v>20000</v>
      </c>
      <c r="Q6">
        <f>Data!R181</f>
        <v>7</v>
      </c>
      <c r="R6">
        <f>Data!S181</f>
        <v>35.299516396625364</v>
      </c>
      <c r="U6">
        <v>37132.361472659657</v>
      </c>
      <c r="V6">
        <v>4.719201608791419</v>
      </c>
      <c r="W6" t="s">
        <v>91</v>
      </c>
      <c r="X6">
        <f t="shared" si="0"/>
        <v>21.190024985096972</v>
      </c>
      <c r="AA6" s="8" t="s">
        <v>242</v>
      </c>
      <c r="AB6" s="93">
        <f>wtstd($B$3:$B$60,$C$3:$C$60)</f>
        <v>0.55695877275519812</v>
      </c>
      <c r="AC6" s="93">
        <f>wtstd($B$3:$B$60,$D$3:$D$60)</f>
        <v>2.166403654516194</v>
      </c>
      <c r="AE6" s="8" t="s">
        <v>242</v>
      </c>
      <c r="AF6">
        <f>wtstd($F$3:$F$45,$G$3:$G$45)</f>
        <v>0.60590525718495758</v>
      </c>
      <c r="AG6">
        <f>wtstd($F$3:$F$45,$I$3:$I$45)</f>
        <v>4.3966194326605814</v>
      </c>
      <c r="AJ6" t="s">
        <v>242</v>
      </c>
      <c r="AK6">
        <f>wtavg($B$3:$B$45,$C$3:$C$45)</f>
        <v>7.3848325220171764</v>
      </c>
      <c r="AL6">
        <f>wtavg($B$3:$B$45,$D$3:$D$45)</f>
        <v>35.949413898376321</v>
      </c>
      <c r="AN6" t="s">
        <v>242</v>
      </c>
      <c r="AO6">
        <f>wtavg($F$3:$F$45,$G$3:$G$45)</f>
        <v>6.2215045557136852</v>
      </c>
      <c r="AP6">
        <f>wtavg($F$3:$F$45,$I$3:$I$45)</f>
        <v>41.906501791102215</v>
      </c>
    </row>
    <row r="7" spans="1:42" x14ac:dyDescent="0.3">
      <c r="A7" s="94" t="str">
        <f>Data!Y7</f>
        <v>1 axis</v>
      </c>
      <c r="B7" s="99">
        <f>Data!E7</f>
        <v>823.1</v>
      </c>
      <c r="C7" s="95">
        <f>Data!M7</f>
        <v>7.8969748511723967</v>
      </c>
      <c r="D7" s="95">
        <f>Data!N7</f>
        <v>31.290034403451749</v>
      </c>
      <c r="F7" s="99">
        <f>Data!E7</f>
        <v>823.1</v>
      </c>
      <c r="G7" s="96">
        <f>Data!R7</f>
        <v>5.9652533106548411</v>
      </c>
      <c r="H7" s="94" t="str">
        <f>Data!Y7</f>
        <v>1 axis</v>
      </c>
      <c r="I7" s="97">
        <f>Data!S7</f>
        <v>41.422652468927971</v>
      </c>
      <c r="K7" t="str">
        <f>Data!Y182</f>
        <v>1 axis</v>
      </c>
      <c r="L7">
        <f>Data!E182</f>
        <v>21285.19273012182</v>
      </c>
      <c r="M7">
        <f>Data!M182</f>
        <v>9.349222368956255</v>
      </c>
      <c r="N7">
        <f t="shared" si="1"/>
        <v>10.696076748804936</v>
      </c>
      <c r="P7">
        <f>Data!E182</f>
        <v>21285.19273012182</v>
      </c>
      <c r="Q7">
        <f>Data!R182</f>
        <v>0</v>
      </c>
      <c r="R7">
        <f>Data!S182</f>
        <v>0</v>
      </c>
      <c r="U7">
        <v>453839.97355472913</v>
      </c>
      <c r="V7">
        <v>3.9325028732507135</v>
      </c>
      <c r="W7" t="s">
        <v>91</v>
      </c>
      <c r="X7">
        <f t="shared" si="0"/>
        <v>25.429097758633624</v>
      </c>
      <c r="AA7" s="8" t="s">
        <v>243</v>
      </c>
      <c r="AB7" s="93">
        <f>wtstd($B$61:$B$68,$C$61:$C$68)</f>
        <v>2.4870209262632375</v>
      </c>
      <c r="AC7" s="93">
        <f>wtstd($B$61:$B$68,$D$61:$D$68)</f>
        <v>5.2504839814744537</v>
      </c>
      <c r="AE7" s="8" t="s">
        <v>243</v>
      </c>
      <c r="AF7">
        <f>wtstd($F$46:$F$53,$G$46:$G$53)</f>
        <v>1.8532065830709215</v>
      </c>
      <c r="AG7">
        <f>wtstd($F$46:$F$53,$I$46:$I$53)</f>
        <v>5.9002271182212693</v>
      </c>
      <c r="AJ7" t="s">
        <v>243</v>
      </c>
      <c r="AK7">
        <f>wtavg($B$46:$B$53,$C$46:$C$53)</f>
        <v>9.2790981384958187</v>
      </c>
      <c r="AL7">
        <f>wtavg($B$46:$B$53,$D$46:$D$53)</f>
        <v>27.181966395177277</v>
      </c>
      <c r="AN7" t="s">
        <v>243</v>
      </c>
      <c r="AO7">
        <f>wtavg($F$46:$F$53,$G$46:$G$53)</f>
        <v>9.4957317023719252</v>
      </c>
      <c r="AP7">
        <f>wtavg($F$46:$F$53,$I$46:$I$53)</f>
        <v>27.445167278194532</v>
      </c>
    </row>
    <row r="8" spans="1:42" x14ac:dyDescent="0.3">
      <c r="A8" s="94" t="str">
        <f>Data!Y8</f>
        <v>1 axis</v>
      </c>
      <c r="B8" s="99">
        <f>Data!E8</f>
        <v>851.40770920487284</v>
      </c>
      <c r="C8" s="95">
        <f>Data!M8</f>
        <v>5.8726271161785526</v>
      </c>
      <c r="D8" s="95">
        <f>Data!N8</f>
        <v>42.075992547806905</v>
      </c>
      <c r="F8" s="99">
        <f>Data!E8</f>
        <v>851.40770920487284</v>
      </c>
      <c r="G8" s="96">
        <f>Data!R8</f>
        <v>5.8726271161785526</v>
      </c>
      <c r="H8" s="94" t="str">
        <f>Data!Y8</f>
        <v>1 axis</v>
      </c>
      <c r="I8" s="97">
        <f>Data!S8</f>
        <v>42.075992547806905</v>
      </c>
      <c r="K8" t="str">
        <f>Data!Y183</f>
        <v>1 axis</v>
      </c>
      <c r="L8">
        <f>Data!E183</f>
        <v>25000</v>
      </c>
      <c r="M8">
        <f>Data!M183</f>
        <v>6.16</v>
      </c>
      <c r="N8">
        <f t="shared" si="1"/>
        <v>16.233766233766232</v>
      </c>
      <c r="P8">
        <f>Data!E183</f>
        <v>25000</v>
      </c>
      <c r="Q8">
        <f>Data!R183</f>
        <v>0</v>
      </c>
      <c r="R8">
        <f>Data!S183</f>
        <v>0</v>
      </c>
      <c r="U8">
        <v>32000</v>
      </c>
      <c r="V8">
        <v>2.466140625</v>
      </c>
      <c r="W8" t="s">
        <v>91</v>
      </c>
      <c r="X8">
        <f t="shared" si="0"/>
        <v>40.549188065867085</v>
      </c>
      <c r="AA8" s="48" t="s">
        <v>246</v>
      </c>
      <c r="AB8" s="93">
        <f>wtstd($B$3:$B$128,$C$3:$C$128)</f>
        <v>0.43673728136663975</v>
      </c>
      <c r="AC8" s="93">
        <f>wtstd($B$3:$B$128,$D$3:$D$128)</f>
        <v>2.0637474492980208</v>
      </c>
      <c r="AE8" s="48" t="s">
        <v>246</v>
      </c>
      <c r="AF8">
        <f>wtstd($F$3:$F$103,$G$3:$G$103)</f>
        <v>0.46790509573324562</v>
      </c>
      <c r="AG8">
        <f>wtstd($F$3:$F$20,$I$3:$I$20)</f>
        <v>6.8085294322709222</v>
      </c>
      <c r="AJ8" t="s">
        <v>246</v>
      </c>
      <c r="AK8">
        <f>wtavg($B$3:$B$105,$C$3:$C$105)</f>
        <v>8.3393575493559453</v>
      </c>
      <c r="AL8">
        <f>wtavg($B$3:$B$105,$D$3:$D$105)</f>
        <v>32.588408557267812</v>
      </c>
      <c r="AN8" t="s">
        <v>246</v>
      </c>
      <c r="AO8">
        <f>wtavg($F$3:$F$105,$G$3:$G$105)</f>
        <v>5.9920668621731297</v>
      </c>
      <c r="AP8">
        <f>wtavg($F$3:$F$20,$I$3:$I$20)</f>
        <v>49.538168922630618</v>
      </c>
    </row>
    <row r="9" spans="1:42" x14ac:dyDescent="0.3">
      <c r="A9" s="94" t="str">
        <f>Data!Y9</f>
        <v>1 axis</v>
      </c>
      <c r="B9" s="99">
        <f>Data!E9</f>
        <v>851.40770920487284</v>
      </c>
      <c r="C9" s="95">
        <f>Data!M9</f>
        <v>11.15799152073925</v>
      </c>
      <c r="D9" s="95">
        <f>Data!N9</f>
        <v>22.145259235687849</v>
      </c>
      <c r="F9" s="99">
        <f>Data!E23</f>
        <v>1702.8154184097457</v>
      </c>
      <c r="G9" s="96">
        <f>Data!R23</f>
        <v>5.8491366077138389</v>
      </c>
      <c r="H9" s="94" t="str">
        <f>Data!Y23</f>
        <v>1 axis</v>
      </c>
      <c r="I9" s="97">
        <f>Data!S23</f>
        <v>42.244972437557138</v>
      </c>
      <c r="K9" t="str">
        <f>Data!Y184</f>
        <v>1 axis</v>
      </c>
      <c r="L9">
        <f>Data!E184</f>
        <v>25000</v>
      </c>
      <c r="M9">
        <f>Data!M184</f>
        <v>9.4</v>
      </c>
      <c r="N9">
        <f t="shared" si="1"/>
        <v>10.638297872340425</v>
      </c>
      <c r="P9">
        <f>Data!E184</f>
        <v>25000</v>
      </c>
      <c r="Q9">
        <f>Data!R184</f>
        <v>7.2</v>
      </c>
      <c r="R9">
        <f>Data!S184</f>
        <v>34.318974274496881</v>
      </c>
      <c r="AA9" s="8" t="s">
        <v>244</v>
      </c>
      <c r="AB9" s="8"/>
      <c r="AC9" s="8"/>
      <c r="AE9" s="8" t="s">
        <v>244</v>
      </c>
      <c r="AJ9" t="s">
        <v>244</v>
      </c>
      <c r="AN9" t="s">
        <v>244</v>
      </c>
    </row>
    <row r="10" spans="1:42" x14ac:dyDescent="0.3">
      <c r="A10" s="94" t="str">
        <f>Data!Y10</f>
        <v>1 axis</v>
      </c>
      <c r="B10" s="99">
        <f>Data!E10</f>
        <v>890</v>
      </c>
      <c r="C10" s="95">
        <f>Data!M10</f>
        <v>12.584269662921347</v>
      </c>
      <c r="D10" s="95">
        <f>Data!N10</f>
        <v>19.635355995622859</v>
      </c>
      <c r="F10" s="99">
        <f>Data!E24</f>
        <v>1702.8154184097457</v>
      </c>
      <c r="G10" s="96">
        <f>Data!R24</f>
        <v>5.2853644045606973</v>
      </c>
      <c r="H10" s="94" t="str">
        <f>Data!Y24</f>
        <v>1 axis</v>
      </c>
      <c r="I10" s="97">
        <f>Data!S24</f>
        <v>46.751102830896563</v>
      </c>
      <c r="K10" t="str">
        <f>Data!Y185</f>
        <v>1 axis</v>
      </c>
      <c r="L10">
        <f>Data!E185</f>
        <v>26000</v>
      </c>
      <c r="M10">
        <f>Data!M185</f>
        <v>11.538461538461538</v>
      </c>
      <c r="N10">
        <f t="shared" si="1"/>
        <v>8.6666666666666661</v>
      </c>
      <c r="P10">
        <f>Data!E185</f>
        <v>26000</v>
      </c>
      <c r="Q10">
        <f>Data!R185</f>
        <v>0</v>
      </c>
      <c r="R10">
        <f>Data!S185</f>
        <v>0</v>
      </c>
      <c r="AA10" s="8" t="s">
        <v>138</v>
      </c>
      <c r="AB10">
        <f>wtstd($L$12:$L$27,$M$12:$M$27)</f>
        <v>0.73025155313338397</v>
      </c>
      <c r="AC10">
        <f>wtstd($L$12:$L$27,$N$12:$N$27)</f>
        <v>1.3042577869314631</v>
      </c>
      <c r="AE10" s="8" t="s">
        <v>138</v>
      </c>
      <c r="AF10">
        <f>wtstd($P$12:$P$27,$Q$12:$Q$27)</f>
        <v>1.2011204472815791</v>
      </c>
      <c r="AG10">
        <f>wtstd($P$12:$P$27,$R$12:$R$27)</f>
        <v>5.609733783202504</v>
      </c>
      <c r="AJ10" t="s">
        <v>138</v>
      </c>
      <c r="AK10">
        <f>wtavg($L$12:$L$27,$M$12:$M$27)</f>
        <v>8.1437792092803978</v>
      </c>
      <c r="AL10">
        <f>wtavg($L$12:$L$27,$N$12:$N$27)</f>
        <v>12.697069438806029</v>
      </c>
      <c r="AN10" t="s">
        <v>138</v>
      </c>
      <c r="AO10">
        <f>wtavg($P$12:$P$27,$Q$12:$Q$27)</f>
        <v>8.6949971032273066</v>
      </c>
      <c r="AP10">
        <f>wtavg($P$12:$P$27,$R$12:$R$27)</f>
        <v>29.539787628447947</v>
      </c>
    </row>
    <row r="11" spans="1:42" x14ac:dyDescent="0.3">
      <c r="A11" s="94" t="str">
        <f>Data!Y11</f>
        <v>1 axis</v>
      </c>
      <c r="B11" s="99">
        <f>Data!E11</f>
        <v>917.91300000000001</v>
      </c>
      <c r="C11" s="95">
        <f>Data!M11</f>
        <v>8.6609515280859952</v>
      </c>
      <c r="D11" s="95">
        <f>Data!N11</f>
        <v>28.529961630091702</v>
      </c>
      <c r="F11" s="99">
        <f>Data!E25</f>
        <v>1873.0969602507203</v>
      </c>
      <c r="G11" s="96">
        <f>Data!R25</f>
        <v>6.4065023085584203</v>
      </c>
      <c r="H11" s="94" t="str">
        <f>Data!Y25</f>
        <v>1 axis</v>
      </c>
      <c r="I11" s="97">
        <f>Data!S25</f>
        <v>38.569659835489666</v>
      </c>
      <c r="K11" t="str">
        <f>Data!Y186</f>
        <v>1 axis</v>
      </c>
      <c r="L11">
        <f>Data!E186</f>
        <v>30000</v>
      </c>
      <c r="M11">
        <f>Data!M186</f>
        <v>7.333333333333333</v>
      </c>
      <c r="N11">
        <f t="shared" si="1"/>
        <v>13.636363636363637</v>
      </c>
      <c r="P11">
        <f>Data!E186</f>
        <v>30000</v>
      </c>
      <c r="Q11">
        <f>Data!R186</f>
        <v>0</v>
      </c>
      <c r="R11">
        <f>Data!S186</f>
        <v>0</v>
      </c>
      <c r="AA11" s="8" t="s">
        <v>242</v>
      </c>
      <c r="AB11">
        <f>wtstd($L$3:$L$11,$M$3:$M$11)</f>
        <v>1.2227180776670701</v>
      </c>
      <c r="AC11">
        <f>wtstd($L$3:$L$11,$N$3:$N$11)</f>
        <v>1.7026950788269779</v>
      </c>
      <c r="AE11" s="8" t="s">
        <v>242</v>
      </c>
      <c r="AF11">
        <f>wtstd($P$3:$P$11,$Q$3:$Q$11)</f>
        <v>1.012509757596054</v>
      </c>
      <c r="AG11">
        <f>wtstd($P$3:$P$11,$R$3:$R$11)</f>
        <v>5.0037018460652085</v>
      </c>
      <c r="AJ11" t="s">
        <v>242</v>
      </c>
      <c r="AK11">
        <f>wtavg($L$3:$L$11,$M$3:$M$11)</f>
        <v>8.799609878601542</v>
      </c>
      <c r="AL11">
        <f>wtavg($L$3:$L$11,$N$3:$N$11)</f>
        <v>11.830022095675501</v>
      </c>
      <c r="AN11" t="s">
        <v>242</v>
      </c>
      <c r="AO11">
        <f>wtavg($P$3:$P$11,$Q$3:$Q$11)</f>
        <v>7.1494117647058824</v>
      </c>
      <c r="AP11">
        <f>wtavg($P$3:$P$11,$R$3:$R$11)</f>
        <v>35.088920695465184</v>
      </c>
    </row>
    <row r="12" spans="1:42" x14ac:dyDescent="0.3">
      <c r="A12" s="94" t="str">
        <f>Data!Y12</f>
        <v>1 axis</v>
      </c>
      <c r="B12" s="99">
        <f>Data!E12</f>
        <v>936.54848012536013</v>
      </c>
      <c r="C12" s="95">
        <f>Data!M12</f>
        <v>9.6097534628376309</v>
      </c>
      <c r="D12" s="95">
        <f>Data!N12</f>
        <v>25.713106556993111</v>
      </c>
      <c r="F12" s="99">
        <f>Data!E26</f>
        <v>2409.4838170497901</v>
      </c>
      <c r="G12" s="96">
        <f>Data!R26</f>
        <v>7.885506375080741</v>
      </c>
      <c r="H12" s="94" t="str">
        <f>Data!Y26</f>
        <v>1 axis</v>
      </c>
      <c r="I12" s="97">
        <f>Data!S26</f>
        <v>31.335541818498307</v>
      </c>
      <c r="K12" t="str">
        <f>Data!Y187</f>
        <v>1 axis</v>
      </c>
      <c r="L12">
        <f>Data!E187</f>
        <v>93654.848012536007</v>
      </c>
      <c r="M12">
        <f>Data!M187</f>
        <v>10.826988901463732</v>
      </c>
      <c r="N12">
        <f t="shared" si="1"/>
        <v>9.2361783049838273</v>
      </c>
      <c r="P12">
        <f>Data!E187</f>
        <v>93654.848012536007</v>
      </c>
      <c r="Q12">
        <f>Data!R187</f>
        <v>0</v>
      </c>
      <c r="R12">
        <f>Data!S187</f>
        <v>0</v>
      </c>
      <c r="AA12" s="8" t="s">
        <v>243</v>
      </c>
      <c r="AB12" t="s">
        <v>28</v>
      </c>
      <c r="AC12" t="s">
        <v>28</v>
      </c>
      <c r="AE12" s="8" t="s">
        <v>243</v>
      </c>
      <c r="AF12" t="s">
        <v>28</v>
      </c>
      <c r="AG12" t="s">
        <v>28</v>
      </c>
      <c r="AJ12" t="s">
        <v>243</v>
      </c>
      <c r="AK12" t="s">
        <v>28</v>
      </c>
      <c r="AL12" t="s">
        <v>28</v>
      </c>
      <c r="AN12" t="s">
        <v>243</v>
      </c>
      <c r="AO12" t="s">
        <v>28</v>
      </c>
      <c r="AP12" t="s">
        <v>28</v>
      </c>
    </row>
    <row r="13" spans="1:42" x14ac:dyDescent="0.3">
      <c r="A13" s="94" t="str">
        <f>Data!Y13</f>
        <v>1 axis</v>
      </c>
      <c r="B13" s="99">
        <f>Data!E13</f>
        <v>924.13400000000001</v>
      </c>
      <c r="C13" s="95">
        <f>Data!M13</f>
        <v>9.7388473965896711</v>
      </c>
      <c r="D13" s="95">
        <f>Data!N13</f>
        <v>25.372264777750321</v>
      </c>
      <c r="F13" s="99">
        <f>Data!E27</f>
        <v>2554.2231276146185</v>
      </c>
      <c r="G13" s="96">
        <f>Data!R27</f>
        <v>0</v>
      </c>
      <c r="H13" s="94" t="str">
        <f>Data!Y27</f>
        <v>1 axis</v>
      </c>
      <c r="I13" s="97">
        <f>Data!S27</f>
        <v>0</v>
      </c>
      <c r="K13" t="str">
        <f>Data!Y188</f>
        <v>1 axis</v>
      </c>
      <c r="L13">
        <f>Data!E188</f>
        <v>110683.00219663348</v>
      </c>
      <c r="M13">
        <f>Data!M188</f>
        <v>8.5469311567767843</v>
      </c>
      <c r="N13">
        <f t="shared" si="1"/>
        <v>11.700105940447514</v>
      </c>
      <c r="P13">
        <f>Data!E188</f>
        <v>110683.00219663348</v>
      </c>
      <c r="Q13">
        <f>Data!R188</f>
        <v>0</v>
      </c>
      <c r="R13">
        <f>Data!S188</f>
        <v>0</v>
      </c>
      <c r="AA13" s="8" t="s">
        <v>245</v>
      </c>
      <c r="AB13" t="e">
        <f>wtstd($L$28:$L$33,$M$28:$M$33)</f>
        <v>#VALUE!</v>
      </c>
      <c r="AC13" t="e">
        <f>wtstd($L$28:$L$33,$N$28:$N$33)</f>
        <v>#VALUE!</v>
      </c>
      <c r="AE13" s="8" t="s">
        <v>245</v>
      </c>
      <c r="AF13" t="s">
        <v>28</v>
      </c>
      <c r="AG13" t="s">
        <v>28</v>
      </c>
      <c r="AJ13" t="s">
        <v>245</v>
      </c>
      <c r="AK13" t="e">
        <f>wtavg($L$28:$L$33,$M$28:$M$33)</f>
        <v>#VALUE!</v>
      </c>
      <c r="AL13" t="e">
        <f>wtavg($L$28:$L$33,$N$28:$N$33)</f>
        <v>#VALUE!</v>
      </c>
      <c r="AN13" t="s">
        <v>245</v>
      </c>
      <c r="AO13" t="s">
        <v>28</v>
      </c>
      <c r="AP13" t="s">
        <v>28</v>
      </c>
    </row>
    <row r="14" spans="1:42" x14ac:dyDescent="0.3">
      <c r="A14" s="94" t="str">
        <f>Data!Y14</f>
        <v>1 axis</v>
      </c>
      <c r="B14" s="99">
        <f>Data!E14</f>
        <v>953.57663430945763</v>
      </c>
      <c r="C14" s="95">
        <f>Data!M14</f>
        <v>12.10180659298223</v>
      </c>
      <c r="D14" s="95">
        <f>Data!N14</f>
        <v>20.418159295296249</v>
      </c>
      <c r="F14" s="99">
        <f>Data!E98</f>
        <v>3831.3346914219278</v>
      </c>
      <c r="G14" s="96">
        <f>Data!R98</f>
        <v>0</v>
      </c>
      <c r="H14" s="94" t="str">
        <f>Data!Y98</f>
        <v>fixed</v>
      </c>
      <c r="I14" s="97">
        <f>Data!S98</f>
        <v>0</v>
      </c>
      <c r="K14" t="str">
        <f>Data!Y189</f>
        <v>1 axis</v>
      </c>
      <c r="L14">
        <f>Data!E189</f>
        <v>150000</v>
      </c>
      <c r="M14">
        <f>Data!M189</f>
        <v>7.4</v>
      </c>
      <c r="N14">
        <f t="shared" si="1"/>
        <v>13.513513513513512</v>
      </c>
      <c r="P14">
        <f>Data!E189</f>
        <v>150000</v>
      </c>
      <c r="Q14">
        <f>Data!R189</f>
        <v>0</v>
      </c>
      <c r="R14">
        <f>Data!S189</f>
        <v>0</v>
      </c>
      <c r="AA14" s="48" t="s">
        <v>246</v>
      </c>
      <c r="AB14" t="e">
        <f>wtstd($L$3:$L$33,$M$3:$M$33)</f>
        <v>#VALUE!</v>
      </c>
      <c r="AC14" t="e">
        <f>wtstd($L$3:$L$33,$N$3:$N$33)</f>
        <v>#VALUE!</v>
      </c>
      <c r="AE14" s="48" t="s">
        <v>246</v>
      </c>
      <c r="AF14" t="e">
        <f>wtstd(P3:P33,Q3:Q33)</f>
        <v>#VALUE!</v>
      </c>
      <c r="AG14" t="e">
        <f>wtstd(P3:P33,R3:R33)</f>
        <v>#VALUE!</v>
      </c>
      <c r="AJ14" t="s">
        <v>246</v>
      </c>
      <c r="AK14" t="e">
        <f>wtavg($L$3:$L$33,$M$3:$M$33)</f>
        <v>#VALUE!</v>
      </c>
      <c r="AL14" t="e">
        <f>wtavg($L$3:$L$33,$N$3:$N$33)</f>
        <v>#VALUE!</v>
      </c>
      <c r="AN14" t="s">
        <v>246</v>
      </c>
      <c r="AO14" t="e">
        <f>wtavg(P3:P33,Q3:Q33)</f>
        <v>#VALUE!</v>
      </c>
      <c r="AP14" t="e">
        <f>wtavg(P3:P33,R3:R33)</f>
        <v>#VALUE!</v>
      </c>
    </row>
    <row r="15" spans="1:42" x14ac:dyDescent="0.3">
      <c r="A15" s="94" t="str">
        <f>Data!Y15</f>
        <v>1 axis</v>
      </c>
      <c r="B15" s="99">
        <f>Data!E15</f>
        <v>940</v>
      </c>
      <c r="C15" s="95">
        <f>Data!M15</f>
        <v>10.638297872340425</v>
      </c>
      <c r="D15" s="95">
        <f>Data!N15</f>
        <v>23.227081788979486</v>
      </c>
      <c r="F15" s="99">
        <f>Data!E28</f>
        <v>3490.7716077399787</v>
      </c>
      <c r="G15" s="96">
        <f>Data!R28</f>
        <v>5.3426583276453652</v>
      </c>
      <c r="H15" s="94" t="str">
        <f>Data!Y28</f>
        <v>1 axis</v>
      </c>
      <c r="I15" s="97">
        <f>Data!S28</f>
        <v>46.249750521718056</v>
      </c>
      <c r="K15" t="str">
        <f>Data!Y190</f>
        <v>1 axis</v>
      </c>
      <c r="L15">
        <f>Data!E190</f>
        <v>230000</v>
      </c>
      <c r="M15">
        <f>Data!M190</f>
        <v>9.1304347826086953</v>
      </c>
      <c r="N15">
        <f t="shared" si="1"/>
        <v>10.952380952380953</v>
      </c>
      <c r="P15">
        <f>Data!E190</f>
        <v>230000</v>
      </c>
      <c r="Q15">
        <f>Data!R190</f>
        <v>8.5</v>
      </c>
      <c r="R15">
        <f>Data!S190</f>
        <v>29.070189973691477</v>
      </c>
    </row>
    <row r="16" spans="1:42" x14ac:dyDescent="0.3">
      <c r="A16" s="94" t="str">
        <f>Data!Y16</f>
        <v>1 axis</v>
      </c>
      <c r="B16" s="99">
        <f>Data!E16</f>
        <v>995.51400000000001</v>
      </c>
      <c r="C16" s="95">
        <f>Data!M16</f>
        <v>12.184660386493812</v>
      </c>
      <c r="D16" s="95">
        <f>Data!N16</f>
        <v>20.279318991136908</v>
      </c>
      <c r="F16" s="99">
        <f>Data!E29</f>
        <v>3746.1939205014405</v>
      </c>
      <c r="G16" s="96">
        <f>Data!R29</f>
        <v>3.7638201062780721</v>
      </c>
      <c r="H16" s="94" t="str">
        <f>Data!Y29</f>
        <v>fixed</v>
      </c>
      <c r="I16" s="97">
        <f>Data!S29</f>
        <v>65.6504848263654</v>
      </c>
      <c r="K16" t="str">
        <f>Data!Y191</f>
        <v>1 axis</v>
      </c>
      <c r="L16">
        <f>Data!E191</f>
        <v>250000</v>
      </c>
      <c r="M16">
        <f>Data!M191</f>
        <v>6.94</v>
      </c>
      <c r="N16">
        <f t="shared" si="1"/>
        <v>14.40922190201729</v>
      </c>
      <c r="P16">
        <f>Data!E191</f>
        <v>250000</v>
      </c>
      <c r="Q16">
        <f>Data!R191</f>
        <v>0</v>
      </c>
      <c r="R16">
        <f>Data!S191</f>
        <v>0</v>
      </c>
    </row>
    <row r="17" spans="1:23" x14ac:dyDescent="0.3">
      <c r="A17" s="94" t="str">
        <f>Data!Y17</f>
        <v>1 axis</v>
      </c>
      <c r="B17" s="99">
        <f>Data!E17</f>
        <v>1000</v>
      </c>
      <c r="C17" s="95">
        <f>Data!M17</f>
        <v>10.66</v>
      </c>
      <c r="D17" s="95">
        <f>Data!N17</f>
        <v>23.179795007164874</v>
      </c>
      <c r="F17" s="99">
        <f>Data!E30</f>
        <v>4086.7570041833897</v>
      </c>
      <c r="G17" s="96">
        <f>Data!R30</f>
        <v>3.9150847441190346</v>
      </c>
      <c r="H17" s="94" t="str">
        <f>Data!Y30</f>
        <v>1 axis</v>
      </c>
      <c r="I17" s="97">
        <f>Data!S30</f>
        <v>63.113988821710372</v>
      </c>
      <c r="K17" t="str">
        <f>Data!Y192</f>
        <v>1 axis</v>
      </c>
      <c r="L17">
        <f>Data!E192</f>
        <v>297992.6982217055</v>
      </c>
      <c r="M17">
        <f>Data!M192</f>
        <v>9.7317820782387443</v>
      </c>
      <c r="N17">
        <f t="shared" si="1"/>
        <v>10.275610283507087</v>
      </c>
      <c r="P17">
        <f>Data!E192</f>
        <v>297992.6982217055</v>
      </c>
      <c r="Q17">
        <f>Data!R192</f>
        <v>9.956619802115295</v>
      </c>
      <c r="R17">
        <f>Data!S192</f>
        <v>24.817319500728711</v>
      </c>
    </row>
    <row r="18" spans="1:23" x14ac:dyDescent="0.3">
      <c r="A18" s="94" t="str">
        <f>Data!Y18</f>
        <v>1 axis</v>
      </c>
      <c r="B18" s="99">
        <f>Data!E18</f>
        <v>1000</v>
      </c>
      <c r="C18" s="95">
        <f>Data!M18</f>
        <v>9.1539999999999999</v>
      </c>
      <c r="D18" s="95">
        <f>Data!N18</f>
        <v>26.993294163904036</v>
      </c>
      <c r="F18" s="99">
        <f>Data!E31</f>
        <v>4257.0385460243642</v>
      </c>
      <c r="G18" s="96">
        <f>Data!R31</f>
        <v>0</v>
      </c>
      <c r="H18" s="94" t="str">
        <f>Data!Y31</f>
        <v>1 axis</v>
      </c>
      <c r="I18" s="97">
        <f>Data!S31</f>
        <v>0</v>
      </c>
      <c r="K18" t="str">
        <f>Data!Y193</f>
        <v>1 axis</v>
      </c>
      <c r="L18">
        <f>Data!E193</f>
        <v>300000</v>
      </c>
      <c r="M18">
        <f>Data!M193</f>
        <v>6.71</v>
      </c>
      <c r="N18">
        <f t="shared" si="1"/>
        <v>14.903129657228018</v>
      </c>
      <c r="P18">
        <f>Data!E193</f>
        <v>300000</v>
      </c>
      <c r="Q18">
        <f>Data!R193</f>
        <v>0</v>
      </c>
      <c r="R18">
        <f>Data!S193</f>
        <v>0</v>
      </c>
    </row>
    <row r="19" spans="1:23" x14ac:dyDescent="0.3">
      <c r="A19" s="94" t="str">
        <f>Data!Y19</f>
        <v>1 axis</v>
      </c>
      <c r="B19" s="99">
        <f>Data!E19</f>
        <v>1000</v>
      </c>
      <c r="C19" s="95">
        <f>Data!M19</f>
        <v>11.4</v>
      </c>
      <c r="D19" s="95">
        <f>Data!N19</f>
        <v>21.675141647050662</v>
      </c>
      <c r="F19" s="99">
        <f>Data!E81</f>
        <v>1106.8300219663347</v>
      </c>
      <c r="G19" s="96">
        <f>Data!R81</f>
        <v>4.0656649265851517</v>
      </c>
      <c r="H19" s="94" t="str">
        <f>Data!Y81</f>
        <v>fixed</v>
      </c>
      <c r="I19" s="97">
        <f>Data!S81</f>
        <v>60.776433680165532</v>
      </c>
      <c r="K19" t="str">
        <f>Data!Y194</f>
        <v>2 axis</v>
      </c>
      <c r="L19">
        <f>Data!E194</f>
        <v>30720</v>
      </c>
      <c r="M19">
        <f>Data!M194</f>
        <v>7.32421875</v>
      </c>
      <c r="N19">
        <f t="shared" si="1"/>
        <v>13.653333333333334</v>
      </c>
      <c r="P19">
        <f>Data!E194</f>
        <v>30720</v>
      </c>
      <c r="Q19">
        <f>Data!R194</f>
        <v>6.0546875</v>
      </c>
      <c r="R19">
        <f>Data!S194</f>
        <v>40.810795730808159</v>
      </c>
    </row>
    <row r="20" spans="1:23" x14ac:dyDescent="0.3">
      <c r="A20" s="94" t="str">
        <f>Data!Y20</f>
        <v>1 axis</v>
      </c>
      <c r="B20" s="99">
        <f>Data!E20</f>
        <v>1000</v>
      </c>
      <c r="C20" s="95">
        <f>Data!M20</f>
        <v>9.5</v>
      </c>
      <c r="D20" s="95">
        <f>Data!N20</f>
        <v>26.010169976460794</v>
      </c>
      <c r="F20" s="99">
        <f>Data!E32</f>
        <v>4512.4608587858265</v>
      </c>
      <c r="G20" s="96"/>
      <c r="H20" s="94" t="str">
        <f>Data!Y32</f>
        <v>1 axis</v>
      </c>
      <c r="I20" s="97"/>
      <c r="K20" t="str">
        <f>Data!Y195</f>
        <v>2 axis</v>
      </c>
      <c r="L20">
        <f>Data!E195</f>
        <v>127711.15638073093</v>
      </c>
      <c r="M20">
        <f>Data!M195</f>
        <v>8.2764891490676398</v>
      </c>
      <c r="N20">
        <f t="shared" si="1"/>
        <v>12.082417822207278</v>
      </c>
      <c r="P20">
        <f>Data!E195</f>
        <v>127711.15638073093</v>
      </c>
      <c r="Q20">
        <f>Data!R195</f>
        <v>0</v>
      </c>
      <c r="R20">
        <f>Data!S195</f>
        <v>0</v>
      </c>
    </row>
    <row r="21" spans="1:23" x14ac:dyDescent="0.3">
      <c r="A21" s="94" t="str">
        <f>Data!Y84</f>
        <v>fixed</v>
      </c>
      <c r="B21" s="99">
        <f>Data!E84</f>
        <v>1362.2523347277966</v>
      </c>
      <c r="C21" s="95">
        <f>Data!M84</f>
        <v>6.6067055057008712</v>
      </c>
      <c r="D21" s="95">
        <f>Data!N84</f>
        <v>37.400882264717254</v>
      </c>
      <c r="F21" s="99">
        <f>Data!E33</f>
        <v>5031.8195614007982</v>
      </c>
      <c r="G21" s="96">
        <f>Data!R33</f>
        <v>4.9183003678912636</v>
      </c>
      <c r="H21" s="94" t="str">
        <f>Data!Y33</f>
        <v>1 axis</v>
      </c>
      <c r="I21" s="97">
        <f>Data!S33</f>
        <v>50.240244859693476</v>
      </c>
      <c r="K21" t="str">
        <f>Data!Y196</f>
        <v>fixed</v>
      </c>
      <c r="L21">
        <f>Data!E196</f>
        <v>17532.187547946742</v>
      </c>
      <c r="M21">
        <f>Data!M196</f>
        <v>10.266830622689778</v>
      </c>
      <c r="N21">
        <f t="shared" si="1"/>
        <v>9.7401041933037451</v>
      </c>
      <c r="P21">
        <f>Data!E196</f>
        <v>17532.187547946742</v>
      </c>
      <c r="Q21">
        <f>Data!R196</f>
        <v>0</v>
      </c>
      <c r="R21">
        <f>Data!S196</f>
        <v>0</v>
      </c>
    </row>
    <row r="22" spans="1:23" x14ac:dyDescent="0.3">
      <c r="A22" s="94" t="str">
        <f>Data!Y21</f>
        <v>1 axis</v>
      </c>
      <c r="B22" s="99">
        <f>Data!E21</f>
        <v>1329.79</v>
      </c>
      <c r="C22" s="95">
        <f>Data!M21</f>
        <v>8.106543138390272</v>
      </c>
      <c r="D22" s="95">
        <f>Data!N21</f>
        <v>30.481132408486005</v>
      </c>
      <c r="F22" s="99">
        <f>Data!E34</f>
        <v>5000</v>
      </c>
      <c r="G22" s="96">
        <f>Data!R34</f>
        <v>4.7799999999999994</v>
      </c>
      <c r="H22" s="94" t="str">
        <f>Data!Y34</f>
        <v>1 axis</v>
      </c>
      <c r="I22" s="97">
        <f>Data!S34</f>
        <v>51.693852463677317</v>
      </c>
      <c r="K22" t="str">
        <f>Data!Y197</f>
        <v>fixed</v>
      </c>
      <c r="L22">
        <f>Data!E197</f>
        <v>18000</v>
      </c>
      <c r="M22">
        <f>Data!M197</f>
        <v>7.4444444444444446</v>
      </c>
      <c r="N22">
        <f t="shared" si="1"/>
        <v>13.432835820895521</v>
      </c>
      <c r="P22">
        <f>Data!E197</f>
        <v>18000</v>
      </c>
      <c r="Q22">
        <f>Data!R197</f>
        <v>4.2666666666666666</v>
      </c>
      <c r="R22">
        <f>Data!S197</f>
        <v>57.91326908821349</v>
      </c>
    </row>
    <row r="23" spans="1:23" x14ac:dyDescent="0.3">
      <c r="A23" s="94" t="str">
        <f>Data!Y22</f>
        <v>1 axis</v>
      </c>
      <c r="B23" s="99">
        <f>Data!E22</f>
        <v>1702.8154184097457</v>
      </c>
      <c r="C23" s="95">
        <f>Data!M22</f>
        <v>8.8089406742678289</v>
      </c>
      <c r="D23" s="95">
        <f>Data!N22</f>
        <v>28.05066169853794</v>
      </c>
      <c r="F23" s="99">
        <f>Data!E35</f>
        <v>5108.4462552292371</v>
      </c>
      <c r="G23" s="96"/>
      <c r="H23" s="94" t="str">
        <f>Data!Y35</f>
        <v>1 axis</v>
      </c>
      <c r="I23" s="97"/>
      <c r="K23" t="str">
        <f>Data!Y198</f>
        <v>fixed</v>
      </c>
      <c r="L23">
        <f>Data!E198</f>
        <v>18730.969602507204</v>
      </c>
      <c r="M23">
        <f>Data!M198</f>
        <v>8.5420030780778937</v>
      </c>
      <c r="N23">
        <f t="shared" si="1"/>
        <v>11.706856001567003</v>
      </c>
      <c r="P23">
        <f>Data!E198</f>
        <v>18730.969602507204</v>
      </c>
      <c r="Q23">
        <f>Data!R198</f>
        <v>0</v>
      </c>
      <c r="R23">
        <f>Data!S198</f>
        <v>0</v>
      </c>
    </row>
    <row r="24" spans="1:23" x14ac:dyDescent="0.3">
      <c r="A24" s="94" t="str">
        <f>Data!Y23</f>
        <v>1 axis</v>
      </c>
      <c r="B24" s="99">
        <f>Data!E23</f>
        <v>1702.8154184097457</v>
      </c>
      <c r="C24" s="95">
        <f>Data!M23</f>
        <v>5.8491366077138389</v>
      </c>
      <c r="D24" s="95">
        <f>Data!N23</f>
        <v>42.244972437557138</v>
      </c>
      <c r="F24" s="99">
        <f>Data!E36</f>
        <v>5108.4462552292371</v>
      </c>
      <c r="G24" s="96">
        <f>Data!R36</f>
        <v>5.2364258452592098</v>
      </c>
      <c r="H24" s="94" t="str">
        <f>Data!Y36</f>
        <v>1 axis</v>
      </c>
      <c r="I24" s="97">
        <f>Data!S36</f>
        <v>47.188029025577833</v>
      </c>
      <c r="K24" t="str">
        <f>Data!Y199</f>
        <v>fixed</v>
      </c>
      <c r="L24">
        <f>Data!E199</f>
        <v>21000</v>
      </c>
      <c r="M24">
        <f>Data!M199</f>
        <v>8.8571428571428577</v>
      </c>
      <c r="N24">
        <f t="shared" si="1"/>
        <v>11.29032258064516</v>
      </c>
      <c r="P24">
        <f>Data!E199</f>
        <v>21000</v>
      </c>
      <c r="Q24">
        <f>Data!R199</f>
        <v>6.4</v>
      </c>
      <c r="R24">
        <f>Data!S199</f>
        <v>38.608846058808986</v>
      </c>
    </row>
    <row r="25" spans="1:23" x14ac:dyDescent="0.3">
      <c r="A25" s="94" t="str">
        <f>Data!Y24</f>
        <v>1 axis</v>
      </c>
      <c r="B25" s="99">
        <f>Data!E24</f>
        <v>1702.8154184097457</v>
      </c>
      <c r="C25" s="95">
        <f>Data!M24</f>
        <v>7.6344152510321184</v>
      </c>
      <c r="D25" s="95">
        <f>Data!N24</f>
        <v>32.366148113697619</v>
      </c>
      <c r="F25" s="99">
        <f>Data!E37</f>
        <v>5193.5870261497248</v>
      </c>
      <c r="G25" s="96">
        <f>Data!R37</f>
        <v>0</v>
      </c>
      <c r="H25" s="94" t="str">
        <f>Data!Y37</f>
        <v>1 axis</v>
      </c>
      <c r="I25" s="97">
        <f>Data!S37</f>
        <v>0</v>
      </c>
      <c r="K25" t="str">
        <f>Data!Y200</f>
        <v>fixed</v>
      </c>
      <c r="L25">
        <f>Data!E200</f>
        <v>30000</v>
      </c>
      <c r="M25">
        <f>Data!M200</f>
        <v>8.3333333333333339</v>
      </c>
      <c r="N25">
        <f t="shared" si="1"/>
        <v>12</v>
      </c>
      <c r="P25">
        <f>Data!E200</f>
        <v>30000</v>
      </c>
      <c r="Q25">
        <f>Data!R200</f>
        <v>7.4</v>
      </c>
      <c r="R25">
        <f>Data!S200</f>
        <v>33.391434429240206</v>
      </c>
    </row>
    <row r="26" spans="1:23" x14ac:dyDescent="0.3">
      <c r="A26" s="94" t="str">
        <f>Data!Y25</f>
        <v>1 axis</v>
      </c>
      <c r="B26" s="99">
        <f>Data!E25</f>
        <v>1873.0969602507203</v>
      </c>
      <c r="C26" s="95">
        <f>Data!M25</f>
        <v>9.0758782704577623</v>
      </c>
      <c r="D26" s="95">
        <f>Data!N25</f>
        <v>27.225642236816238</v>
      </c>
      <c r="F26" s="99">
        <f>Data!E38</f>
        <v>5623.5479192981848</v>
      </c>
      <c r="G26" s="96">
        <f>Data!R38</f>
        <v>5.8272820771285758</v>
      </c>
      <c r="H26" s="94" t="str">
        <f>Data!Y38</f>
        <v>1 axis</v>
      </c>
      <c r="I26" s="97">
        <f>Data!S38</f>
        <v>42.403407198392514</v>
      </c>
      <c r="K26" t="str">
        <f>Data!Y201</f>
        <v>fixed</v>
      </c>
      <c r="L26">
        <f>Data!E201</f>
        <v>32000</v>
      </c>
      <c r="M26">
        <f>Data!M201</f>
        <v>6.25</v>
      </c>
      <c r="N26">
        <f t="shared" si="1"/>
        <v>16</v>
      </c>
      <c r="P26">
        <f>Data!E201</f>
        <v>32000</v>
      </c>
      <c r="Q26">
        <f>Data!R201</f>
        <v>6.09375</v>
      </c>
      <c r="R26">
        <f>Data!S201</f>
        <v>40.549188065867085</v>
      </c>
    </row>
    <row r="27" spans="1:23" x14ac:dyDescent="0.3">
      <c r="A27" s="94" t="str">
        <f>Data!Y26</f>
        <v>1 axis</v>
      </c>
      <c r="B27" s="99">
        <f>Data!E26</f>
        <v>2409.4838170497901</v>
      </c>
      <c r="C27" s="95">
        <f>Data!M26</f>
        <v>7.9685117053447492</v>
      </c>
      <c r="D27" s="95">
        <f>Data!N26</f>
        <v>31.009129924555616</v>
      </c>
      <c r="F27" s="99">
        <f>Data!E39</f>
        <v>6811.2616736389828</v>
      </c>
      <c r="G27" s="96"/>
      <c r="H27" s="94" t="str">
        <f>Data!Y39</f>
        <v>1 axis</v>
      </c>
      <c r="I27" s="97"/>
      <c r="K27" t="str">
        <f>Data!Y202</f>
        <v>fixed</v>
      </c>
      <c r="L27">
        <f>Data!E202</f>
        <v>34056.308368194914</v>
      </c>
      <c r="M27">
        <f>Data!M202</f>
        <v>4.1108389813249868</v>
      </c>
      <c r="N27">
        <f t="shared" si="1"/>
        <v>24.325934548710652</v>
      </c>
      <c r="P27">
        <f>Data!E202</f>
        <v>34056.308368194914</v>
      </c>
      <c r="Q27">
        <f>Data!R202</f>
        <v>0</v>
      </c>
      <c r="R27">
        <f>Data!S202</f>
        <v>0</v>
      </c>
    </row>
    <row r="28" spans="1:23" x14ac:dyDescent="0.3">
      <c r="A28" s="94" t="str">
        <f>Data!Y27</f>
        <v>1 axis</v>
      </c>
      <c r="B28" s="99">
        <f>Data!E27</f>
        <v>2554.2231276146185</v>
      </c>
      <c r="C28" s="95">
        <f>Data!M27</f>
        <v>8.6131864370618771</v>
      </c>
      <c r="D28" s="95">
        <f>Data!N27</f>
        <v>28.688176737141074</v>
      </c>
      <c r="F28" s="99">
        <f>Data!E40</f>
        <v>8343.7955502077548</v>
      </c>
      <c r="G28" s="96">
        <f>Data!R40</f>
        <v>0</v>
      </c>
      <c r="H28" s="94" t="str">
        <f>Data!Y40</f>
        <v>1 axis</v>
      </c>
      <c r="I28" s="97">
        <f>Data!S40</f>
        <v>0</v>
      </c>
      <c r="K28" t="e">
        <f>Data!#REF!</f>
        <v>#REF!</v>
      </c>
      <c r="L28" t="e">
        <f>Data!#REF!</f>
        <v>#REF!</v>
      </c>
      <c r="M28" t="e">
        <f>Data!#REF!</f>
        <v>#REF!</v>
      </c>
      <c r="N28" t="e">
        <f t="shared" si="1"/>
        <v>#REF!</v>
      </c>
      <c r="P28" t="e">
        <f>Data!#REF!</f>
        <v>#REF!</v>
      </c>
      <c r="Q28" t="e">
        <f>Data!#REF!</f>
        <v>#REF!</v>
      </c>
      <c r="R28" t="e">
        <f>Data!#REF!</f>
        <v>#REF!</v>
      </c>
    </row>
    <row r="29" spans="1:23" x14ac:dyDescent="0.3">
      <c r="A29" s="94" t="str">
        <f>Data!Y98</f>
        <v>fixed</v>
      </c>
      <c r="B29" s="99">
        <f>Data!E98</f>
        <v>3831.3346914219278</v>
      </c>
      <c r="C29" s="95">
        <f>Data!M98</f>
        <v>4.9591073425507775</v>
      </c>
      <c r="D29" s="95">
        <f>Data!N98</f>
        <v>49.826833280297656</v>
      </c>
      <c r="F29" s="99">
        <f>Data!E41</f>
        <v>8514.0770920487284</v>
      </c>
      <c r="G29" s="96"/>
      <c r="H29" s="94" t="str">
        <f>Data!Y41</f>
        <v>1 axis</v>
      </c>
      <c r="I29" s="97"/>
      <c r="K29" t="str">
        <f>Data!Y203</f>
        <v>fixed</v>
      </c>
      <c r="L29">
        <f>Data!E203</f>
        <v>45000</v>
      </c>
      <c r="M29">
        <f>Data!M203</f>
        <v>11.111111111111111</v>
      </c>
      <c r="N29">
        <f t="shared" si="1"/>
        <v>9</v>
      </c>
      <c r="P29">
        <f>Data!E203</f>
        <v>45000</v>
      </c>
      <c r="Q29">
        <f>Data!R203</f>
        <v>7.666666666666667</v>
      </c>
      <c r="R29">
        <f>Data!S203</f>
        <v>32.229993231701421</v>
      </c>
    </row>
    <row r="30" spans="1:23" x14ac:dyDescent="0.3">
      <c r="A30" s="94" t="str">
        <f>Data!Y28</f>
        <v>1 axis</v>
      </c>
      <c r="B30" s="99">
        <f>Data!E28</f>
        <v>3490.7716077399787</v>
      </c>
      <c r="C30" s="95">
        <f>Data!M28</f>
        <v>7.1617403855836006</v>
      </c>
      <c r="D30" s="95">
        <f>Data!N28</f>
        <v>34.502313889201666</v>
      </c>
      <c r="F30" s="99">
        <f>Data!E42</f>
        <v>8514.0770920487284</v>
      </c>
      <c r="G30" s="96">
        <f>Data!R42</f>
        <v>0</v>
      </c>
      <c r="H30" s="94" t="str">
        <f>Data!Y42</f>
        <v>1 axis</v>
      </c>
      <c r="I30" s="97">
        <f>Data!S42</f>
        <v>0</v>
      </c>
      <c r="K30" t="str">
        <f>Data!Y204</f>
        <v>fixed</v>
      </c>
      <c r="L30">
        <f>Data!E204</f>
        <v>48000</v>
      </c>
      <c r="M30">
        <f>Data!M204</f>
        <v>7.916666666666667</v>
      </c>
      <c r="N30">
        <f t="shared" si="1"/>
        <v>12.631578947368421</v>
      </c>
      <c r="P30">
        <f>Data!E204</f>
        <v>48000</v>
      </c>
      <c r="Q30">
        <f>Data!R204</f>
        <v>6.791666666666667</v>
      </c>
      <c r="R30">
        <f>Data!S204</f>
        <v>36.382323648055589</v>
      </c>
      <c r="T30" t="s">
        <v>853</v>
      </c>
      <c r="W30" t="s">
        <v>854</v>
      </c>
    </row>
    <row r="31" spans="1:23" x14ac:dyDescent="0.3">
      <c r="A31" s="94" t="str">
        <f>Data!Y29</f>
        <v>fixed</v>
      </c>
      <c r="B31" s="99">
        <f>Data!E29</f>
        <v>3746.1939205014405</v>
      </c>
      <c r="C31" s="95">
        <f>Data!M29</f>
        <v>4.1909202601819668</v>
      </c>
      <c r="D31" s="95">
        <f>Data!N29</f>
        <v>58.959989557436444</v>
      </c>
      <c r="F31" s="99">
        <f>Data!E43</f>
        <v>9110.0624884921399</v>
      </c>
      <c r="G31" s="96"/>
      <c r="H31" s="94" t="str">
        <f>Data!Y43</f>
        <v>1 axis</v>
      </c>
      <c r="I31" s="97"/>
      <c r="K31" t="str">
        <f>Data!Y205</f>
        <v>fixed</v>
      </c>
      <c r="L31">
        <f>Data!E205</f>
        <v>51084.462552292374</v>
      </c>
      <c r="M31">
        <f>Data!M205</f>
        <v>7.0471525394142631</v>
      </c>
      <c r="N31">
        <f t="shared" si="1"/>
        <v>14.190128486747881</v>
      </c>
      <c r="P31">
        <f>Data!E205</f>
        <v>51084.462552292374</v>
      </c>
      <c r="Q31">
        <f>Data!R205</f>
        <v>0</v>
      </c>
      <c r="R31">
        <f>Data!S205</f>
        <v>0</v>
      </c>
    </row>
    <row r="32" spans="1:23" x14ac:dyDescent="0.3">
      <c r="A32" s="94" t="str">
        <f>Data!Y30</f>
        <v>1 axis</v>
      </c>
      <c r="B32" s="99">
        <f>Data!E30</f>
        <v>4086.7570041833897</v>
      </c>
      <c r="C32" s="95">
        <f>Data!M30</f>
        <v>8.3195550812529486</v>
      </c>
      <c r="D32" s="95">
        <f>Data!N30</f>
        <v>29.700700621981351</v>
      </c>
      <c r="F32" s="99">
        <f>Data!E44</f>
        <v>9195.2032594126267</v>
      </c>
      <c r="G32" s="96"/>
      <c r="H32" s="94" t="str">
        <f>Data!Y44</f>
        <v>1 axis</v>
      </c>
      <c r="I32" s="97"/>
      <c r="K32" t="str">
        <f>Data!Y206</f>
        <v>fixed</v>
      </c>
      <c r="L32">
        <f>Data!E206</f>
        <v>50400</v>
      </c>
      <c r="M32">
        <f>Data!M206</f>
        <v>11.904761904761905</v>
      </c>
      <c r="N32">
        <f t="shared" si="1"/>
        <v>8.4</v>
      </c>
      <c r="P32">
        <f>Data!E206</f>
        <v>50400</v>
      </c>
      <c r="Q32">
        <f>Data!R206</f>
        <v>0</v>
      </c>
      <c r="R32">
        <f>Data!S206</f>
        <v>0</v>
      </c>
    </row>
    <row r="33" spans="1:18" x14ac:dyDescent="0.3">
      <c r="A33" s="94" t="str">
        <f>Data!Y31</f>
        <v>1 axis</v>
      </c>
      <c r="B33" s="99">
        <f>Data!E31</f>
        <v>4257.0385460243642</v>
      </c>
      <c r="C33" s="95">
        <f>Data!M31</f>
        <v>9.3962033858856842</v>
      </c>
      <c r="D33" s="95">
        <f>Data!N31</f>
        <v>26.297495342379314</v>
      </c>
      <c r="F33" s="99">
        <f>Data!E45</f>
        <v>9400</v>
      </c>
      <c r="G33" s="96"/>
      <c r="H33" s="94" t="str">
        <f>Data!Y45</f>
        <v>1 axis</v>
      </c>
      <c r="I33" s="97"/>
      <c r="K33" t="str">
        <f>Data!Y207</f>
        <v>fixed</v>
      </c>
      <c r="L33">
        <f>Data!E207</f>
        <v>290000</v>
      </c>
      <c r="M33">
        <f>Data!M207</f>
        <v>8.2758620689655178</v>
      </c>
      <c r="N33">
        <f t="shared" si="1"/>
        <v>12.083333333333332</v>
      </c>
      <c r="P33">
        <f>Data!E207</f>
        <v>290000</v>
      </c>
      <c r="Q33">
        <f>Data!R207</f>
        <v>0</v>
      </c>
      <c r="R33">
        <f>Data!S207</f>
        <v>0</v>
      </c>
    </row>
    <row r="34" spans="1:18" x14ac:dyDescent="0.3">
      <c r="A34" s="94" t="str">
        <f>Data!Y81</f>
        <v>fixed</v>
      </c>
      <c r="B34" s="99">
        <f>Data!E81</f>
        <v>1106.8300219663347</v>
      </c>
      <c r="C34" s="95">
        <f>Data!M81</f>
        <v>4.9691460213818521</v>
      </c>
      <c r="D34" s="95">
        <f>Data!N81</f>
        <v>49.72617301104453</v>
      </c>
      <c r="F34" s="99">
        <f>Data!E46</f>
        <v>10000</v>
      </c>
      <c r="G34" s="96">
        <f>Data!R46</f>
        <v>0</v>
      </c>
      <c r="H34" s="94" t="str">
        <f>Data!Y46</f>
        <v>1 axis</v>
      </c>
      <c r="I34" s="97">
        <f>Data!S46</f>
        <v>0</v>
      </c>
      <c r="K34" t="str">
        <f>Data!Y208</f>
        <v>fixed</v>
      </c>
      <c r="L34">
        <f>Data!E208</f>
        <v>550000</v>
      </c>
      <c r="M34">
        <f>Data!M208</f>
        <v>7.7181818181818178</v>
      </c>
      <c r="N34">
        <f t="shared" si="1"/>
        <v>12.956419316843347</v>
      </c>
      <c r="P34">
        <f>Data!E208</f>
        <v>550000</v>
      </c>
      <c r="Q34">
        <f>Data!R208</f>
        <v>5.4636363636363638</v>
      </c>
      <c r="R34">
        <f>Data!S208</f>
        <v>45.225669925792893</v>
      </c>
    </row>
    <row r="35" spans="1:18" x14ac:dyDescent="0.3">
      <c r="A35" s="94" t="str">
        <f>Data!Y32</f>
        <v>1 axis</v>
      </c>
      <c r="B35" s="99">
        <f>Data!E32</f>
        <v>4512.4608587858265</v>
      </c>
      <c r="C35" s="95">
        <f>Data!M32</f>
        <v>5.9834314013894678</v>
      </c>
      <c r="D35" s="95">
        <f>Data!N32</f>
        <v>41.296807500625299</v>
      </c>
      <c r="F35" s="99">
        <f>Data!E47</f>
        <v>10000</v>
      </c>
      <c r="G35" s="96">
        <f>Data!R47</f>
        <v>5.0329999999999995</v>
      </c>
      <c r="H35" s="94" t="str">
        <f>Data!Y47</f>
        <v>1 axis</v>
      </c>
      <c r="I35" s="97">
        <f>Data!S47</f>
        <v>49.095294014777977</v>
      </c>
      <c r="K35" t="str">
        <f>Data!Y209</f>
        <v>fixed</v>
      </c>
      <c r="L35">
        <f>Data!E209</f>
        <v>550000</v>
      </c>
      <c r="M35">
        <f>Data!M209</f>
        <v>6.3636363636363633</v>
      </c>
      <c r="N35">
        <f t="shared" si="1"/>
        <v>15.714285714285715</v>
      </c>
      <c r="P35">
        <f>Data!E209</f>
        <v>550000</v>
      </c>
      <c r="Q35">
        <f>Data!R209</f>
        <v>0</v>
      </c>
      <c r="R35">
        <f>Data!S209</f>
        <v>0</v>
      </c>
    </row>
    <row r="36" spans="1:18" x14ac:dyDescent="0.3">
      <c r="A36" s="94" t="str">
        <f>Data!Y33</f>
        <v>1 axis</v>
      </c>
      <c r="B36" s="99">
        <f>Data!E33</f>
        <v>5031.8195614007982</v>
      </c>
      <c r="C36" s="95">
        <f>Data!M33</f>
        <v>6.9557343169627526</v>
      </c>
      <c r="D36" s="95">
        <f>Data!N33</f>
        <v>35.524159422505541</v>
      </c>
      <c r="F36" s="99">
        <f>Data!E48</f>
        <v>11732.398232843148</v>
      </c>
      <c r="G36" s="96">
        <f>Data!R48</f>
        <v>0</v>
      </c>
      <c r="H36" s="94" t="str">
        <f>Data!Y48</f>
        <v>1 axis</v>
      </c>
      <c r="I36" s="97">
        <f>Data!S48</f>
        <v>0</v>
      </c>
      <c r="K36" t="str">
        <f>Data!Y210</f>
        <v>unknown</v>
      </c>
      <c r="L36">
        <f>Data!E210</f>
        <v>17028.154184097457</v>
      </c>
      <c r="M36">
        <f>Data!M210</f>
        <v>10.570728809121395</v>
      </c>
      <c r="N36">
        <f t="shared" si="1"/>
        <v>9.4600856578319199</v>
      </c>
      <c r="P36">
        <f>Data!E210</f>
        <v>17028.154184097457</v>
      </c>
      <c r="Q36">
        <f>Data!R210</f>
        <v>0</v>
      </c>
      <c r="R36">
        <f>Data!S210</f>
        <v>0</v>
      </c>
    </row>
    <row r="37" spans="1:18" x14ac:dyDescent="0.3">
      <c r="A37" s="94" t="str">
        <f>Data!Y34</f>
        <v>1 axis</v>
      </c>
      <c r="B37" s="99">
        <f>Data!E34</f>
        <v>5000</v>
      </c>
      <c r="C37" s="95">
        <f>Data!M34</f>
        <v>5.74</v>
      </c>
      <c r="D37" s="95">
        <f>Data!N34</f>
        <v>43.048190727591908</v>
      </c>
      <c r="F37" s="99">
        <f>Data!E49</f>
        <v>12260.271012550169</v>
      </c>
      <c r="G37" s="96">
        <f>Data!R49</f>
        <v>0</v>
      </c>
      <c r="H37" s="94" t="str">
        <f>Data!Y49</f>
        <v>1 axis</v>
      </c>
      <c r="I37" s="97">
        <f>Data!S49</f>
        <v>0</v>
      </c>
      <c r="K37" t="str">
        <f>Data!Y211</f>
        <v>unknown</v>
      </c>
      <c r="L37">
        <f>Data!E211</f>
        <v>20000</v>
      </c>
      <c r="M37">
        <f>Data!M211</f>
        <v>8</v>
      </c>
      <c r="N37">
        <f t="shared" si="1"/>
        <v>12.5</v>
      </c>
      <c r="P37">
        <f>Data!E211</f>
        <v>20000</v>
      </c>
      <c r="Q37">
        <f>Data!R211</f>
        <v>0</v>
      </c>
      <c r="R37">
        <f>Data!S211</f>
        <v>0</v>
      </c>
    </row>
    <row r="38" spans="1:18" x14ac:dyDescent="0.3">
      <c r="A38" s="94" t="str">
        <f>Data!Y35</f>
        <v>1 axis</v>
      </c>
      <c r="B38" s="99">
        <f>Data!E35</f>
        <v>5108.4462552292371</v>
      </c>
      <c r="C38" s="95">
        <f>Data!M35</f>
        <v>7.8301694882380701</v>
      </c>
      <c r="D38" s="95">
        <f>Data!N35</f>
        <v>31.556994410855175</v>
      </c>
      <c r="F38" s="99">
        <f>Data!E50</f>
        <v>13500</v>
      </c>
      <c r="G38" s="96">
        <f>Data!R50</f>
        <v>8.2222222222222214</v>
      </c>
      <c r="H38" s="94" t="str">
        <f>Data!Y50</f>
        <v>1 axis</v>
      </c>
      <c r="I38" s="97">
        <f>Data!S50</f>
        <v>30.052290986316187</v>
      </c>
      <c r="K38" t="str">
        <f>Data!Y212</f>
        <v>unknown</v>
      </c>
      <c r="L38">
        <f>Data!E212</f>
        <v>20000</v>
      </c>
      <c r="M38">
        <f>Data!M212</f>
        <v>8</v>
      </c>
      <c r="N38">
        <f t="shared" si="1"/>
        <v>12.5</v>
      </c>
      <c r="P38">
        <f>Data!E212</f>
        <v>20000</v>
      </c>
      <c r="Q38">
        <f>Data!R212</f>
        <v>0</v>
      </c>
      <c r="R38">
        <f>Data!S212</f>
        <v>0</v>
      </c>
    </row>
    <row r="39" spans="1:18" x14ac:dyDescent="0.3">
      <c r="A39" s="94" t="str">
        <f>Data!Y36</f>
        <v>1 axis</v>
      </c>
      <c r="B39" s="99">
        <f>Data!E36</f>
        <v>5108.4462552292371</v>
      </c>
      <c r="C39" s="95">
        <f>Data!M36</f>
        <v>8.4174321998559254</v>
      </c>
      <c r="D39" s="95">
        <f>Data!N36</f>
        <v>29.355343638004818</v>
      </c>
      <c r="F39" s="99">
        <f>Data!E51</f>
        <v>14000</v>
      </c>
      <c r="G39" s="96"/>
      <c r="H39" s="94" t="str">
        <f>Data!Y51</f>
        <v>1 axis</v>
      </c>
      <c r="I39" s="97"/>
      <c r="K39" t="str">
        <f>Data!Y213</f>
        <v>unknown</v>
      </c>
      <c r="L39">
        <f>Data!E213</f>
        <v>20000</v>
      </c>
      <c r="M39">
        <f>Data!M213</f>
        <v>13.25</v>
      </c>
      <c r="N39">
        <f t="shared" si="1"/>
        <v>7.5471698113207548</v>
      </c>
      <c r="P39">
        <f>Data!E213</f>
        <v>20000</v>
      </c>
      <c r="Q39">
        <f>Data!R213</f>
        <v>0</v>
      </c>
      <c r="R39">
        <f>Data!S213</f>
        <v>0</v>
      </c>
    </row>
    <row r="40" spans="1:18" x14ac:dyDescent="0.3">
      <c r="A40" s="94" t="str">
        <f>Data!Y37</f>
        <v>1 axis</v>
      </c>
      <c r="B40" s="99">
        <f>Data!E37</f>
        <v>5193.5870261497248</v>
      </c>
      <c r="C40" s="95">
        <f>Data!M37</f>
        <v>5.7763545405034931</v>
      </c>
      <c r="D40" s="95">
        <f>Data!N37</f>
        <v>42.777259090270363</v>
      </c>
      <c r="F40" s="99">
        <f>Data!E52</f>
        <v>14473.931056482839</v>
      </c>
      <c r="G40" s="96"/>
      <c r="H40" s="94" t="str">
        <f>Data!Y52</f>
        <v>1 axis</v>
      </c>
      <c r="I40" s="97"/>
      <c r="K40" t="str">
        <f>Data!Y214</f>
        <v>unknown</v>
      </c>
      <c r="L40">
        <f>Data!E214</f>
        <v>20500</v>
      </c>
      <c r="M40">
        <f>Data!M214</f>
        <v>7.5121951219512191</v>
      </c>
      <c r="N40">
        <f t="shared" si="1"/>
        <v>13.311688311688313</v>
      </c>
      <c r="P40">
        <f>Data!E214</f>
        <v>20500</v>
      </c>
      <c r="Q40">
        <f>Data!R214</f>
        <v>0</v>
      </c>
      <c r="R40">
        <f>Data!S214</f>
        <v>0</v>
      </c>
    </row>
    <row r="41" spans="1:18" x14ac:dyDescent="0.3">
      <c r="A41" s="94" t="str">
        <f>Data!Y38</f>
        <v>1 axis</v>
      </c>
      <c r="B41" s="99">
        <f>Data!E38</f>
        <v>5623.5479192981848</v>
      </c>
      <c r="C41" s="95">
        <f>Data!M38</f>
        <v>11.22067436883775</v>
      </c>
      <c r="D41" s="95">
        <f>Data!N38</f>
        <v>22.02154760525076</v>
      </c>
      <c r="F41" s="99">
        <f>Data!E53</f>
        <v>15000</v>
      </c>
      <c r="G41" s="96"/>
      <c r="H41" s="94" t="str">
        <f>Data!Y53</f>
        <v>1 axis</v>
      </c>
      <c r="I41" s="97"/>
      <c r="K41" t="str">
        <f>Data!Y215</f>
        <v>unknown</v>
      </c>
      <c r="L41">
        <f>Data!E215</f>
        <v>23000</v>
      </c>
      <c r="M41">
        <f>Data!M215</f>
        <v>5.3478260869565215</v>
      </c>
      <c r="N41">
        <f t="shared" si="1"/>
        <v>18.699186991869919</v>
      </c>
      <c r="P41">
        <f>Data!E215</f>
        <v>23000</v>
      </c>
      <c r="Q41">
        <f>Data!R215</f>
        <v>0</v>
      </c>
      <c r="R41">
        <f>Data!S215</f>
        <v>0</v>
      </c>
    </row>
    <row r="42" spans="1:18" x14ac:dyDescent="0.3">
      <c r="A42" s="94" t="str">
        <f>Data!Y39</f>
        <v>1 axis</v>
      </c>
      <c r="B42" s="99">
        <f>Data!E39</f>
        <v>6811.2616736389828</v>
      </c>
      <c r="C42" s="95">
        <f>Data!M39</f>
        <v>5.358772243512929</v>
      </c>
      <c r="D42" s="95">
        <f>Data!N39</f>
        <v>46.110676764719905</v>
      </c>
      <c r="F42" s="99">
        <f>Data!E54</f>
        <v>15000</v>
      </c>
      <c r="G42" s="96">
        <f>Data!R54</f>
        <v>6.6919999999999993</v>
      </c>
      <c r="H42" s="94" t="str">
        <f>Data!Y54</f>
        <v>1 axis</v>
      </c>
      <c r="I42" s="97">
        <f>Data!S54</f>
        <v>36.92418033119808</v>
      </c>
      <c r="K42" t="str">
        <f>Data!Y216</f>
        <v>unknown</v>
      </c>
      <c r="L42">
        <f>Data!E216</f>
        <v>30000</v>
      </c>
      <c r="M42">
        <f>Data!M216</f>
        <v>12.666666666666666</v>
      </c>
      <c r="N42">
        <f t="shared" si="1"/>
        <v>7.8947368421052637</v>
      </c>
      <c r="P42">
        <f>Data!E216</f>
        <v>30000</v>
      </c>
      <c r="Q42">
        <f>Data!R216</f>
        <v>0</v>
      </c>
      <c r="R42">
        <f>Data!S216</f>
        <v>0</v>
      </c>
    </row>
    <row r="43" spans="1:18" x14ac:dyDescent="0.3">
      <c r="A43" s="94" t="str">
        <f>Data!Y40</f>
        <v>1 axis</v>
      </c>
      <c r="B43" s="99">
        <f>Data!E40</f>
        <v>8343.7955502077548</v>
      </c>
      <c r="C43" s="95">
        <f>Data!M40</f>
        <v>7.1909719789941446</v>
      </c>
      <c r="D43" s="95">
        <f>Data!N40</f>
        <v>34.362060580708977</v>
      </c>
      <c r="F43" s="99">
        <f>Data!E55</f>
        <v>15500</v>
      </c>
      <c r="G43" s="96">
        <f>Data!R55</f>
        <v>7.5161290322580649</v>
      </c>
      <c r="H43" s="94" t="str">
        <f>Data!Y55</f>
        <v>1 axis</v>
      </c>
      <c r="I43" s="97">
        <f>Data!S55</f>
        <v>32.875515270676843</v>
      </c>
      <c r="K43" t="str">
        <f>Data!Y217</f>
        <v>unknown</v>
      </c>
      <c r="L43">
        <f>Data!E217</f>
        <v>32353.49294978517</v>
      </c>
      <c r="M43">
        <f>Data!M217</f>
        <v>5.7799014248704692</v>
      </c>
      <c r="N43">
        <f t="shared" si="1"/>
        <v>17.301333128227366</v>
      </c>
      <c r="P43">
        <f>Data!E217</f>
        <v>32353.49294978517</v>
      </c>
      <c r="Q43">
        <f>Data!R217</f>
        <v>0</v>
      </c>
      <c r="R43">
        <f>Data!S217</f>
        <v>0</v>
      </c>
    </row>
    <row r="44" spans="1:18" x14ac:dyDescent="0.3">
      <c r="A44" s="94" t="str">
        <f>Data!Y41</f>
        <v>1 axis</v>
      </c>
      <c r="B44" s="99">
        <f>Data!E41</f>
        <v>8514.0770920487284</v>
      </c>
      <c r="C44" s="95">
        <f>Data!M41</f>
        <v>4.8155542352664131</v>
      </c>
      <c r="D44" s="95">
        <f>Data!N41</f>
        <v>51.312186033910862</v>
      </c>
      <c r="F44" s="99">
        <f>Data!E56</f>
        <v>17500</v>
      </c>
      <c r="G44" s="96">
        <f>Data!R56</f>
        <v>0</v>
      </c>
      <c r="H44" s="94" t="str">
        <f>Data!Y56</f>
        <v>1 axis</v>
      </c>
      <c r="I44" s="97">
        <f>Data!S56</f>
        <v>0</v>
      </c>
      <c r="K44" t="str">
        <f>Data!Y218</f>
        <v>unknown</v>
      </c>
      <c r="L44">
        <f>Data!E218</f>
        <v>42485.244689323154</v>
      </c>
      <c r="M44">
        <f>Data!M218</f>
        <v>7.5320267622330137</v>
      </c>
      <c r="N44">
        <f t="shared" si="1"/>
        <v>13.276638965413484</v>
      </c>
      <c r="P44">
        <f>Data!E218</f>
        <v>42485.244689323154</v>
      </c>
      <c r="Q44">
        <f>Data!R218</f>
        <v>0</v>
      </c>
      <c r="R44">
        <f>Data!S218</f>
        <v>0</v>
      </c>
    </row>
    <row r="45" spans="1:18" x14ac:dyDescent="0.3">
      <c r="A45" s="94" t="str">
        <f>Data!Y42</f>
        <v>1 axis</v>
      </c>
      <c r="B45" s="99">
        <f>Data!E42</f>
        <v>8514.0770920487284</v>
      </c>
      <c r="C45" s="95">
        <f>Data!M42</f>
        <v>7.0471525394142631</v>
      </c>
      <c r="D45" s="95">
        <f>Data!N42</f>
        <v>35.063327123172421</v>
      </c>
      <c r="F45" s="99">
        <f>Data!E57</f>
        <v>18000</v>
      </c>
      <c r="G45" s="96">
        <f>Data!R57</f>
        <v>0</v>
      </c>
      <c r="H45" s="94" t="str">
        <f>Data!Y57</f>
        <v>1 axis</v>
      </c>
      <c r="I45" s="97">
        <f>Data!S57</f>
        <v>0</v>
      </c>
      <c r="K45" t="str">
        <f>Data!Y219</f>
        <v>unknown</v>
      </c>
      <c r="L45">
        <f>Data!E219</f>
        <v>42570.38546024364</v>
      </c>
      <c r="M45">
        <f>Data!M219</f>
        <v>7.0471525394142631</v>
      </c>
      <c r="N45">
        <f t="shared" si="1"/>
        <v>14.190128486747881</v>
      </c>
      <c r="P45">
        <f>Data!E219</f>
        <v>42570.38546024364</v>
      </c>
      <c r="Q45">
        <f>Data!R219</f>
        <v>0</v>
      </c>
      <c r="R45">
        <f>Data!S219</f>
        <v>0</v>
      </c>
    </row>
    <row r="46" spans="1:18" x14ac:dyDescent="0.3">
      <c r="A46" s="94" t="str">
        <f>Data!Y43</f>
        <v>1 axis</v>
      </c>
      <c r="B46" s="99">
        <f>Data!E43</f>
        <v>9110.0624884921399</v>
      </c>
      <c r="C46" s="95">
        <f>Data!M43</f>
        <v>10.976873114352433</v>
      </c>
      <c r="D46" s="95">
        <f>Data!N43</f>
        <v>22.510656013076698</v>
      </c>
      <c r="F46" s="99">
        <f>Data!E58</f>
        <v>863.32741713374105</v>
      </c>
      <c r="G46" s="96">
        <f>Data!R58</f>
        <v>6.8340236657699132</v>
      </c>
      <c r="H46" s="94" t="str">
        <f>Data!Y58</f>
        <v>2 axis</v>
      </c>
      <c r="I46" s="97">
        <f>Data!S58</f>
        <v>36.156827494471358</v>
      </c>
      <c r="K46" t="str">
        <f>Data!Y220</f>
        <v>unknown</v>
      </c>
      <c r="L46">
        <f>Data!E220</f>
        <v>42570.38546024364</v>
      </c>
      <c r="M46">
        <f>Data!M220</f>
        <v>7.5169627087085473</v>
      </c>
      <c r="N46">
        <f t="shared" si="1"/>
        <v>13.303245456326138</v>
      </c>
      <c r="P46">
        <f>Data!E220</f>
        <v>42570.38546024364</v>
      </c>
      <c r="Q46">
        <f>Data!R220</f>
        <v>0</v>
      </c>
      <c r="R46">
        <f>Data!S220</f>
        <v>0</v>
      </c>
    </row>
    <row r="47" spans="1:18" x14ac:dyDescent="0.3">
      <c r="A47" s="94" t="str">
        <f>Data!Y44</f>
        <v>1 axis</v>
      </c>
      <c r="B47" s="99">
        <f>Data!E44</f>
        <v>9195.2032594126267</v>
      </c>
      <c r="C47" s="95">
        <f>Data!M44</f>
        <v>9.3211642616234034</v>
      </c>
      <c r="D47" s="95">
        <f>Data!N44</f>
        <v>26.50920076515661</v>
      </c>
      <c r="F47" s="99">
        <f>Data!E59</f>
        <v>882.90979444545314</v>
      </c>
      <c r="G47" s="96">
        <f>Data!R59</f>
        <v>7.0097761276815929</v>
      </c>
      <c r="H47" s="94" t="str">
        <f>Data!Y59</f>
        <v>2 axis</v>
      </c>
      <c r="I47" s="97">
        <f>Data!S59</f>
        <v>35.250286211080756</v>
      </c>
      <c r="K47" t="str">
        <f>Data!Y221</f>
        <v>unknown</v>
      </c>
      <c r="L47">
        <f>Data!E221</f>
        <v>42570.38546024364</v>
      </c>
      <c r="M47">
        <f>Data!M221</f>
        <v>3.7584813543542737</v>
      </c>
      <c r="N47">
        <f t="shared" si="1"/>
        <v>26.606490912652276</v>
      </c>
      <c r="P47">
        <f>Data!E221</f>
        <v>42570.38546024364</v>
      </c>
      <c r="Q47">
        <f>Data!R221</f>
        <v>0</v>
      </c>
      <c r="R47">
        <f>Data!S221</f>
        <v>0</v>
      </c>
    </row>
    <row r="48" spans="1:18" x14ac:dyDescent="0.3">
      <c r="A48" s="94" t="str">
        <f>Data!Y45</f>
        <v>1 axis</v>
      </c>
      <c r="B48" s="99">
        <f>Data!E45</f>
        <v>9400</v>
      </c>
      <c r="C48" s="95">
        <f>Data!M45</f>
        <v>7.8563829787234036</v>
      </c>
      <c r="D48" s="95">
        <f>Data!N45</f>
        <v>31.451701813106965</v>
      </c>
      <c r="F48" s="99">
        <f>Data!E60</f>
        <v>986.78153496844766</v>
      </c>
      <c r="G48" s="96">
        <f>Data!R60</f>
        <v>9.1205598007949913</v>
      </c>
      <c r="H48" s="94" t="str">
        <f>Data!Y60</f>
        <v>2 axis</v>
      </c>
      <c r="I48" s="97">
        <f>Data!S60</f>
        <v>27.09226409050456</v>
      </c>
      <c r="K48" t="str">
        <f>Data!Y222</f>
        <v>unknown</v>
      </c>
      <c r="L48">
        <f>Data!E222</f>
        <v>49900</v>
      </c>
      <c r="M48">
        <f>Data!M222</f>
        <v>8.4689378757515037</v>
      </c>
      <c r="N48">
        <f t="shared" si="1"/>
        <v>11.807856128726927</v>
      </c>
      <c r="P48">
        <f>Data!E222</f>
        <v>49900</v>
      </c>
      <c r="Q48">
        <f>Data!R222</f>
        <v>0</v>
      </c>
      <c r="R48">
        <f>Data!S222</f>
        <v>0</v>
      </c>
    </row>
    <row r="49" spans="1:18" x14ac:dyDescent="0.3">
      <c r="A49" s="94" t="str">
        <f>Data!Y46</f>
        <v>1 axis</v>
      </c>
      <c r="B49" s="99">
        <f>Data!E46</f>
        <v>10000</v>
      </c>
      <c r="C49" s="95">
        <f>Data!M46</f>
        <v>8</v>
      </c>
      <c r="D49" s="95">
        <f>Data!N46</f>
        <v>30.88707684704719</v>
      </c>
      <c r="F49" s="99">
        <f>Data!E61</f>
        <v>1873.0969602507203</v>
      </c>
      <c r="G49" s="96">
        <f>Data!R61</f>
        <v>11.745254232357103</v>
      </c>
      <c r="H49" s="94" t="str">
        <f>Data!Y61</f>
        <v>2 axis</v>
      </c>
      <c r="I49" s="97">
        <f>Data!S61</f>
        <v>21.037996273903456</v>
      </c>
      <c r="K49" t="str">
        <f>Data!Y223</f>
        <v>unknown</v>
      </c>
      <c r="L49">
        <f>Data!E223</f>
        <v>50000</v>
      </c>
      <c r="M49">
        <f>Data!M223</f>
        <v>6</v>
      </c>
      <c r="N49">
        <f t="shared" si="1"/>
        <v>16.666666666666668</v>
      </c>
      <c r="P49">
        <f>Data!E223</f>
        <v>50000</v>
      </c>
      <c r="Q49">
        <f>Data!R223</f>
        <v>5.54</v>
      </c>
      <c r="R49">
        <f>Data!S223</f>
        <v>44.602277035447216</v>
      </c>
    </row>
    <row r="50" spans="1:18" x14ac:dyDescent="0.3">
      <c r="A50" s="94" t="str">
        <f>Data!Y47</f>
        <v>1 axis</v>
      </c>
      <c r="B50" s="99">
        <f>Data!E47</f>
        <v>10000</v>
      </c>
      <c r="C50" s="95">
        <f>Data!M47</f>
        <v>10.3</v>
      </c>
      <c r="D50" s="95">
        <f>Data!N47</f>
        <v>23.989962599648305</v>
      </c>
      <c r="F50" s="99">
        <f>Data!E62</f>
        <v>148.99634911085275</v>
      </c>
      <c r="G50" s="96">
        <f>Data!R62</f>
        <v>5.7719535084726346</v>
      </c>
      <c r="H50" s="94" t="str">
        <f>Data!Y62</f>
        <v>CPV</v>
      </c>
      <c r="I50" s="97">
        <f>Data!S62</f>
        <v>42.809876138757026</v>
      </c>
      <c r="K50" t="str">
        <f>Data!Y224</f>
        <v>unknown</v>
      </c>
      <c r="L50">
        <f>Data!E224</f>
        <v>51084.462552292374</v>
      </c>
      <c r="M50">
        <f>Data!M224</f>
        <v>11.745254232357105</v>
      </c>
      <c r="N50">
        <f t="shared" si="1"/>
        <v>8.5140770920487281</v>
      </c>
      <c r="P50">
        <f>Data!E224</f>
        <v>51084.462552292374</v>
      </c>
      <c r="Q50">
        <f>Data!R224</f>
        <v>0</v>
      </c>
      <c r="R50">
        <f>Data!S224</f>
        <v>0</v>
      </c>
    </row>
    <row r="51" spans="1:18" x14ac:dyDescent="0.3">
      <c r="A51" s="94" t="str">
        <f>Data!Y48</f>
        <v>1 axis</v>
      </c>
      <c r="B51" s="99">
        <f>Data!E48</f>
        <v>11732.398232843148</v>
      </c>
      <c r="C51" s="95">
        <f>Data!M48</f>
        <v>10.057619734529306</v>
      </c>
      <c r="D51" s="95">
        <f>Data!N48</f>
        <v>24.568100733422849</v>
      </c>
      <c r="F51" s="99">
        <f>Data!E63</f>
        <v>891.4238715375019</v>
      </c>
      <c r="G51" s="96"/>
      <c r="H51" s="94" t="str">
        <f>Data!Y63</f>
        <v>CPV</v>
      </c>
      <c r="I51" s="97"/>
      <c r="K51" t="str">
        <f>Data!Y225</f>
        <v>unknown</v>
      </c>
      <c r="L51">
        <f>Data!E225</f>
        <v>63855.578190365464</v>
      </c>
      <c r="M51">
        <f>Data!M225</f>
        <v>6.2641355905904561</v>
      </c>
      <c r="N51">
        <f t="shared" si="1"/>
        <v>15.963894547591366</v>
      </c>
      <c r="P51">
        <f>Data!E225</f>
        <v>63855.578190365464</v>
      </c>
      <c r="Q51">
        <f>Data!R225</f>
        <v>0</v>
      </c>
      <c r="R51">
        <f>Data!S225</f>
        <v>0</v>
      </c>
    </row>
    <row r="52" spans="1:18" x14ac:dyDescent="0.3">
      <c r="A52" s="94" t="str">
        <f>Data!Y49</f>
        <v>1 axis</v>
      </c>
      <c r="B52" s="99">
        <f>Data!E49</f>
        <v>12260.271012550169</v>
      </c>
      <c r="C52" s="95">
        <f>Data!M49</f>
        <v>7.3407838952231907</v>
      </c>
      <c r="D52" s="95">
        <f>Data!N49</f>
        <v>33.660794038245527</v>
      </c>
      <c r="F52" s="99">
        <f>Data!E64</f>
        <v>1000</v>
      </c>
      <c r="G52" s="96">
        <f>Data!R64</f>
        <v>10.7</v>
      </c>
      <c r="H52" s="94" t="str">
        <f>Data!Y64</f>
        <v>CPV</v>
      </c>
      <c r="I52" s="97">
        <f>Data!S64</f>
        <v>23.093141567885755</v>
      </c>
      <c r="K52" t="str">
        <f>Data!Y226</f>
        <v>unknown</v>
      </c>
      <c r="L52">
        <f>Data!E226</f>
        <v>63855.578190365464</v>
      </c>
      <c r="M52">
        <f>Data!M226</f>
        <v>11.635631859521771</v>
      </c>
      <c r="N52">
        <f t="shared" si="1"/>
        <v>8.5942904697665501</v>
      </c>
      <c r="P52">
        <f>Data!E226</f>
        <v>63855.578190365464</v>
      </c>
      <c r="Q52">
        <f>Data!R226</f>
        <v>0</v>
      </c>
      <c r="R52">
        <f>Data!S226</f>
        <v>0</v>
      </c>
    </row>
    <row r="53" spans="1:18" x14ac:dyDescent="0.3">
      <c r="A53" s="94" t="str">
        <f>Data!Y50</f>
        <v>1 axis</v>
      </c>
      <c r="B53" s="99">
        <f>Data!E50</f>
        <v>13500</v>
      </c>
      <c r="C53" s="95">
        <f>Data!M50</f>
        <v>10.37037037037037</v>
      </c>
      <c r="D53" s="95">
        <f>Data!N50</f>
        <v>23.82717356772212</v>
      </c>
      <c r="F53" s="99">
        <f>Data!E65</f>
        <v>5040</v>
      </c>
      <c r="G53" s="96"/>
      <c r="H53" s="94" t="str">
        <f>Data!Y65</f>
        <v>CPV</v>
      </c>
      <c r="I53" s="97"/>
      <c r="K53" t="str">
        <f>Data!Y227</f>
        <v>unknown</v>
      </c>
      <c r="L53">
        <f>Data!E227</f>
        <v>70000</v>
      </c>
      <c r="M53">
        <f>Data!M227</f>
        <v>4.2857142857142856</v>
      </c>
      <c r="N53">
        <f t="shared" si="1"/>
        <v>23.333333333333336</v>
      </c>
      <c r="P53">
        <f>Data!E227</f>
        <v>70000</v>
      </c>
      <c r="Q53">
        <f>Data!R227</f>
        <v>3.5142857142857142</v>
      </c>
      <c r="R53">
        <f>Data!S227</f>
        <v>70.312044855066787</v>
      </c>
    </row>
    <row r="54" spans="1:18" x14ac:dyDescent="0.3">
      <c r="A54" s="94" t="str">
        <f>Data!Y51</f>
        <v>1 axis</v>
      </c>
      <c r="B54" s="99">
        <f>Data!E51</f>
        <v>14000</v>
      </c>
      <c r="C54" s="95">
        <f>Data!M51</f>
        <v>7.1428571428571432</v>
      </c>
      <c r="D54" s="95">
        <f>Data!N51</f>
        <v>34.59352606869286</v>
      </c>
      <c r="F54" s="99">
        <f>Data!E66</f>
        <v>510.84462552292371</v>
      </c>
      <c r="G54" s="96">
        <f>Data!R66</f>
        <v>6.046848387291849</v>
      </c>
      <c r="H54" s="94" t="str">
        <f>Data!Y66</f>
        <v>fixed</v>
      </c>
      <c r="I54" s="97">
        <f>Data!S66</f>
        <v>40.863702701010276</v>
      </c>
      <c r="K54" t="str">
        <f>Data!Y228</f>
        <v>unknown</v>
      </c>
      <c r="L54">
        <f>Data!E228</f>
        <v>85140.770920487281</v>
      </c>
      <c r="M54">
        <f>Data!M228</f>
        <v>7.3055481325261189</v>
      </c>
      <c r="N54">
        <f t="shared" ref="N54:N68" si="2">100/M54</f>
        <v>13.688226836091204</v>
      </c>
      <c r="P54">
        <f>Data!E228</f>
        <v>85140.770920487281</v>
      </c>
      <c r="Q54">
        <f>Data!R228</f>
        <v>0</v>
      </c>
      <c r="R54">
        <f>Data!S228</f>
        <v>0</v>
      </c>
    </row>
    <row r="55" spans="1:18" x14ac:dyDescent="0.3">
      <c r="A55" s="94" t="str">
        <f>Data!Y52</f>
        <v>1 axis</v>
      </c>
      <c r="B55" s="99">
        <f>Data!E52</f>
        <v>14473.931056482839</v>
      </c>
      <c r="C55" s="95">
        <f>Data!M52</f>
        <v>8.9816650012142549</v>
      </c>
      <c r="D55" s="95">
        <f>Data!N52</f>
        <v>27.51122589664298</v>
      </c>
      <c r="F55" s="99">
        <f>Data!E67</f>
        <v>851.40770920487284</v>
      </c>
      <c r="G55" s="96"/>
      <c r="H55" s="94" t="str">
        <f>Data!Y67</f>
        <v>fixed</v>
      </c>
      <c r="I55" s="97"/>
      <c r="K55" t="str">
        <f>Data!Y229</f>
        <v>unknown</v>
      </c>
      <c r="L55">
        <f>Data!E229</f>
        <v>85140.770920487281</v>
      </c>
      <c r="M55">
        <f>Data!M229</f>
        <v>11.745254232357105</v>
      </c>
      <c r="N55">
        <f t="shared" si="2"/>
        <v>8.5140770920487281</v>
      </c>
      <c r="P55">
        <f>Data!E229</f>
        <v>85140.770920487281</v>
      </c>
      <c r="Q55">
        <f>Data!R229</f>
        <v>0</v>
      </c>
      <c r="R55">
        <f>Data!S229</f>
        <v>0</v>
      </c>
    </row>
    <row r="56" spans="1:18" x14ac:dyDescent="0.3">
      <c r="A56" s="94" t="str">
        <f>Data!Y53</f>
        <v>1 axis</v>
      </c>
      <c r="B56" s="99">
        <f>Data!E53</f>
        <v>15000</v>
      </c>
      <c r="C56" s="95">
        <f>Data!M53</f>
        <v>7.9779999999999998</v>
      </c>
      <c r="D56" s="95">
        <f>Data!N53</f>
        <v>30.972250536021253</v>
      </c>
      <c r="F56" s="99">
        <f>Data!E68</f>
        <v>891.48</v>
      </c>
      <c r="G56" s="96">
        <f>Data!R68</f>
        <v>5.0477857046708845</v>
      </c>
      <c r="H56" s="94" t="str">
        <f>Data!Y68</f>
        <v>fixed</v>
      </c>
      <c r="I56" s="97">
        <f>Data!S68</f>
        <v>48.951486697965571</v>
      </c>
      <c r="K56" t="str">
        <f>Data!Y230</f>
        <v>unknown</v>
      </c>
      <c r="L56">
        <f>Data!E230</f>
        <v>150000</v>
      </c>
      <c r="M56">
        <f>Data!M230</f>
        <v>6</v>
      </c>
      <c r="N56">
        <f t="shared" si="2"/>
        <v>16.666666666666668</v>
      </c>
      <c r="P56">
        <f>Data!E230</f>
        <v>150000</v>
      </c>
      <c r="Q56">
        <f>Data!R230</f>
        <v>0</v>
      </c>
      <c r="R56">
        <f>Data!S230</f>
        <v>0</v>
      </c>
    </row>
    <row r="57" spans="1:18" x14ac:dyDescent="0.3">
      <c r="A57" s="94" t="str">
        <f>Data!Y54</f>
        <v>1 axis</v>
      </c>
      <c r="B57" s="99">
        <f>Data!E54</f>
        <v>15000</v>
      </c>
      <c r="C57" s="95">
        <f>Data!M54</f>
        <v>7.774</v>
      </c>
      <c r="D57" s="95">
        <f>Data!N54</f>
        <v>31.785003187082268</v>
      </c>
      <c r="F57" s="99">
        <f>Data!E73</f>
        <v>1013.1751739537987</v>
      </c>
      <c r="G57" s="96">
        <f>Data!R73</f>
        <v>0</v>
      </c>
      <c r="H57" s="94" t="str">
        <f>Data!Y73</f>
        <v>fixed</v>
      </c>
      <c r="I57" s="97">
        <f>Data!S73</f>
        <v>0</v>
      </c>
      <c r="K57" t="str">
        <f>Data!Y231</f>
        <v>unknown</v>
      </c>
      <c r="L57">
        <f>Data!E231</f>
        <v>155000</v>
      </c>
      <c r="M57">
        <f>Data!M231</f>
        <v>6.0283870967741935</v>
      </c>
      <c r="N57">
        <f t="shared" si="2"/>
        <v>16.588184931506849</v>
      </c>
      <c r="P57">
        <f>Data!E231</f>
        <v>155000</v>
      </c>
      <c r="Q57">
        <f>Data!R231</f>
        <v>0</v>
      </c>
      <c r="R57">
        <f>Data!S231</f>
        <v>0</v>
      </c>
    </row>
    <row r="58" spans="1:18" x14ac:dyDescent="0.3">
      <c r="A58" s="94" t="str">
        <f>Data!Y55</f>
        <v>1 axis</v>
      </c>
      <c r="B58" s="99">
        <f>Data!E55</f>
        <v>15500</v>
      </c>
      <c r="C58" s="95">
        <f>Data!M55</f>
        <v>12.903225806451612</v>
      </c>
      <c r="D58" s="95">
        <f>Data!N55</f>
        <v>19.149987645169261</v>
      </c>
      <c r="F58" s="99">
        <f>Data!E74</f>
        <v>999.91600000000005</v>
      </c>
      <c r="G58" s="96"/>
      <c r="H58" s="94" t="str">
        <f>Data!Y74</f>
        <v>fixed</v>
      </c>
      <c r="I58" s="97"/>
      <c r="K58" t="str">
        <f>Data!Y232</f>
        <v>unknown</v>
      </c>
      <c r="L58">
        <f>Data!E232</f>
        <v>170281.54184097456</v>
      </c>
      <c r="M58">
        <f>Data!M232</f>
        <v>11.745254232357105</v>
      </c>
      <c r="N58">
        <f t="shared" si="2"/>
        <v>8.5140770920487281</v>
      </c>
      <c r="P58">
        <f>Data!E232</f>
        <v>170281.54184097456</v>
      </c>
      <c r="Q58">
        <f>Data!R232</f>
        <v>0</v>
      </c>
      <c r="R58">
        <f>Data!S232</f>
        <v>0</v>
      </c>
    </row>
    <row r="59" spans="1:18" x14ac:dyDescent="0.3">
      <c r="A59" s="94" t="str">
        <f>Data!Y56</f>
        <v>1 axis</v>
      </c>
      <c r="B59" s="99">
        <f>Data!E56</f>
        <v>17500</v>
      </c>
      <c r="C59" s="95">
        <f>Data!M56</f>
        <v>12.114285714285714</v>
      </c>
      <c r="D59" s="95">
        <f>Data!N56</f>
        <v>20.397126219748145</v>
      </c>
      <c r="F59" s="99">
        <f>Data!E75</f>
        <v>1021.6892510458474</v>
      </c>
      <c r="G59" s="96">
        <f>Data!R75</f>
        <v>3.4256991511041552</v>
      </c>
      <c r="H59" s="94" t="str">
        <f>Data!Y75</f>
        <v>fixed</v>
      </c>
      <c r="I59" s="97">
        <f>Data!S75</f>
        <v>72.130272939097566</v>
      </c>
      <c r="K59" t="str">
        <f>Data!Y233</f>
        <v>unknown</v>
      </c>
      <c r="L59">
        <f>Data!E233</f>
        <v>200000</v>
      </c>
      <c r="M59">
        <f>Data!M233</f>
        <v>6.25</v>
      </c>
      <c r="N59">
        <f t="shared" si="2"/>
        <v>16</v>
      </c>
      <c r="P59">
        <f>Data!E233</f>
        <v>200000</v>
      </c>
      <c r="Q59">
        <f>Data!R233</f>
        <v>0</v>
      </c>
      <c r="R59">
        <f>Data!S233</f>
        <v>0</v>
      </c>
    </row>
    <row r="60" spans="1:18" x14ac:dyDescent="0.3">
      <c r="A60" s="94" t="str">
        <f>Data!Y57</f>
        <v>1 axis</v>
      </c>
      <c r="B60" s="99">
        <f>Data!E57</f>
        <v>18000</v>
      </c>
      <c r="C60" s="95">
        <f>Data!M57</f>
        <v>8.0555555555555554</v>
      </c>
      <c r="D60" s="95">
        <f>Data!N57</f>
        <v>30.674062523964107</v>
      </c>
      <c r="F60" s="99">
        <f>Data!E76</f>
        <v>1021.6892510458474</v>
      </c>
      <c r="G60" s="96">
        <f>Data!R76</f>
        <v>5.5386703875051984</v>
      </c>
      <c r="H60" s="94" t="str">
        <f>Data!Y76</f>
        <v>fixed</v>
      </c>
      <c r="I60" s="97">
        <f>Data!S76</f>
        <v>44.612984252286964</v>
      </c>
      <c r="K60" t="str">
        <f>Data!Y234</f>
        <v>unknown</v>
      </c>
      <c r="L60">
        <f>Data!E234</f>
        <v>200000</v>
      </c>
      <c r="M60">
        <f>Data!M234</f>
        <v>6.25</v>
      </c>
      <c r="N60">
        <f t="shared" si="2"/>
        <v>16</v>
      </c>
      <c r="P60">
        <f>Data!E234</f>
        <v>200000</v>
      </c>
      <c r="Q60">
        <f>Data!R234</f>
        <v>0</v>
      </c>
      <c r="R60">
        <f>Data!S234</f>
        <v>0</v>
      </c>
    </row>
    <row r="61" spans="1:18" x14ac:dyDescent="0.3">
      <c r="A61" s="94" t="str">
        <f>Data!Y58</f>
        <v>2 axis</v>
      </c>
      <c r="B61" s="99">
        <f>Data!E58</f>
        <v>863.32741713374105</v>
      </c>
      <c r="C61" s="95">
        <f>Data!M58</f>
        <v>11.583090958932056</v>
      </c>
      <c r="D61" s="95">
        <f>Data!N58</f>
        <v>21.332528221738102</v>
      </c>
      <c r="F61" s="99">
        <f>Data!E77</f>
        <v>1021.6892510458474</v>
      </c>
      <c r="G61" s="96"/>
      <c r="H61" s="94" t="str">
        <f>Data!Y77</f>
        <v>fixed</v>
      </c>
      <c r="I61" s="97"/>
      <c r="K61" t="str">
        <f>Data!Y235</f>
        <v>unknown</v>
      </c>
      <c r="L61">
        <f>Data!E235</f>
        <v>200000</v>
      </c>
      <c r="M61">
        <f>Data!M235</f>
        <v>7</v>
      </c>
      <c r="N61">
        <f t="shared" si="2"/>
        <v>14.285714285714286</v>
      </c>
      <c r="P61">
        <f>Data!E235</f>
        <v>200000</v>
      </c>
      <c r="Q61">
        <f>Data!R235</f>
        <v>0</v>
      </c>
      <c r="R61">
        <f>Data!S235</f>
        <v>0</v>
      </c>
    </row>
    <row r="62" spans="1:18" x14ac:dyDescent="0.3">
      <c r="A62" s="94" t="str">
        <f>Data!Y59</f>
        <v>2 axis</v>
      </c>
      <c r="B62" s="99">
        <f>Data!E59</f>
        <v>882.90979444545314</v>
      </c>
      <c r="C62" s="95">
        <f>Data!M59</f>
        <v>13.500828821914748</v>
      </c>
      <c r="D62" s="95">
        <f>Data!N59</f>
        <v>18.302329289242348</v>
      </c>
      <c r="F62" s="99">
        <f>Data!E78</f>
        <v>1064.2596365060911</v>
      </c>
      <c r="G62" s="96">
        <f>Data!R78</f>
        <v>6.4833803362611224</v>
      </c>
      <c r="H62" s="94" t="str">
        <f>Data!Y78</f>
        <v>fixed</v>
      </c>
      <c r="I62" s="97">
        <f>Data!S78</f>
        <v>38.112312090404806</v>
      </c>
      <c r="K62" t="str">
        <f>Data!Y236</f>
        <v>unknown</v>
      </c>
      <c r="L62">
        <f>Data!E236</f>
        <v>255422.31276146186</v>
      </c>
      <c r="M62">
        <f>Data!M236</f>
        <v>9.7877118602975877</v>
      </c>
      <c r="N62">
        <f t="shared" si="2"/>
        <v>10.216892510458473</v>
      </c>
      <c r="P62">
        <f>Data!E236</f>
        <v>255422.31276146186</v>
      </c>
      <c r="Q62">
        <f>Data!R236</f>
        <v>0</v>
      </c>
      <c r="R62">
        <f>Data!S236</f>
        <v>0</v>
      </c>
    </row>
    <row r="63" spans="1:18" x14ac:dyDescent="0.3">
      <c r="A63" s="94" t="str">
        <f>Data!Y60</f>
        <v>2 axis</v>
      </c>
      <c r="B63" s="99">
        <f>Data!E60</f>
        <v>986.78153496844766</v>
      </c>
      <c r="C63" s="95">
        <f>Data!M60</f>
        <v>9.6272575675058238</v>
      </c>
      <c r="D63" s="95">
        <f>Data!N60</f>
        <v>25.666355454162215</v>
      </c>
      <c r="F63" s="99">
        <f>Data!E79</f>
        <v>1099.1673525834908</v>
      </c>
      <c r="G63" s="96"/>
      <c r="H63" s="94" t="str">
        <f>Data!Y79</f>
        <v>fixed</v>
      </c>
      <c r="I63" s="97"/>
      <c r="K63" t="str">
        <f>Data!Y237</f>
        <v>unknown</v>
      </c>
      <c r="L63">
        <f>Data!E237</f>
        <v>275000</v>
      </c>
      <c r="M63">
        <f>Data!M237</f>
        <v>7.5163636363636366</v>
      </c>
      <c r="N63">
        <f t="shared" si="2"/>
        <v>13.304305757135946</v>
      </c>
      <c r="P63">
        <f>Data!E237</f>
        <v>275000</v>
      </c>
      <c r="Q63">
        <f>Data!R237</f>
        <v>0</v>
      </c>
      <c r="R63">
        <f>Data!S237</f>
        <v>0</v>
      </c>
    </row>
    <row r="64" spans="1:18" x14ac:dyDescent="0.3">
      <c r="A64" s="94" t="str">
        <f>Data!Y61</f>
        <v>2 axis</v>
      </c>
      <c r="B64" s="99">
        <f>Data!E61</f>
        <v>1873.0969602507203</v>
      </c>
      <c r="C64" s="95">
        <f>Data!M61</f>
        <v>14.414630194256446</v>
      </c>
      <c r="D64" s="95">
        <f>Data!N61</f>
        <v>17.142071037995407</v>
      </c>
      <c r="F64" s="99">
        <f>Data!E80</f>
        <v>2809.6454403760804</v>
      </c>
      <c r="G64" s="96"/>
      <c r="H64" s="94" t="str">
        <f>Data!Y80</f>
        <v>fixed</v>
      </c>
      <c r="I64" s="97"/>
      <c r="K64" t="str">
        <f>Data!Y238</f>
        <v>unknown</v>
      </c>
      <c r="L64">
        <f>Data!E238</f>
        <v>340563.08368194912</v>
      </c>
      <c r="M64">
        <f>Data!M238</f>
        <v>11.745254232357105</v>
      </c>
      <c r="N64">
        <f t="shared" si="2"/>
        <v>8.5140770920487281</v>
      </c>
      <c r="P64">
        <f>Data!E238</f>
        <v>340563.08368194912</v>
      </c>
      <c r="Q64">
        <f>Data!R238</f>
        <v>0</v>
      </c>
      <c r="R64">
        <f>Data!S238</f>
        <v>0</v>
      </c>
    </row>
    <row r="65" spans="1:18" x14ac:dyDescent="0.3">
      <c r="A65" s="94" t="str">
        <f>Data!Y62</f>
        <v>CPV</v>
      </c>
      <c r="B65" s="99">
        <f>Data!E62</f>
        <v>148.99634911085275</v>
      </c>
      <c r="C65" s="95">
        <f>Data!M62</f>
        <v>10.973423239945067</v>
      </c>
      <c r="D65" s="95">
        <f>Data!N62</f>
        <v>22.517733014881372</v>
      </c>
      <c r="F65" s="99">
        <f>Data!E82</f>
        <v>1111.0870605123591</v>
      </c>
      <c r="G65" s="96">
        <f>Data!R82</f>
        <v>0</v>
      </c>
      <c r="H65" s="94" t="str">
        <f>Data!Y82</f>
        <v>fixed</v>
      </c>
      <c r="I65" s="97">
        <f>Data!S82</f>
        <v>0</v>
      </c>
      <c r="K65" t="str">
        <f>Data!Y239</f>
        <v>unknown</v>
      </c>
      <c r="L65">
        <f>Data!E239</f>
        <v>425703.85460243642</v>
      </c>
      <c r="M65">
        <f>Data!M239</f>
        <v>13.124147079235829</v>
      </c>
      <c r="N65">
        <f t="shared" si="2"/>
        <v>7.6195427707613463</v>
      </c>
      <c r="P65">
        <f>Data!E239</f>
        <v>425703.85460243642</v>
      </c>
      <c r="Q65">
        <f>Data!R239</f>
        <v>0</v>
      </c>
      <c r="R65">
        <f>Data!S239</f>
        <v>0</v>
      </c>
    </row>
    <row r="66" spans="1:18" x14ac:dyDescent="0.3">
      <c r="A66" s="94" t="str">
        <f>Data!Y63</f>
        <v>CPV</v>
      </c>
      <c r="B66" s="99">
        <f>Data!E63</f>
        <v>891.4238715375019</v>
      </c>
      <c r="C66" s="95">
        <f>Data!M63</f>
        <v>7.6282453467075744</v>
      </c>
      <c r="D66" s="95">
        <f>Data!N63</f>
        <v>32.392326615848411</v>
      </c>
      <c r="F66" s="99">
        <f>Data!E85</f>
        <v>1413.3367972800888</v>
      </c>
      <c r="G66" s="96">
        <f>Data!R85</f>
        <v>0</v>
      </c>
      <c r="H66" s="94" t="str">
        <f>Data!Y85</f>
        <v>fixed</v>
      </c>
      <c r="I66" s="97">
        <f>Data!S85</f>
        <v>0</v>
      </c>
      <c r="K66" t="str">
        <f>Data!Y240</f>
        <v>unknown</v>
      </c>
      <c r="L66">
        <f>Data!E240</f>
        <v>440000</v>
      </c>
      <c r="M66">
        <f>Data!M240</f>
        <v>7.4727272727272727</v>
      </c>
      <c r="N66">
        <f t="shared" si="2"/>
        <v>13.381995133819952</v>
      </c>
      <c r="P66">
        <f>Data!E240</f>
        <v>440000</v>
      </c>
      <c r="Q66">
        <f>Data!R240</f>
        <v>0</v>
      </c>
      <c r="R66">
        <f>Data!S240</f>
        <v>0</v>
      </c>
    </row>
    <row r="67" spans="1:18" x14ac:dyDescent="0.3">
      <c r="A67" s="94" t="str">
        <f>Data!Y64</f>
        <v>CPV</v>
      </c>
      <c r="B67" s="99">
        <f>Data!E64</f>
        <v>1000</v>
      </c>
      <c r="C67" s="95">
        <f>Data!M64</f>
        <v>17</v>
      </c>
      <c r="D67" s="95">
        <f>Data!N64</f>
        <v>14.535094986845738</v>
      </c>
      <c r="F67" s="99">
        <f>Data!E86</f>
        <v>1575.1042620290148</v>
      </c>
      <c r="G67" s="96">
        <f>Data!R86</f>
        <v>3.9362473643575164</v>
      </c>
      <c r="H67" s="94" t="str">
        <f>Data!Y86</f>
        <v>fixed</v>
      </c>
      <c r="I67" s="97">
        <f>Data!S86</f>
        <v>62.774666301163528</v>
      </c>
      <c r="K67" t="str">
        <f>Data!Y241</f>
        <v>unknown</v>
      </c>
      <c r="L67">
        <f>Data!E241</f>
        <v>595985.39644341101</v>
      </c>
      <c r="M67">
        <f>Data!M241</f>
        <v>6.711573847061203</v>
      </c>
      <c r="N67">
        <f t="shared" si="2"/>
        <v>14.899634911085274</v>
      </c>
      <c r="P67">
        <f>Data!E241</f>
        <v>595985.39644341101</v>
      </c>
      <c r="Q67">
        <f>Data!R241</f>
        <v>0</v>
      </c>
      <c r="R67">
        <f>Data!S241</f>
        <v>0</v>
      </c>
    </row>
    <row r="68" spans="1:18" x14ac:dyDescent="0.3">
      <c r="A68" s="94" t="str">
        <f>Data!Y65</f>
        <v>CPV</v>
      </c>
      <c r="B68" s="99">
        <f>Data!E65</f>
        <v>5040</v>
      </c>
      <c r="C68" s="95">
        <f>Data!M65</f>
        <v>7.7380952380952381</v>
      </c>
      <c r="D68" s="95">
        <f>Data!N65</f>
        <v>31.932485601870333</v>
      </c>
      <c r="F68" s="99">
        <f>Data!E87</f>
        <v>1702.8154184097457</v>
      </c>
      <c r="G68" s="96"/>
      <c r="H68" s="94" t="str">
        <f>Data!Y87</f>
        <v>fixed</v>
      </c>
      <c r="I68" s="97"/>
      <c r="K68" t="str">
        <f>Data!Y242</f>
        <v>unknown</v>
      </c>
      <c r="L68">
        <f>Data!E242</f>
        <v>613013.55062750843</v>
      </c>
      <c r="M68">
        <f>Data!M242</f>
        <v>8.8676669454296153</v>
      </c>
      <c r="N68">
        <f t="shared" si="2"/>
        <v>11.276923300726791</v>
      </c>
      <c r="P68">
        <f>Data!E242</f>
        <v>613013.55062750843</v>
      </c>
      <c r="Q68">
        <f>Data!R242</f>
        <v>0</v>
      </c>
      <c r="R68">
        <f>Data!S242</f>
        <v>0</v>
      </c>
    </row>
    <row r="69" spans="1:18" x14ac:dyDescent="0.3">
      <c r="A69" s="94" t="str">
        <f>Data!Y66</f>
        <v>fixed</v>
      </c>
      <c r="B69" s="99">
        <f>Data!E66</f>
        <v>510.84462552292371</v>
      </c>
      <c r="C69" s="95">
        <f>Data!M66</f>
        <v>11.6462299939241</v>
      </c>
      <c r="D69" s="95">
        <f>Data!N66</f>
        <v>21.216875753380204</v>
      </c>
      <c r="F69" s="99">
        <f>Data!E88</f>
        <v>1702.8154184097457</v>
      </c>
      <c r="G69" s="96"/>
      <c r="H69" s="94" t="str">
        <f>Data!Y88</f>
        <v>fixed</v>
      </c>
      <c r="I69" s="97"/>
    </row>
    <row r="70" spans="1:18" x14ac:dyDescent="0.3">
      <c r="A70" s="94" t="str">
        <f>Data!Y67</f>
        <v>fixed</v>
      </c>
      <c r="B70" s="99">
        <f>Data!E67</f>
        <v>851.40770920487284</v>
      </c>
      <c r="C70" s="95">
        <f>Data!M67</f>
        <v>5.6964483026931951</v>
      </c>
      <c r="D70" s="95">
        <f>Data!N67</f>
        <v>43.377311904955583</v>
      </c>
      <c r="F70" s="99">
        <f>Data!E89</f>
        <v>1702.8154184097457</v>
      </c>
      <c r="G70" s="96">
        <f>Data!R89</f>
        <v>6.3835456752860864</v>
      </c>
      <c r="H70" s="94" t="str">
        <f>Data!Y89</f>
        <v>fixed</v>
      </c>
      <c r="I70" s="97">
        <f>Data!S89</f>
        <v>38.708364809389984</v>
      </c>
    </row>
    <row r="71" spans="1:18" x14ac:dyDescent="0.3">
      <c r="A71" s="94" t="str">
        <f>Data!Y68</f>
        <v>fixed</v>
      </c>
      <c r="B71" s="99">
        <f>Data!E68</f>
        <v>891.48</v>
      </c>
      <c r="C71" s="95">
        <f>Data!M68</f>
        <v>6.3938618925831197</v>
      </c>
      <c r="D71" s="95">
        <f>Data!N68</f>
        <v>38.645910551025452</v>
      </c>
      <c r="F71" s="99">
        <f>Data!E90</f>
        <v>1787.956189330233</v>
      </c>
      <c r="G71" s="96">
        <f>Data!R90</f>
        <v>3.1879975773540714</v>
      </c>
      <c r="H71" s="94" t="str">
        <f>Data!Y90</f>
        <v>fixed</v>
      </c>
      <c r="I71" s="97">
        <f>Data!S90</f>
        <v>77.508407324907452</v>
      </c>
    </row>
    <row r="72" spans="1:18" x14ac:dyDescent="0.3">
      <c r="A72" s="94" t="str">
        <f>Data!Y69</f>
        <v>fixed</v>
      </c>
      <c r="B72" s="99">
        <f>Data!E69</f>
        <v>900</v>
      </c>
      <c r="C72" s="95">
        <f>Data!M69</f>
        <v>6.1111111111111107</v>
      </c>
      <c r="D72" s="95">
        <f>Data!N69</f>
        <v>40.43399150886178</v>
      </c>
      <c r="F72" s="99">
        <f>Data!E91</f>
        <v>2000</v>
      </c>
      <c r="G72" s="96"/>
      <c r="H72" s="94" t="str">
        <f>Data!Y91</f>
        <v>fixed</v>
      </c>
      <c r="I72" s="97"/>
    </row>
    <row r="73" spans="1:18" x14ac:dyDescent="0.3">
      <c r="A73" s="94" t="str">
        <f>Data!Y70</f>
        <v>fixed</v>
      </c>
      <c r="B73" s="99">
        <f>Data!E70</f>
        <v>936.54848012536013</v>
      </c>
      <c r="C73" s="95">
        <f>Data!M70</f>
        <v>10.410566251407433</v>
      </c>
      <c r="D73" s="95">
        <f>Data!N70</f>
        <v>23.735175283378258</v>
      </c>
      <c r="F73" s="99">
        <f>Data!E92</f>
        <v>2086.4699999999998</v>
      </c>
      <c r="G73" s="96">
        <f>Data!R92</f>
        <v>5.5117015820979933</v>
      </c>
      <c r="H73" s="94" t="str">
        <f>Data!Y92</f>
        <v>fixed</v>
      </c>
      <c r="I73" s="97">
        <f>Data!S92</f>
        <v>44.831275985432036</v>
      </c>
    </row>
    <row r="74" spans="1:18" x14ac:dyDescent="0.3">
      <c r="A74" s="94" t="str">
        <f>Data!Y71</f>
        <v>fixed</v>
      </c>
      <c r="B74" s="99">
        <f>Data!E71</f>
        <v>953.57663430945763</v>
      </c>
      <c r="C74" s="95">
        <f>Data!M71</f>
        <v>3.9849969716925888</v>
      </c>
      <c r="D74" s="95">
        <f>Data!N71</f>
        <v>62.006725859925972</v>
      </c>
      <c r="F74" s="99">
        <f>Data!E93</f>
        <v>2554.2231276146185</v>
      </c>
      <c r="G74" s="96"/>
      <c r="H74" s="94" t="str">
        <f>Data!Y93</f>
        <v>fixed</v>
      </c>
      <c r="I74" s="97"/>
    </row>
    <row r="75" spans="1:18" x14ac:dyDescent="0.3">
      <c r="A75" s="94" t="str">
        <f>Data!Y72</f>
        <v>fixed</v>
      </c>
      <c r="B75" s="99">
        <f>Data!E72</f>
        <v>1004.6610968617499</v>
      </c>
      <c r="C75" s="95">
        <f>Data!M72</f>
        <v>3.9814421126634252</v>
      </c>
      <c r="D75" s="95">
        <f>Data!N72</f>
        <v>62.062089008015192</v>
      </c>
      <c r="F75" s="99">
        <f>Data!E94</f>
        <v>2554.2231276146185</v>
      </c>
      <c r="G75" s="96">
        <f>Data!R94</f>
        <v>4.3065932185309386</v>
      </c>
      <c r="H75" s="94" t="str">
        <f>Data!Y94</f>
        <v>fixed</v>
      </c>
      <c r="I75" s="97">
        <f>Data!S94</f>
        <v>57.376353474282148</v>
      </c>
    </row>
    <row r="76" spans="1:18" x14ac:dyDescent="0.3">
      <c r="A76" s="94" t="str">
        <f>Data!Y73</f>
        <v>fixed</v>
      </c>
      <c r="B76" s="99">
        <f>Data!E73</f>
        <v>1013.1751739537987</v>
      </c>
      <c r="C76" s="95">
        <f>Data!M73</f>
        <v>9.2777638474081332</v>
      </c>
      <c r="D76" s="95">
        <f>Data!N73</f>
        <v>26.633208048877776</v>
      </c>
      <c r="F76" s="99">
        <f>Data!E95</f>
        <v>2554.2231276146185</v>
      </c>
      <c r="G76" s="96">
        <f>Data!R95</f>
        <v>0</v>
      </c>
      <c r="H76" s="94" t="str">
        <f>Data!Y95</f>
        <v>fixed</v>
      </c>
      <c r="I76" s="97">
        <f>Data!S95</f>
        <v>0</v>
      </c>
    </row>
    <row r="77" spans="1:18" x14ac:dyDescent="0.3">
      <c r="A77" s="94" t="str">
        <f>Data!Y74</f>
        <v>fixed</v>
      </c>
      <c r="B77" s="99">
        <f>Data!E74</f>
        <v>999.91600000000005</v>
      </c>
      <c r="C77" s="95">
        <f>Data!M74</f>
        <v>7.260609891230863</v>
      </c>
      <c r="D77" s="95">
        <f>Data!N74</f>
        <v>34.032487418834208</v>
      </c>
      <c r="F77" s="99">
        <f>Data!E96</f>
        <v>3490.7716077399787</v>
      </c>
      <c r="G77" s="96">
        <f>Data!R96</f>
        <v>4.29704423135016</v>
      </c>
      <c r="H77" s="94" t="str">
        <f>Data!Y96</f>
        <v>fixed</v>
      </c>
      <c r="I77" s="97">
        <f>Data!S96</f>
        <v>57.503856482002782</v>
      </c>
    </row>
    <row r="78" spans="1:18" x14ac:dyDescent="0.3">
      <c r="A78" s="94" t="str">
        <f>Data!Y75</f>
        <v>fixed</v>
      </c>
      <c r="B78" s="99">
        <f>Data!E75</f>
        <v>1021.6892510458474</v>
      </c>
      <c r="C78" s="95">
        <f>Data!M75</f>
        <v>4.2087160999279618</v>
      </c>
      <c r="D78" s="95">
        <f>Data!N75</f>
        <v>58.710687276009651</v>
      </c>
      <c r="F78" s="99">
        <f>Data!E97</f>
        <v>3746.1939205014405</v>
      </c>
      <c r="G78" s="96"/>
      <c r="H78" s="94" t="str">
        <f>Data!Y97</f>
        <v>fixed</v>
      </c>
      <c r="I78" s="97"/>
    </row>
    <row r="79" spans="1:18" x14ac:dyDescent="0.3">
      <c r="A79" s="94" t="str">
        <f>Data!Y76</f>
        <v>fixed</v>
      </c>
      <c r="B79" s="99">
        <f>Data!E76</f>
        <v>1021.6892510458474</v>
      </c>
      <c r="C79" s="95">
        <f>Data!M76</f>
        <v>5.8726271161785517</v>
      </c>
      <c r="D79" s="95">
        <f>Data!N76</f>
        <v>42.075992547806912</v>
      </c>
      <c r="F79" s="99">
        <f>Data!E99</f>
        <v>4257.0385460243642</v>
      </c>
      <c r="G79" s="96"/>
      <c r="H79" s="94" t="str">
        <f>Data!Y99</f>
        <v>fixed</v>
      </c>
      <c r="I79" s="97"/>
    </row>
    <row r="80" spans="1:18" x14ac:dyDescent="0.3">
      <c r="A80" s="94" t="str">
        <f>Data!Y77</f>
        <v>fixed</v>
      </c>
      <c r="B80" s="99">
        <f>Data!E77</f>
        <v>1021.6892510458474</v>
      </c>
      <c r="C80" s="95">
        <f>Data!M77</f>
        <v>5.8726271161785517</v>
      </c>
      <c r="D80" s="95">
        <f>Data!N77</f>
        <v>42.075992547806912</v>
      </c>
      <c r="F80" s="99">
        <f>Data!E100</f>
        <v>4257.0385460243642</v>
      </c>
      <c r="G80" s="96">
        <f>Data!R100</f>
        <v>3.0537661004128474</v>
      </c>
      <c r="H80" s="94" t="str">
        <f>Data!Y100</f>
        <v>fixed</v>
      </c>
      <c r="I80" s="97">
        <f>Data!S100</f>
        <v>80.915370284244048</v>
      </c>
    </row>
    <row r="81" spans="1:9" x14ac:dyDescent="0.3">
      <c r="A81" s="94" t="str">
        <f>Data!Y78</f>
        <v>fixed</v>
      </c>
      <c r="B81" s="99">
        <f>Data!E78</f>
        <v>1064.2596365060911</v>
      </c>
      <c r="C81" s="95">
        <f>Data!M78</f>
        <v>7.9867728780028315</v>
      </c>
      <c r="D81" s="95">
        <f>Data!N78</f>
        <v>30.938229814563904</v>
      </c>
      <c r="F81" s="99">
        <f>Data!E101</f>
        <v>4257.0385460243642</v>
      </c>
      <c r="G81" s="96"/>
      <c r="H81" s="94" t="str">
        <f>Data!Y101</f>
        <v>fixed</v>
      </c>
      <c r="I81" s="97"/>
    </row>
    <row r="82" spans="1:9" x14ac:dyDescent="0.3">
      <c r="A82" s="94" t="str">
        <f>Data!Y79</f>
        <v>fixed</v>
      </c>
      <c r="B82" s="99">
        <f>Data!E79</f>
        <v>1099.1673525834908</v>
      </c>
      <c r="C82" s="95">
        <f>Data!M79</f>
        <v>8.1880161186068126</v>
      </c>
      <c r="D82" s="95">
        <f>Data!N79</f>
        <v>30.177836877343733</v>
      </c>
      <c r="F82" s="99">
        <f>Data!E102</f>
        <v>5000</v>
      </c>
      <c r="G82" s="96"/>
      <c r="H82" s="94" t="str">
        <f>Data!Y102</f>
        <v>fixed</v>
      </c>
      <c r="I82" s="97"/>
    </row>
    <row r="83" spans="1:9" x14ac:dyDescent="0.3">
      <c r="A83" s="94" t="str">
        <f>Data!Y80</f>
        <v>fixed</v>
      </c>
      <c r="B83" s="99">
        <f>Data!E80</f>
        <v>2809.6454403760804</v>
      </c>
      <c r="C83" s="95">
        <f>Data!M80</f>
        <v>4.6731875172984489</v>
      </c>
      <c r="D83" s="95">
        <f>Data!N80</f>
        <v>52.875390482773334</v>
      </c>
      <c r="F83" s="99">
        <f>Data!E103</f>
        <v>5000</v>
      </c>
      <c r="G83" s="96"/>
      <c r="H83" s="94" t="str">
        <f>Data!Y103</f>
        <v>fixed</v>
      </c>
      <c r="I83" s="97"/>
    </row>
    <row r="84" spans="1:9" x14ac:dyDescent="0.3">
      <c r="A84" s="94" t="str">
        <f>Data!Y82</f>
        <v>fixed</v>
      </c>
      <c r="B84" s="99">
        <f>Data!E82</f>
        <v>1111.0870605123591</v>
      </c>
      <c r="C84" s="95">
        <f>Data!M82</f>
        <v>9.0001948140667469</v>
      </c>
      <c r="D84" s="95">
        <f>Data!N82</f>
        <v>27.454585137444006</v>
      </c>
      <c r="F84" s="99">
        <f>Data!E104</f>
        <v>5324</v>
      </c>
      <c r="G84" s="96">
        <f>Data!R104</f>
        <v>6.9853493613824194</v>
      </c>
      <c r="H84" s="94" t="str">
        <f>Data!Y104</f>
        <v>fixed</v>
      </c>
      <c r="I84" s="97">
        <f>Data!S104</f>
        <v>35.373551413536809</v>
      </c>
    </row>
    <row r="85" spans="1:9" x14ac:dyDescent="0.3">
      <c r="A85" s="94" t="str">
        <f>Data!Y85</f>
        <v>fixed</v>
      </c>
      <c r="B85" s="99">
        <f>Data!E85</f>
        <v>1413.3367972800888</v>
      </c>
      <c r="C85" s="95">
        <f>Data!M85</f>
        <v>8.4197906846415407</v>
      </c>
      <c r="D85" s="95">
        <f>Data!N85</f>
        <v>29.347120852672042</v>
      </c>
      <c r="F85" s="99">
        <f>Data!E105</f>
        <v>5762.3273758985797</v>
      </c>
      <c r="G85" s="96">
        <f>Data!R105</f>
        <v>4.6335444445025811</v>
      </c>
      <c r="H85" s="94" t="str">
        <f>Data!Y105</f>
        <v>fixed</v>
      </c>
      <c r="I85" s="97">
        <f>Data!S105</f>
        <v>53.327774824636172</v>
      </c>
    </row>
    <row r="86" spans="1:9" x14ac:dyDescent="0.3">
      <c r="A86" s="94" t="str">
        <f>Data!Y86</f>
        <v>fixed</v>
      </c>
      <c r="B86" s="99">
        <f>Data!E86</f>
        <v>1575.1042620290148</v>
      </c>
      <c r="C86" s="95">
        <f>Data!M86</f>
        <v>5.8726271161785526</v>
      </c>
      <c r="D86" s="95">
        <f>Data!N86</f>
        <v>42.075992547806905</v>
      </c>
      <c r="F86" s="99">
        <f>Data!E106</f>
        <v>8514.0770920487284</v>
      </c>
      <c r="G86" s="96">
        <f>Data!R106</f>
        <v>0</v>
      </c>
      <c r="H86" s="94" t="str">
        <f>Data!Y106</f>
        <v>fixed</v>
      </c>
      <c r="I86" s="97">
        <f>Data!S106</f>
        <v>0</v>
      </c>
    </row>
    <row r="87" spans="1:9" x14ac:dyDescent="0.3">
      <c r="A87" s="94" t="str">
        <f>Data!Y87</f>
        <v>fixed</v>
      </c>
      <c r="B87" s="99">
        <f>Data!E87</f>
        <v>1702.8154184097457</v>
      </c>
      <c r="C87" s="95">
        <f>Data!M87</f>
        <v>7.3407838952231907</v>
      </c>
      <c r="D87" s="95">
        <f>Data!N87</f>
        <v>33.660794038245527</v>
      </c>
      <c r="F87" s="99">
        <f>Data!E107</f>
        <v>10000</v>
      </c>
      <c r="G87" s="96">
        <f>Data!R107</f>
        <v>3</v>
      </c>
      <c r="H87" s="94" t="str">
        <f>Data!Y107</f>
        <v>fixed</v>
      </c>
      <c r="I87" s="97">
        <f>Data!S107</f>
        <v>82.365538258792512</v>
      </c>
    </row>
    <row r="88" spans="1:9" x14ac:dyDescent="0.3">
      <c r="A88" s="94" t="str">
        <f>Data!Y88</f>
        <v>fixed</v>
      </c>
      <c r="B88" s="99">
        <f>Data!E88</f>
        <v>1702.8154184097457</v>
      </c>
      <c r="C88" s="95">
        <f>Data!M88</f>
        <v>5.3851990655357325</v>
      </c>
      <c r="D88" s="95">
        <f>Data!N88</f>
        <v>45.884397543955188</v>
      </c>
      <c r="F88" s="99">
        <f>Data!E108</f>
        <v>10000</v>
      </c>
      <c r="G88" s="96">
        <f>Data!R108</f>
        <v>7</v>
      </c>
      <c r="H88" s="94" t="str">
        <f>Data!Y108</f>
        <v>fixed</v>
      </c>
      <c r="I88" s="97">
        <f>Data!S108</f>
        <v>35.299516396625364</v>
      </c>
    </row>
    <row r="89" spans="1:9" x14ac:dyDescent="0.3">
      <c r="A89" s="94" t="str">
        <f>Data!Y89</f>
        <v>fixed</v>
      </c>
      <c r="B89" s="99">
        <f>Data!E89</f>
        <v>1702.8154184097457</v>
      </c>
      <c r="C89" s="95">
        <f>Data!M89</f>
        <v>10.864360164930321</v>
      </c>
      <c r="D89" s="95">
        <f>Data!N89</f>
        <v>22.743779755571303</v>
      </c>
      <c r="F89" s="99">
        <f>Data!E109</f>
        <v>10000</v>
      </c>
      <c r="G89" s="96">
        <f>Data!R109</f>
        <v>6.1909999999999998</v>
      </c>
      <c r="H89" s="94" t="str">
        <f>Data!Y109</f>
        <v>fixed</v>
      </c>
      <c r="I89" s="97">
        <f>Data!S109</f>
        <v>39.912229813661369</v>
      </c>
    </row>
    <row r="90" spans="1:9" x14ac:dyDescent="0.3">
      <c r="A90" s="94" t="str">
        <f>Data!Y90</f>
        <v>fixed</v>
      </c>
      <c r="B90" s="99">
        <f>Data!E90</f>
        <v>1787.956189330233</v>
      </c>
      <c r="C90" s="95">
        <f>Data!M90</f>
        <v>4.4743825647074686</v>
      </c>
      <c r="D90" s="95">
        <f>Data!N90</f>
        <v>55.224740218996565</v>
      </c>
      <c r="F90" s="99">
        <f>Data!E110</f>
        <v>10000</v>
      </c>
      <c r="G90" s="96">
        <f>Data!R110</f>
        <v>7.8</v>
      </c>
      <c r="H90" s="94" t="str">
        <f>Data!Y110</f>
        <v>fixed</v>
      </c>
      <c r="I90" s="97">
        <f>Data!S110</f>
        <v>31.679053176458662</v>
      </c>
    </row>
    <row r="91" spans="1:9" x14ac:dyDescent="0.3">
      <c r="A91" s="94" t="str">
        <f>Data!Y91</f>
        <v>fixed</v>
      </c>
      <c r="B91" s="99">
        <f>Data!E91</f>
        <v>2000</v>
      </c>
      <c r="C91" s="95">
        <f>Data!M91</f>
        <v>6.85</v>
      </c>
      <c r="D91" s="95">
        <f>Data!N91</f>
        <v>36.072498507500377</v>
      </c>
      <c r="F91" s="99">
        <f>Data!E111</f>
        <v>12600</v>
      </c>
      <c r="G91" s="96">
        <f>Data!R111</f>
        <v>5.5873015873015879</v>
      </c>
      <c r="H91" s="94" t="str">
        <f>Data!Y111</f>
        <v>fixed</v>
      </c>
      <c r="I91" s="97">
        <f>Data!S111</f>
        <v>44.224678212817572</v>
      </c>
    </row>
    <row r="92" spans="1:9" x14ac:dyDescent="0.3">
      <c r="A92" s="94" t="str">
        <f>Data!Y92</f>
        <v>fixed</v>
      </c>
      <c r="B92" s="99">
        <f>Data!E92</f>
        <v>2086.4699999999998</v>
      </c>
      <c r="C92" s="95">
        <f>Data!M92</f>
        <v>6.7098975782062533</v>
      </c>
      <c r="D92" s="95">
        <f>Data!N92</f>
        <v>36.825690988033458</v>
      </c>
      <c r="F92" s="99">
        <f>Data!E112</f>
        <v>14000</v>
      </c>
      <c r="G92" s="96">
        <f>Data!R112</f>
        <v>5.9428571428571431</v>
      </c>
      <c r="H92" s="94" t="str">
        <f>Data!Y112</f>
        <v>fixed</v>
      </c>
      <c r="I92" s="97">
        <f>Data!S112</f>
        <v>41.57875729410199</v>
      </c>
    </row>
    <row r="93" spans="1:9" x14ac:dyDescent="0.3">
      <c r="A93" s="94" t="str">
        <f>Data!Y93</f>
        <v>fixed</v>
      </c>
      <c r="B93" s="99">
        <f>Data!E93</f>
        <v>2554.2231276146185</v>
      </c>
      <c r="C93" s="95">
        <f>Data!M93</f>
        <v>9.0829966063561614</v>
      </c>
      <c r="D93" s="95">
        <f>Data!N93</f>
        <v>27.204305526599295</v>
      </c>
      <c r="F93" s="99">
        <f>Data!E113</f>
        <v>14814.494140164788</v>
      </c>
      <c r="G93" s="96"/>
      <c r="H93" s="94" t="str">
        <f>Data!Y113</f>
        <v>fixed</v>
      </c>
      <c r="I93" s="97"/>
    </row>
    <row r="94" spans="1:9" x14ac:dyDescent="0.3">
      <c r="A94" s="94" t="str">
        <f>Data!Y94</f>
        <v>fixed</v>
      </c>
      <c r="B94" s="99">
        <f>Data!E94</f>
        <v>2554.2231276146185</v>
      </c>
      <c r="C94" s="95">
        <f>Data!M94</f>
        <v>6.4598898277964079</v>
      </c>
      <c r="D94" s="95">
        <f>Data!N94</f>
        <v>38.250902316188096</v>
      </c>
      <c r="F94" s="99">
        <f>Data!E114</f>
        <v>17028.154184097457</v>
      </c>
      <c r="G94" s="96"/>
      <c r="H94" s="94" t="str">
        <f>Data!Y114</f>
        <v>fixed</v>
      </c>
      <c r="I94" s="97"/>
    </row>
    <row r="95" spans="1:9" x14ac:dyDescent="0.3">
      <c r="A95" s="94" t="str">
        <f>Data!Y95</f>
        <v>fixed</v>
      </c>
      <c r="B95" s="99">
        <f>Data!E95</f>
        <v>2554.2231276146185</v>
      </c>
      <c r="C95" s="95">
        <f>Data!M95</f>
        <v>5.0896101673547456</v>
      </c>
      <c r="D95" s="95">
        <f>Data!N95</f>
        <v>48.549222170546429</v>
      </c>
      <c r="F95" s="99">
        <f>Data!E115</f>
        <v>17280</v>
      </c>
      <c r="G95" s="96">
        <f>Data!R115</f>
        <v>0</v>
      </c>
      <c r="H95" s="94" t="str">
        <f>Data!Y115</f>
        <v>fixed</v>
      </c>
      <c r="I95" s="97">
        <f>Data!S115</f>
        <v>0</v>
      </c>
    </row>
    <row r="96" spans="1:9" x14ac:dyDescent="0.3">
      <c r="A96" s="94" t="str">
        <f>Data!Y96</f>
        <v>fixed</v>
      </c>
      <c r="B96" s="99">
        <f>Data!E96</f>
        <v>3490.7716077399787</v>
      </c>
      <c r="C96" s="95">
        <f>Data!M96</f>
        <v>8.0211492318536326</v>
      </c>
      <c r="D96" s="95">
        <f>Data!N96</f>
        <v>30.805637401072918</v>
      </c>
      <c r="F96" s="99">
        <f>Data!E116</f>
        <v>18000</v>
      </c>
      <c r="G96" s="96"/>
      <c r="H96" s="94" t="str">
        <f>Data!Y116</f>
        <v>fixed</v>
      </c>
      <c r="I96" s="97"/>
    </row>
    <row r="97" spans="1:9" x14ac:dyDescent="0.3">
      <c r="A97" s="94" t="str">
        <f>Data!Y97</f>
        <v>fixed</v>
      </c>
      <c r="B97" s="99">
        <f>Data!E97</f>
        <v>3746.1939205014405</v>
      </c>
      <c r="C97" s="95">
        <f>Data!M97</f>
        <v>8.0081278856980251</v>
      </c>
      <c r="D97" s="95">
        <f>Data!N97</f>
        <v>30.855727868391735</v>
      </c>
      <c r="F97" s="99">
        <f>Data!E122</f>
        <v>4257.0385460243642</v>
      </c>
      <c r="G97" s="96">
        <f>Data!R122</f>
        <v>0</v>
      </c>
      <c r="H97" s="94" t="str">
        <f>Data!Y122</f>
        <v>unknown</v>
      </c>
      <c r="I97" s="97">
        <f>Data!S122</f>
        <v>0</v>
      </c>
    </row>
    <row r="98" spans="1:9" x14ac:dyDescent="0.3">
      <c r="A98" s="94" t="str">
        <f>Data!Y99</f>
        <v>fixed</v>
      </c>
      <c r="B98" s="99">
        <f>Data!E99</f>
        <v>4257.0385460243642</v>
      </c>
      <c r="C98" s="95">
        <f>Data!M99</f>
        <v>5.8726271161785526</v>
      </c>
      <c r="D98" s="95">
        <f>Data!N99</f>
        <v>42.075992547806912</v>
      </c>
      <c r="F98" s="99">
        <f>Data!E123</f>
        <v>4257.0385460243642</v>
      </c>
      <c r="G98" s="96"/>
      <c r="H98" s="94" t="str">
        <f>Data!Y123</f>
        <v>fixed</v>
      </c>
      <c r="I98" s="97"/>
    </row>
    <row r="99" spans="1:9" x14ac:dyDescent="0.3">
      <c r="A99" s="94" t="str">
        <f>Data!Y100</f>
        <v>fixed</v>
      </c>
      <c r="B99" s="99">
        <f>Data!E100</f>
        <v>4257.0385460243642</v>
      </c>
      <c r="C99" s="95">
        <f>Data!M100</f>
        <v>3.0537661004128474</v>
      </c>
      <c r="D99" s="95">
        <f>Data!N100</f>
        <v>80.915370284244048</v>
      </c>
      <c r="F99" s="99">
        <f>Data!E124</f>
        <v>6811.2616736389828</v>
      </c>
      <c r="G99" s="96"/>
      <c r="H99" s="94" t="str">
        <f>Data!Y124</f>
        <v>unknown</v>
      </c>
      <c r="I99" s="97"/>
    </row>
    <row r="100" spans="1:9" x14ac:dyDescent="0.3">
      <c r="A100" s="94" t="str">
        <f>Data!Y101</f>
        <v>fixed</v>
      </c>
      <c r="B100" s="99">
        <f>Data!E101</f>
        <v>4257.0385460243642</v>
      </c>
      <c r="C100" s="95">
        <f>Data!M101</f>
        <v>11.745254232357105</v>
      </c>
      <c r="D100" s="95">
        <f>Data!N101</f>
        <v>21.037996273903456</v>
      </c>
      <c r="F100" s="99">
        <f>Data!E125</f>
        <v>16925.985258992871</v>
      </c>
      <c r="G100" s="96">
        <f>Data!R125</f>
        <v>0</v>
      </c>
      <c r="H100" s="94" t="str">
        <f>Data!Y125</f>
        <v>unknown</v>
      </c>
      <c r="I100" s="97">
        <f>Data!S125</f>
        <v>0</v>
      </c>
    </row>
    <row r="101" spans="1:9" x14ac:dyDescent="0.3">
      <c r="A101" s="94" t="str">
        <f>Data!Y102</f>
        <v>fixed</v>
      </c>
      <c r="B101" s="99">
        <f>Data!E102</f>
        <v>5000</v>
      </c>
      <c r="C101" s="95">
        <f>Data!M102</f>
        <v>9.74</v>
      </c>
      <c r="D101" s="95">
        <f>Data!N102</f>
        <v>25.369262297369357</v>
      </c>
      <c r="F101" s="99">
        <f>Data!E126</f>
        <v>17028.154184097457</v>
      </c>
      <c r="G101" s="96">
        <f>Data!R126</f>
        <v>0</v>
      </c>
      <c r="H101" s="94" t="str">
        <f>Data!Y126</f>
        <v>unknown</v>
      </c>
      <c r="I101" s="97">
        <f>Data!S126</f>
        <v>0</v>
      </c>
    </row>
    <row r="102" spans="1:9" x14ac:dyDescent="0.3">
      <c r="A102" s="94" t="str">
        <f>Data!Y103</f>
        <v>fixed</v>
      </c>
      <c r="B102" s="99">
        <f>Data!E103</f>
        <v>5000</v>
      </c>
      <c r="C102" s="95">
        <f>Data!M103</f>
        <v>3</v>
      </c>
      <c r="D102" s="95">
        <f>Data!N103</f>
        <v>82.365538258792512</v>
      </c>
      <c r="F102" s="99">
        <f>Data!E127</f>
        <v>17028.154184097457</v>
      </c>
      <c r="G102" s="96"/>
      <c r="H102" s="94" t="str">
        <f>Data!Y127</f>
        <v>unknown</v>
      </c>
      <c r="I102" s="97"/>
    </row>
    <row r="103" spans="1:9" x14ac:dyDescent="0.3">
      <c r="A103" s="94" t="str">
        <f>Data!Y104</f>
        <v>fixed</v>
      </c>
      <c r="B103" s="99">
        <f>Data!E104</f>
        <v>5324</v>
      </c>
      <c r="C103" s="95">
        <f>Data!M104</f>
        <v>13.14800901577761</v>
      </c>
      <c r="D103" s="95">
        <f>Data!N104</f>
        <v>18.793462529563342</v>
      </c>
      <c r="F103" s="99">
        <f>Data!E128</f>
        <v>19582.377311712076</v>
      </c>
      <c r="G103" s="96"/>
      <c r="H103" s="94" t="str">
        <f>Data!Y128</f>
        <v>unknown</v>
      </c>
      <c r="I103" s="97"/>
    </row>
    <row r="104" spans="1:9" x14ac:dyDescent="0.3">
      <c r="A104" s="94" t="str">
        <f>Data!Y105</f>
        <v>fixed</v>
      </c>
      <c r="B104" s="99">
        <f>Data!E105</f>
        <v>5762.3273758985797</v>
      </c>
      <c r="C104" s="95">
        <f>Data!M105</f>
        <v>5.5533116937858651</v>
      </c>
      <c r="D104" s="95">
        <f>Data!N105</f>
        <v>44.49536211930581</v>
      </c>
      <c r="F104" s="90"/>
      <c r="G104" s="92"/>
      <c r="H104" s="18"/>
      <c r="I104" s="91"/>
    </row>
    <row r="105" spans="1:9" x14ac:dyDescent="0.3">
      <c r="A105" s="94" t="str">
        <f>Data!Y106</f>
        <v>fixed</v>
      </c>
      <c r="B105" s="99">
        <f>Data!E106</f>
        <v>8514.0770920487284</v>
      </c>
      <c r="C105" s="95">
        <f>Data!M106</f>
        <v>7.0471525394142631</v>
      </c>
      <c r="D105" s="95">
        <f>Data!N106</f>
        <v>35.063327123172421</v>
      </c>
    </row>
    <row r="106" spans="1:9" x14ac:dyDescent="0.3">
      <c r="A106" s="94" t="str">
        <f>Data!Y107</f>
        <v>fixed</v>
      </c>
      <c r="B106" s="99">
        <f>Data!E107</f>
        <v>10000</v>
      </c>
      <c r="C106" s="95">
        <f>Data!M107</f>
        <v>4.5</v>
      </c>
      <c r="D106" s="95">
        <f>Data!N107</f>
        <v>54.910358839195013</v>
      </c>
    </row>
    <row r="107" spans="1:9" x14ac:dyDescent="0.3">
      <c r="A107" s="94" t="str">
        <f>Data!Y108</f>
        <v>fixed</v>
      </c>
      <c r="B107" s="99">
        <f>Data!E108</f>
        <v>10000</v>
      </c>
      <c r="C107" s="95">
        <f>Data!M108</f>
        <v>8</v>
      </c>
      <c r="D107" s="95">
        <f>Data!N108</f>
        <v>30.88707684704719</v>
      </c>
    </row>
    <row r="108" spans="1:9" x14ac:dyDescent="0.3">
      <c r="A108" s="94" t="str">
        <f>Data!Y109</f>
        <v>fixed</v>
      </c>
      <c r="B108" s="99">
        <f>Data!E109</f>
        <v>10000</v>
      </c>
      <c r="C108" s="95">
        <f>Data!M109</f>
        <v>7.7</v>
      </c>
      <c r="D108" s="95">
        <f>Data!N109</f>
        <v>32.090469451477603</v>
      </c>
    </row>
    <row r="109" spans="1:9" x14ac:dyDescent="0.3">
      <c r="A109" s="94" t="str">
        <f>Data!Y110</f>
        <v>fixed</v>
      </c>
      <c r="B109" s="99">
        <f>Data!E110</f>
        <v>10000</v>
      </c>
      <c r="C109" s="95">
        <f>Data!M110</f>
        <v>9.8000000000000007</v>
      </c>
      <c r="D109" s="95">
        <f>Data!N110</f>
        <v>25.213940283303831</v>
      </c>
    </row>
    <row r="110" spans="1:9" x14ac:dyDescent="0.3">
      <c r="A110" s="94" t="str">
        <f>Data!Y111</f>
        <v>fixed</v>
      </c>
      <c r="B110" s="99">
        <f>Data!E111</f>
        <v>12600</v>
      </c>
      <c r="C110" s="95">
        <f>Data!M111</f>
        <v>7.6190476190476195</v>
      </c>
      <c r="D110" s="95">
        <f>Data!N111</f>
        <v>32.431430689399555</v>
      </c>
    </row>
    <row r="111" spans="1:9" x14ac:dyDescent="0.3">
      <c r="A111" s="94" t="str">
        <f>Data!Y112</f>
        <v>fixed</v>
      </c>
      <c r="B111" s="99">
        <f>Data!E112</f>
        <v>14000</v>
      </c>
      <c r="C111" s="95">
        <f>Data!M112</f>
        <v>7.7142857142857144</v>
      </c>
      <c r="D111" s="95">
        <f>Data!N112</f>
        <v>32.031042656197087</v>
      </c>
    </row>
    <row r="112" spans="1:9" x14ac:dyDescent="0.3">
      <c r="A112" s="94" t="str">
        <f>Data!Y113</f>
        <v>fixed</v>
      </c>
      <c r="B112" s="99">
        <f>Data!E113</f>
        <v>14814.494140164788</v>
      </c>
      <c r="C112" s="95">
        <f>Data!M113</f>
        <v>9.1126972492425811</v>
      </c>
      <c r="D112" s="95">
        <f>Data!N113</f>
        <v>27.115639641920005</v>
      </c>
    </row>
    <row r="113" spans="1:4" x14ac:dyDescent="0.3">
      <c r="A113" s="94" t="str">
        <f>Data!Y114</f>
        <v>fixed</v>
      </c>
      <c r="B113" s="99">
        <f>Data!E114</f>
        <v>17028.154184097457</v>
      </c>
      <c r="C113" s="95">
        <f>Data!M114</f>
        <v>5.8726271161785526</v>
      </c>
      <c r="D113" s="95">
        <f>Data!N114</f>
        <v>42.075992547806912</v>
      </c>
    </row>
    <row r="114" spans="1:4" x14ac:dyDescent="0.3">
      <c r="A114" s="94" t="str">
        <f>Data!Y115</f>
        <v>fixed</v>
      </c>
      <c r="B114" s="99">
        <f>Data!E115</f>
        <v>17280</v>
      </c>
      <c r="C114" s="95">
        <f>Data!M115</f>
        <v>11.574074074074073</v>
      </c>
      <c r="D114" s="95">
        <f>Data!N115</f>
        <v>21.349147516679022</v>
      </c>
    </row>
    <row r="115" spans="1:4" x14ac:dyDescent="0.3">
      <c r="A115" s="94" t="str">
        <f>Data!Y116</f>
        <v>fixed</v>
      </c>
      <c r="B115" s="99">
        <f>Data!E116</f>
        <v>18000</v>
      </c>
      <c r="C115" s="95">
        <f>Data!M116</f>
        <v>7.7333333333333325</v>
      </c>
      <c r="D115" s="95">
        <f>Data!N116</f>
        <v>31.952148462462613</v>
      </c>
    </row>
    <row r="116" spans="1:4" x14ac:dyDescent="0.3">
      <c r="A116" s="94" t="str">
        <f>Data!Y83</f>
        <v>fixed</v>
      </c>
      <c r="B116" s="99">
        <f>Data!E83</f>
        <v>1200</v>
      </c>
      <c r="C116" s="95">
        <f>Data!M83</f>
        <v>6.8250000000000002</v>
      </c>
      <c r="D116" s="95">
        <f>Data!N83</f>
        <v>36.204632201667039</v>
      </c>
    </row>
    <row r="117" spans="1:4" x14ac:dyDescent="0.3">
      <c r="A117" s="94" t="str">
        <f>Data!Y117</f>
        <v>fixed</v>
      </c>
      <c r="B117" s="99">
        <f>Data!E117</f>
        <v>1702.8154184097457</v>
      </c>
      <c r="C117" s="95">
        <f>Data!M117</f>
        <v>6.4598898277964079</v>
      </c>
      <c r="D117" s="95">
        <f>Data!N117</f>
        <v>38.250902316188103</v>
      </c>
    </row>
    <row r="118" spans="1:4" x14ac:dyDescent="0.3">
      <c r="A118" s="94" t="str">
        <f>Data!Y118</f>
        <v>unknown</v>
      </c>
      <c r="B118" s="99">
        <f>Data!E118</f>
        <v>1958.2377311712075</v>
      </c>
      <c r="C118" s="95">
        <f>Data!M118</f>
        <v>6.1279587299254459</v>
      </c>
      <c r="D118" s="95">
        <f>Data!N118</f>
        <v>40.322826191648289</v>
      </c>
    </row>
    <row r="119" spans="1:4" x14ac:dyDescent="0.3">
      <c r="A119" s="94" t="str">
        <f>Data!Y119</f>
        <v>unknown</v>
      </c>
      <c r="B119" s="99">
        <f>Data!E119</f>
        <v>2724.5046694555931</v>
      </c>
      <c r="C119" s="95">
        <f>Data!M119</f>
        <v>3.6703919476115949</v>
      </c>
      <c r="D119" s="95">
        <f>Data!N119</f>
        <v>67.321588076491054</v>
      </c>
    </row>
    <row r="120" spans="1:4" x14ac:dyDescent="0.3">
      <c r="A120" s="94" t="str">
        <f>Data!Y120</f>
        <v>unknown</v>
      </c>
      <c r="B120" s="99">
        <f>Data!E120</f>
        <v>3575.9123786604659</v>
      </c>
      <c r="C120" s="95">
        <f>Data!M120</f>
        <v>17.338232438241441</v>
      </c>
      <c r="D120" s="95">
        <f>Data!N120</f>
        <v>14.251545862966855</v>
      </c>
    </row>
    <row r="121" spans="1:4" x14ac:dyDescent="0.3">
      <c r="A121" s="94" t="str">
        <f>Data!Y121</f>
        <v>unknown</v>
      </c>
      <c r="B121" s="99">
        <f>Data!E121</f>
        <v>4257.0385460243642</v>
      </c>
      <c r="C121" s="95">
        <f>Data!M121</f>
        <v>6.5773423701199789</v>
      </c>
      <c r="D121" s="95">
        <f>Data!N121</f>
        <v>37.567850489113312</v>
      </c>
    </row>
    <row r="122" spans="1:4" x14ac:dyDescent="0.3">
      <c r="A122" s="94" t="str">
        <f>Data!Y122</f>
        <v>unknown</v>
      </c>
      <c r="B122" s="99">
        <f>Data!E122</f>
        <v>4257.0385460243642</v>
      </c>
      <c r="C122" s="95">
        <f>Data!M122</f>
        <v>11.745254232357105</v>
      </c>
      <c r="D122" s="95">
        <f>Data!N122</f>
        <v>21.037996273903456</v>
      </c>
    </row>
    <row r="123" spans="1:4" x14ac:dyDescent="0.3">
      <c r="A123" s="94" t="str">
        <f>Data!Y123</f>
        <v>fixed</v>
      </c>
      <c r="B123" s="99">
        <f>Data!E123</f>
        <v>4257.0385460243642</v>
      </c>
      <c r="C123" s="95">
        <f>Data!M123</f>
        <v>11.745254232357105</v>
      </c>
      <c r="D123" s="95">
        <f>Data!N123</f>
        <v>21.037996273903456</v>
      </c>
    </row>
    <row r="124" spans="1:4" x14ac:dyDescent="0.3">
      <c r="A124" s="94" t="str">
        <f>Data!Y124</f>
        <v>unknown</v>
      </c>
      <c r="B124" s="99">
        <f>Data!E124</f>
        <v>6811.2616736389828</v>
      </c>
      <c r="C124" s="95">
        <f>Data!M124</f>
        <v>3.5235762697071316</v>
      </c>
      <c r="D124" s="95">
        <f>Data!N124</f>
        <v>70.126654246344842</v>
      </c>
    </row>
    <row r="125" spans="1:4" x14ac:dyDescent="0.3">
      <c r="A125" s="94" t="str">
        <f>Data!Y125</f>
        <v>unknown</v>
      </c>
      <c r="B125" s="99">
        <f>Data!E125</f>
        <v>16925.985258992871</v>
      </c>
      <c r="C125" s="95">
        <f>Data!M125</f>
        <v>5.6126717911163233</v>
      </c>
      <c r="D125" s="95">
        <f>Data!N125</f>
        <v>44.024775360547437</v>
      </c>
    </row>
    <row r="126" spans="1:4" x14ac:dyDescent="0.3">
      <c r="A126" s="94" t="str">
        <f>Data!Y126</f>
        <v>unknown</v>
      </c>
      <c r="B126" s="99">
        <f>Data!E126</f>
        <v>17028.154184097457</v>
      </c>
      <c r="C126" s="95">
        <f>Data!M126</f>
        <v>11.745254232357105</v>
      </c>
      <c r="D126" s="95">
        <f>Data!N126</f>
        <v>21.037996273903456</v>
      </c>
    </row>
    <row r="127" spans="1:4" x14ac:dyDescent="0.3">
      <c r="A127" s="94" t="str">
        <f>Data!Y127</f>
        <v>unknown</v>
      </c>
      <c r="B127" s="99">
        <f>Data!E127</f>
        <v>17028.154184097457</v>
      </c>
      <c r="C127" s="95">
        <f>Data!M127</f>
        <v>10.218371182150682</v>
      </c>
      <c r="D127" s="95">
        <f>Data!N127</f>
        <v>24.181604912532702</v>
      </c>
    </row>
    <row r="128" spans="1:4" x14ac:dyDescent="0.3">
      <c r="A128" s="94" t="str">
        <f>Data!Y128</f>
        <v>unknown</v>
      </c>
      <c r="B128" s="99">
        <f>Data!E128</f>
        <v>19582.377311712076</v>
      </c>
      <c r="C128" s="95">
        <f>Data!M128</f>
        <v>8.1706116399005939</v>
      </c>
      <c r="D128" s="95">
        <f>Data!N128</f>
        <v>30.242119643736213</v>
      </c>
    </row>
    <row r="129" spans="1:4" x14ac:dyDescent="0.3">
      <c r="A129" s="94"/>
      <c r="B129" s="99"/>
      <c r="C129" s="95"/>
      <c r="D129" s="95"/>
    </row>
    <row r="130" spans="1:4" x14ac:dyDescent="0.3">
      <c r="A130" s="94"/>
      <c r="B130" s="99"/>
      <c r="C130" s="95"/>
      <c r="D130" s="95"/>
    </row>
    <row r="131" spans="1:4" x14ac:dyDescent="0.3">
      <c r="A131" s="94"/>
      <c r="B131" s="99"/>
      <c r="C131" s="95"/>
      <c r="D131" s="95"/>
    </row>
    <row r="132" spans="1:4" x14ac:dyDescent="0.3">
      <c r="A132" s="94"/>
      <c r="B132" s="99"/>
      <c r="C132" s="95"/>
      <c r="D132" s="95"/>
    </row>
    <row r="133" spans="1:4" x14ac:dyDescent="0.3">
      <c r="A133" s="94"/>
      <c r="B133" s="99"/>
      <c r="C133" s="95"/>
      <c r="D133" s="95"/>
    </row>
    <row r="134" spans="1:4" x14ac:dyDescent="0.3">
      <c r="A134" s="94"/>
      <c r="B134" s="99"/>
      <c r="C134" s="95"/>
      <c r="D134" s="95"/>
    </row>
    <row r="135" spans="1:4" x14ac:dyDescent="0.3">
      <c r="A135" s="94"/>
      <c r="B135" s="99"/>
      <c r="C135" s="95"/>
      <c r="D135" s="95"/>
    </row>
    <row r="136" spans="1:4" x14ac:dyDescent="0.3">
      <c r="A136" s="94"/>
      <c r="B136" s="99"/>
      <c r="C136" s="95"/>
      <c r="D136" s="95"/>
    </row>
    <row r="137" spans="1:4" x14ac:dyDescent="0.3">
      <c r="A137" s="94"/>
      <c r="B137" s="99"/>
      <c r="C137" s="95"/>
      <c r="D137" s="95"/>
    </row>
    <row r="138" spans="1:4" x14ac:dyDescent="0.3">
      <c r="A138" s="94"/>
      <c r="B138" s="99"/>
      <c r="C138" s="95"/>
      <c r="D138" s="95"/>
    </row>
    <row r="139" spans="1:4" x14ac:dyDescent="0.3">
      <c r="A139" s="94"/>
      <c r="B139" s="99"/>
      <c r="C139" s="95"/>
      <c r="D139" s="95"/>
    </row>
    <row r="140" spans="1:4" x14ac:dyDescent="0.3">
      <c r="A140" s="94"/>
      <c r="B140" s="99"/>
      <c r="C140" s="95"/>
      <c r="D140" s="95"/>
    </row>
    <row r="141" spans="1:4" x14ac:dyDescent="0.3">
      <c r="A141" s="94"/>
      <c r="B141" s="99"/>
      <c r="C141" s="95"/>
      <c r="D141" s="95"/>
    </row>
    <row r="142" spans="1:4" x14ac:dyDescent="0.3">
      <c r="A142" s="94"/>
      <c r="B142" s="99"/>
      <c r="C142" s="95"/>
      <c r="D142" s="95"/>
    </row>
    <row r="143" spans="1:4" x14ac:dyDescent="0.3">
      <c r="A143" s="94"/>
      <c r="B143" s="99"/>
      <c r="C143" s="95"/>
      <c r="D143" s="95"/>
    </row>
    <row r="144" spans="1:4" x14ac:dyDescent="0.3">
      <c r="A144" s="94"/>
      <c r="B144" s="99"/>
      <c r="C144" s="95"/>
      <c r="D144" s="95"/>
    </row>
  </sheetData>
  <sortState ref="P3:R9">
    <sortCondition ref="R3:R9"/>
  </sortState>
  <customSheetViews>
    <customSheetView guid="{A817C2B6-B412-4BD4-89EB-C78C16183A0C}" topLeftCell="A25">
      <selection activeCell="X32" sqref="X32"/>
      <pageMargins left="0.7" right="0.7" top="0.75" bottom="0.75" header="0.3" footer="0.3"/>
      <pageSetup orientation="portrait" r:id="rId1"/>
    </customSheetView>
  </customSheetView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J52"/>
  <sheetViews>
    <sheetView workbookViewId="0">
      <pane xSplit="1" topLeftCell="B1" activePane="topRight" state="frozen"/>
      <selection activeCell="S28" sqref="S28"/>
      <selection pane="topRight" activeCell="S28" sqref="S28"/>
    </sheetView>
  </sheetViews>
  <sheetFormatPr defaultRowHeight="14.4" x14ac:dyDescent="0.3"/>
  <cols>
    <col min="3" max="3" width="8.88671875" style="260"/>
    <col min="7" max="7" width="13.6640625" customWidth="1"/>
  </cols>
  <sheetData>
    <row r="1" spans="1:8" x14ac:dyDescent="0.3">
      <c r="A1" s="42">
        <v>446.88</v>
      </c>
      <c r="B1" s="94">
        <v>596</v>
      </c>
      <c r="C1" s="94">
        <f>B1/1000</f>
        <v>0.59599999999999997</v>
      </c>
      <c r="D1">
        <f t="shared" ref="D1:D32" si="0">A1/B1</f>
        <v>0.74979865771812082</v>
      </c>
      <c r="F1" t="s">
        <v>741</v>
      </c>
    </row>
    <row r="2" spans="1:8" x14ac:dyDescent="0.3">
      <c r="A2" s="42">
        <v>474.81</v>
      </c>
      <c r="B2" s="94">
        <v>633</v>
      </c>
      <c r="C2" s="94">
        <f t="shared" ref="C2:C52" si="1">B2/1000</f>
        <v>0.63300000000000001</v>
      </c>
      <c r="D2">
        <f t="shared" si="0"/>
        <v>0.75009478672985785</v>
      </c>
    </row>
    <row r="3" spans="1:8" x14ac:dyDescent="0.3">
      <c r="A3" s="42">
        <v>503.16</v>
      </c>
      <c r="B3" s="94">
        <v>600</v>
      </c>
      <c r="C3" s="94">
        <f t="shared" si="1"/>
        <v>0.6</v>
      </c>
      <c r="D3">
        <f t="shared" si="0"/>
        <v>0.83860000000000001</v>
      </c>
    </row>
    <row r="4" spans="1:8" x14ac:dyDescent="0.3">
      <c r="A4" s="42">
        <v>657.87</v>
      </c>
      <c r="B4" s="94">
        <v>720.72</v>
      </c>
      <c r="C4" s="94">
        <f t="shared" si="1"/>
        <v>0.72072000000000003</v>
      </c>
      <c r="D4">
        <f t="shared" si="0"/>
        <v>0.91279553779553779</v>
      </c>
    </row>
    <row r="5" spans="1:8" x14ac:dyDescent="0.3">
      <c r="A5" s="42">
        <v>823.1</v>
      </c>
      <c r="B5" s="94">
        <v>1069</v>
      </c>
      <c r="C5" s="94">
        <f t="shared" si="1"/>
        <v>1.069</v>
      </c>
      <c r="D5">
        <f t="shared" si="0"/>
        <v>0.76997193638914874</v>
      </c>
      <c r="G5" t="s">
        <v>846</v>
      </c>
    </row>
    <row r="6" spans="1:8" x14ac:dyDescent="0.3">
      <c r="A6" s="42">
        <f>B6*0.89</f>
        <v>890</v>
      </c>
      <c r="B6" s="94">
        <v>1000</v>
      </c>
      <c r="C6" s="94">
        <f t="shared" si="1"/>
        <v>1</v>
      </c>
      <c r="D6">
        <f t="shared" si="0"/>
        <v>0.89</v>
      </c>
      <c r="G6" t="s">
        <v>748</v>
      </c>
    </row>
    <row r="7" spans="1:8" x14ac:dyDescent="0.3">
      <c r="A7" s="42">
        <v>891.48</v>
      </c>
      <c r="B7" s="18">
        <v>1188.6400000000001</v>
      </c>
      <c r="C7" s="94">
        <f t="shared" si="1"/>
        <v>1.1886400000000001</v>
      </c>
      <c r="D7">
        <f t="shared" si="0"/>
        <v>0.75</v>
      </c>
      <c r="G7">
        <f>MAX(D1:D39)</f>
        <v>0.96999999999999986</v>
      </c>
    </row>
    <row r="8" spans="1:8" x14ac:dyDescent="0.3">
      <c r="A8" s="42">
        <v>900</v>
      </c>
      <c r="B8" s="18">
        <v>1000</v>
      </c>
      <c r="C8" s="94">
        <f t="shared" si="1"/>
        <v>1</v>
      </c>
      <c r="D8">
        <f t="shared" si="0"/>
        <v>0.9</v>
      </c>
      <c r="G8" t="s">
        <v>747</v>
      </c>
    </row>
    <row r="9" spans="1:8" x14ac:dyDescent="0.3">
      <c r="A9" s="42">
        <v>917.91300000000001</v>
      </c>
      <c r="B9" s="94">
        <v>1088.96</v>
      </c>
      <c r="C9" s="94">
        <f t="shared" si="1"/>
        <v>1.0889599999999999</v>
      </c>
      <c r="D9">
        <f t="shared" si="0"/>
        <v>0.84292627828386713</v>
      </c>
      <c r="G9">
        <f>MIN(D1:D39)</f>
        <v>0.74979865771812082</v>
      </c>
    </row>
    <row r="10" spans="1:8" x14ac:dyDescent="0.3">
      <c r="A10" s="42">
        <v>924.13400000000001</v>
      </c>
      <c r="B10" s="94">
        <v>1102.08</v>
      </c>
      <c r="C10" s="94">
        <f t="shared" si="1"/>
        <v>1.1020799999999999</v>
      </c>
      <c r="D10">
        <f t="shared" si="0"/>
        <v>0.83853622241579562</v>
      </c>
      <c r="G10" t="s">
        <v>594</v>
      </c>
      <c r="H10" t="s">
        <v>744</v>
      </c>
    </row>
    <row r="11" spans="1:8" x14ac:dyDescent="0.3">
      <c r="A11" s="42">
        <v>940</v>
      </c>
      <c r="B11" s="94">
        <v>1000</v>
      </c>
      <c r="C11" s="94">
        <f t="shared" si="1"/>
        <v>1</v>
      </c>
      <c r="D11">
        <f t="shared" si="0"/>
        <v>0.94</v>
      </c>
      <c r="G11" s="110">
        <f>AVERAGE(D1:D39)</f>
        <v>0.84514513669751412</v>
      </c>
      <c r="H11">
        <f>wtavg(A1:A39,D1:D39)</f>
        <v>0.85367837195316643</v>
      </c>
    </row>
    <row r="12" spans="1:8" x14ac:dyDescent="0.3">
      <c r="A12" s="42">
        <v>995.51400000000001</v>
      </c>
      <c r="B12" s="94">
        <v>1179.52</v>
      </c>
      <c r="C12" s="94">
        <f t="shared" si="1"/>
        <v>1.1795199999999999</v>
      </c>
      <c r="D12">
        <f t="shared" si="0"/>
        <v>0.84399925393380359</v>
      </c>
      <c r="G12" t="s">
        <v>746</v>
      </c>
      <c r="H12" t="s">
        <v>745</v>
      </c>
    </row>
    <row r="13" spans="1:8" x14ac:dyDescent="0.3">
      <c r="A13" s="42">
        <v>999.91600000000005</v>
      </c>
      <c r="B13" s="18">
        <v>1160.0999999999999</v>
      </c>
      <c r="C13" s="94">
        <f t="shared" si="1"/>
        <v>1.1600999999999999</v>
      </c>
      <c r="D13">
        <f t="shared" si="0"/>
        <v>0.86192224808206197</v>
      </c>
      <c r="G13">
        <f xml:space="preserve"> STDEV(D1:D39)</f>
        <v>5.7181884462551895E-2</v>
      </c>
      <c r="H13">
        <f>wtstd(A1:A39,D1:D39)</f>
        <v>1.5603379545020422E-2</v>
      </c>
    </row>
    <row r="14" spans="1:8" x14ac:dyDescent="0.3">
      <c r="A14" s="42">
        <v>1000</v>
      </c>
      <c r="B14" s="94">
        <v>1083</v>
      </c>
      <c r="C14" s="94">
        <f t="shared" si="1"/>
        <v>1.083</v>
      </c>
      <c r="D14">
        <f t="shared" si="0"/>
        <v>0.92336103416435822</v>
      </c>
    </row>
    <row r="15" spans="1:8" x14ac:dyDescent="0.3">
      <c r="A15" s="42">
        <v>1000</v>
      </c>
      <c r="B15" s="94">
        <v>1140.48</v>
      </c>
      <c r="C15" s="94">
        <f t="shared" si="1"/>
        <v>1.1404799999999999</v>
      </c>
      <c r="D15">
        <f t="shared" si="0"/>
        <v>0.87682379349046013</v>
      </c>
    </row>
    <row r="16" spans="1:8" x14ac:dyDescent="0.3">
      <c r="A16" s="42">
        <v>1000</v>
      </c>
      <c r="B16" s="94">
        <v>1159.2</v>
      </c>
      <c r="C16" s="94">
        <f t="shared" si="1"/>
        <v>1.1592</v>
      </c>
      <c r="D16">
        <f t="shared" si="0"/>
        <v>0.86266390614216693</v>
      </c>
    </row>
    <row r="17" spans="1:8" x14ac:dyDescent="0.3">
      <c r="A17" s="42">
        <v>1000</v>
      </c>
      <c r="B17" s="94">
        <v>1189</v>
      </c>
      <c r="C17" s="94">
        <f t="shared" si="1"/>
        <v>1.1890000000000001</v>
      </c>
      <c r="D17">
        <f t="shared" si="0"/>
        <v>0.84104289318755254</v>
      </c>
    </row>
    <row r="18" spans="1:8" x14ac:dyDescent="0.3">
      <c r="A18" s="42">
        <v>1200</v>
      </c>
      <c r="B18" s="75">
        <v>1400</v>
      </c>
      <c r="C18" s="94">
        <f t="shared" si="1"/>
        <v>1.4</v>
      </c>
      <c r="D18">
        <f t="shared" si="0"/>
        <v>0.8571428571428571</v>
      </c>
    </row>
    <row r="19" spans="1:8" x14ac:dyDescent="0.3">
      <c r="A19" s="42">
        <v>1329.79</v>
      </c>
      <c r="B19" s="94">
        <v>1727</v>
      </c>
      <c r="C19" s="94">
        <f t="shared" si="1"/>
        <v>1.7270000000000001</v>
      </c>
      <c r="D19">
        <f t="shared" si="0"/>
        <v>0.77</v>
      </c>
      <c r="G19" t="s">
        <v>847</v>
      </c>
    </row>
    <row r="20" spans="1:8" x14ac:dyDescent="0.3">
      <c r="A20" s="42">
        <v>2000</v>
      </c>
      <c r="B20" s="94">
        <v>2592</v>
      </c>
      <c r="C20" s="94">
        <f t="shared" si="1"/>
        <v>2.5920000000000001</v>
      </c>
      <c r="D20">
        <f t="shared" si="0"/>
        <v>0.77160493827160492</v>
      </c>
      <c r="G20" t="s">
        <v>748</v>
      </c>
    </row>
    <row r="21" spans="1:8" x14ac:dyDescent="0.3">
      <c r="A21" s="42">
        <f>B21*0.97</f>
        <v>2086.4699999999998</v>
      </c>
      <c r="B21" s="94">
        <v>2151</v>
      </c>
      <c r="C21" s="94">
        <f t="shared" si="1"/>
        <v>2.1509999999999998</v>
      </c>
      <c r="D21">
        <f t="shared" si="0"/>
        <v>0.96999999999999986</v>
      </c>
      <c r="G21">
        <f>MAX(D40:D52)</f>
        <v>0.8928571428571429</v>
      </c>
    </row>
    <row r="22" spans="1:8" x14ac:dyDescent="0.3">
      <c r="A22" s="42">
        <v>5000</v>
      </c>
      <c r="B22" s="18">
        <v>6200</v>
      </c>
      <c r="C22" s="94">
        <f t="shared" si="1"/>
        <v>6.2</v>
      </c>
      <c r="D22">
        <f t="shared" si="0"/>
        <v>0.80645161290322576</v>
      </c>
      <c r="G22" t="s">
        <v>747</v>
      </c>
    </row>
    <row r="23" spans="1:8" x14ac:dyDescent="0.3">
      <c r="A23" s="108">
        <v>5000</v>
      </c>
      <c r="B23" s="98">
        <v>6400</v>
      </c>
      <c r="C23" s="94">
        <f t="shared" si="1"/>
        <v>6.4</v>
      </c>
      <c r="D23">
        <f t="shared" si="0"/>
        <v>0.78125</v>
      </c>
      <c r="G23">
        <f>MIN(D40:D52)</f>
        <v>0.77419354838709675</v>
      </c>
    </row>
    <row r="24" spans="1:8" x14ac:dyDescent="0.3">
      <c r="A24" s="108">
        <v>5000</v>
      </c>
      <c r="B24" s="98">
        <v>5742</v>
      </c>
      <c r="C24" s="94">
        <f t="shared" si="1"/>
        <v>5.742</v>
      </c>
      <c r="D24">
        <f t="shared" si="0"/>
        <v>0.87077673284569834</v>
      </c>
      <c r="G24" t="s">
        <v>594</v>
      </c>
      <c r="H24" t="s">
        <v>744</v>
      </c>
    </row>
    <row r="25" spans="1:8" x14ac:dyDescent="0.3">
      <c r="A25" s="42">
        <v>5324</v>
      </c>
      <c r="B25" s="94">
        <v>6480</v>
      </c>
      <c r="C25" s="94">
        <f t="shared" si="1"/>
        <v>6.48</v>
      </c>
      <c r="D25">
        <f t="shared" si="0"/>
        <v>0.82160493827160497</v>
      </c>
      <c r="G25" s="110">
        <f>AVERAGE(D40:D52)</f>
        <v>0.83810629864949371</v>
      </c>
      <c r="H25">
        <f>wtavg(A40:A52,D40:D52)</f>
        <v>0.85093391911224414</v>
      </c>
    </row>
    <row r="26" spans="1:8" x14ac:dyDescent="0.3">
      <c r="A26" s="108">
        <v>9400</v>
      </c>
      <c r="B26" s="98">
        <v>12000</v>
      </c>
      <c r="C26" s="94">
        <f t="shared" si="1"/>
        <v>12</v>
      </c>
      <c r="D26">
        <f t="shared" si="0"/>
        <v>0.78333333333333333</v>
      </c>
      <c r="G26" t="s">
        <v>746</v>
      </c>
      <c r="H26" t="s">
        <v>745</v>
      </c>
    </row>
    <row r="27" spans="1:8" x14ac:dyDescent="0.3">
      <c r="A27" s="108">
        <v>10000</v>
      </c>
      <c r="B27" s="98">
        <v>11750</v>
      </c>
      <c r="C27" s="94">
        <f t="shared" si="1"/>
        <v>11.75</v>
      </c>
      <c r="D27">
        <f t="shared" si="0"/>
        <v>0.85106382978723405</v>
      </c>
      <c r="G27">
        <f xml:space="preserve"> STDEV(D40:D52)</f>
        <v>3.973141128388135E-2</v>
      </c>
      <c r="H27">
        <f>wtstd(A40:A52,D40:D52)</f>
        <v>2.1713167871255122E-2</v>
      </c>
    </row>
    <row r="28" spans="1:8" x14ac:dyDescent="0.3">
      <c r="A28" s="42">
        <v>10000</v>
      </c>
      <c r="B28" s="94">
        <v>12000</v>
      </c>
      <c r="C28" s="94">
        <f t="shared" si="1"/>
        <v>12</v>
      </c>
      <c r="D28">
        <f t="shared" si="0"/>
        <v>0.83333333333333337</v>
      </c>
    </row>
    <row r="29" spans="1:8" x14ac:dyDescent="0.3">
      <c r="A29" s="42">
        <v>10000</v>
      </c>
      <c r="B29" s="94">
        <v>12600</v>
      </c>
      <c r="C29" s="94">
        <f t="shared" si="1"/>
        <v>12.6</v>
      </c>
      <c r="D29">
        <f t="shared" si="0"/>
        <v>0.79365079365079361</v>
      </c>
    </row>
    <row r="30" spans="1:8" x14ac:dyDescent="0.3">
      <c r="A30" s="42">
        <f>12600</f>
        <v>12600</v>
      </c>
      <c r="B30" s="94">
        <v>15010</v>
      </c>
      <c r="C30" s="94">
        <f t="shared" si="1"/>
        <v>15.01</v>
      </c>
      <c r="D30">
        <f t="shared" si="0"/>
        <v>0.83944037308461028</v>
      </c>
    </row>
    <row r="31" spans="1:8" x14ac:dyDescent="0.3">
      <c r="A31" s="42">
        <v>13500</v>
      </c>
      <c r="B31" s="94">
        <v>18000</v>
      </c>
      <c r="C31" s="94">
        <f t="shared" si="1"/>
        <v>18</v>
      </c>
      <c r="D31">
        <f t="shared" si="0"/>
        <v>0.75</v>
      </c>
    </row>
    <row r="32" spans="1:8" x14ac:dyDescent="0.3">
      <c r="A32" s="42">
        <v>14000</v>
      </c>
      <c r="B32" s="94">
        <v>16100</v>
      </c>
      <c r="C32" s="94">
        <f t="shared" si="1"/>
        <v>16.100000000000001</v>
      </c>
      <c r="D32">
        <f t="shared" si="0"/>
        <v>0.86956521739130432</v>
      </c>
    </row>
    <row r="33" spans="1:10" x14ac:dyDescent="0.3">
      <c r="A33" s="108">
        <v>15000</v>
      </c>
      <c r="B33" s="98">
        <v>16438.8</v>
      </c>
      <c r="C33" s="94">
        <f t="shared" si="1"/>
        <v>16.438800000000001</v>
      </c>
      <c r="D33">
        <f t="shared" ref="D33:D52" si="2">A33/B33</f>
        <v>0.91247536316519462</v>
      </c>
    </row>
    <row r="34" spans="1:10" x14ac:dyDescent="0.3">
      <c r="A34" s="108">
        <v>15000</v>
      </c>
      <c r="B34" s="98">
        <v>16609</v>
      </c>
      <c r="C34" s="94">
        <f t="shared" si="1"/>
        <v>16.609000000000002</v>
      </c>
      <c r="D34">
        <f t="shared" si="2"/>
        <v>0.90312481184899751</v>
      </c>
      <c r="I34" t="s">
        <v>1082</v>
      </c>
      <c r="J34">
        <f>SUMIFS($C$1:$C$52,$D$1:$D$52,"&lt;0.75")</f>
        <v>0.59599999999999997</v>
      </c>
    </row>
    <row r="35" spans="1:10" x14ac:dyDescent="0.3">
      <c r="A35" s="28">
        <v>15500</v>
      </c>
      <c r="B35" s="94">
        <v>17200</v>
      </c>
      <c r="C35" s="94">
        <f t="shared" si="1"/>
        <v>17.2</v>
      </c>
      <c r="D35">
        <f t="shared" si="2"/>
        <v>0.90116279069767447</v>
      </c>
      <c r="I35" t="s">
        <v>1083</v>
      </c>
      <c r="J35" s="260">
        <f>SUMIFS($C$1:$C$52,$D$1:$D$52,"&gt;=0.75",$D$1:$D$52,"&lt;0.8")</f>
        <v>179.02464000000001</v>
      </c>
    </row>
    <row r="36" spans="1:10" x14ac:dyDescent="0.3">
      <c r="A36" s="109">
        <v>17000</v>
      </c>
      <c r="B36" s="94">
        <v>20000</v>
      </c>
      <c r="C36" s="94">
        <f t="shared" si="1"/>
        <v>20</v>
      </c>
      <c r="D36">
        <f t="shared" si="2"/>
        <v>0.85</v>
      </c>
      <c r="I36" t="s">
        <v>1084</v>
      </c>
      <c r="J36" s="260">
        <f>SUMIFS($C$1:$C$52,$D$1:$D$52,"&gt;=0.8",$D$1:$D$52,"&lt;0.85")</f>
        <v>465.64956000000001</v>
      </c>
    </row>
    <row r="37" spans="1:10" x14ac:dyDescent="0.3">
      <c r="A37" s="108">
        <v>17500</v>
      </c>
      <c r="B37" s="98">
        <v>20000</v>
      </c>
      <c r="C37" s="94">
        <f t="shared" si="1"/>
        <v>20</v>
      </c>
      <c r="D37">
        <f t="shared" si="2"/>
        <v>0.875</v>
      </c>
      <c r="I37" t="s">
        <v>1085</v>
      </c>
      <c r="J37" s="260">
        <f>SUMIFS($C$1:$C$52,$D$1:$D$52,"&gt;=0.85",$D$1:$D$52,"&lt;0.9")</f>
        <v>893.24177999999995</v>
      </c>
    </row>
    <row r="38" spans="1:10" x14ac:dyDescent="0.3">
      <c r="A38" s="108">
        <v>18000</v>
      </c>
      <c r="B38" s="98">
        <v>21000</v>
      </c>
      <c r="C38" s="94">
        <f t="shared" si="1"/>
        <v>21</v>
      </c>
      <c r="D38">
        <f t="shared" si="2"/>
        <v>0.8571428571428571</v>
      </c>
      <c r="I38" t="s">
        <v>1086</v>
      </c>
      <c r="J38" s="260">
        <f>SUMIFS($C$1:$C$52,$D$1:$D$52,"&gt;=0.9",$D$1:$D$52,"&lt;0.95")</f>
        <v>74.051519999999996</v>
      </c>
    </row>
    <row r="39" spans="1:10" x14ac:dyDescent="0.3">
      <c r="A39" s="42">
        <v>18000</v>
      </c>
      <c r="B39" s="94">
        <v>20000</v>
      </c>
      <c r="C39" s="94">
        <f t="shared" si="1"/>
        <v>20</v>
      </c>
      <c r="D39">
        <f t="shared" si="2"/>
        <v>0.9</v>
      </c>
      <c r="I39" t="s">
        <v>1087</v>
      </c>
      <c r="J39" s="260">
        <f>SUMIFS($C$1:$C$52,$D$1:$D$52,"&gt;=0.95",$D$1:$D$52,"&lt;=1")</f>
        <v>2.1509999999999998</v>
      </c>
    </row>
    <row r="40" spans="1:10" x14ac:dyDescent="0.3">
      <c r="A40" s="108">
        <v>20000</v>
      </c>
      <c r="B40" s="98">
        <v>23500</v>
      </c>
      <c r="C40" s="94">
        <f t="shared" si="1"/>
        <v>23.5</v>
      </c>
      <c r="D40">
        <f t="shared" si="2"/>
        <v>0.85106382978723405</v>
      </c>
    </row>
    <row r="41" spans="1:10" x14ac:dyDescent="0.3">
      <c r="A41" s="108">
        <v>20500</v>
      </c>
      <c r="B41" s="98">
        <v>24900</v>
      </c>
      <c r="C41" s="94">
        <f t="shared" si="1"/>
        <v>24.9</v>
      </c>
      <c r="D41">
        <f t="shared" si="2"/>
        <v>0.82329317269076308</v>
      </c>
    </row>
    <row r="42" spans="1:10" x14ac:dyDescent="0.3">
      <c r="A42" s="42">
        <v>21000</v>
      </c>
      <c r="B42" s="94">
        <f>A42*1.2</f>
        <v>25200</v>
      </c>
      <c r="C42" s="94">
        <f t="shared" si="1"/>
        <v>25.2</v>
      </c>
      <c r="D42">
        <f t="shared" si="2"/>
        <v>0.83333333333333337</v>
      </c>
      <c r="G42" t="s">
        <v>748</v>
      </c>
    </row>
    <row r="43" spans="1:10" x14ac:dyDescent="0.3">
      <c r="A43" s="108">
        <v>23000</v>
      </c>
      <c r="B43" s="98">
        <v>28700</v>
      </c>
      <c r="C43" s="94">
        <f t="shared" si="1"/>
        <v>28.7</v>
      </c>
      <c r="D43">
        <f t="shared" si="2"/>
        <v>0.80139372822299648</v>
      </c>
      <c r="G43">
        <f>MAX(D1:D52)</f>
        <v>0.96999999999999986</v>
      </c>
    </row>
    <row r="44" spans="1:10" x14ac:dyDescent="0.3">
      <c r="A44" s="42">
        <v>25000</v>
      </c>
      <c r="B44" s="18">
        <v>28000</v>
      </c>
      <c r="C44" s="94">
        <f t="shared" si="1"/>
        <v>28</v>
      </c>
      <c r="D44">
        <f t="shared" si="2"/>
        <v>0.8928571428571429</v>
      </c>
      <c r="G44" t="s">
        <v>747</v>
      </c>
    </row>
    <row r="45" spans="1:10" x14ac:dyDescent="0.3">
      <c r="A45" s="42">
        <v>30000</v>
      </c>
      <c r="B45" s="94">
        <v>34290</v>
      </c>
      <c r="C45" s="94">
        <f t="shared" si="1"/>
        <v>34.29</v>
      </c>
      <c r="D45">
        <f t="shared" si="2"/>
        <v>0.87489063867016625</v>
      </c>
      <c r="G45">
        <f>MIN(D1:D52)</f>
        <v>0.74979865771812082</v>
      </c>
    </row>
    <row r="46" spans="1:10" x14ac:dyDescent="0.3">
      <c r="A46" s="42">
        <v>32000</v>
      </c>
      <c r="B46" s="94">
        <v>37000</v>
      </c>
      <c r="C46" s="94">
        <f t="shared" si="1"/>
        <v>37</v>
      </c>
      <c r="D46">
        <f t="shared" si="2"/>
        <v>0.86486486486486491</v>
      </c>
      <c r="G46" t="s">
        <v>594</v>
      </c>
      <c r="H46" t="s">
        <v>744</v>
      </c>
    </row>
    <row r="47" spans="1:10" x14ac:dyDescent="0.3">
      <c r="A47" s="42">
        <v>45000</v>
      </c>
      <c r="B47" s="94">
        <v>57715</v>
      </c>
      <c r="C47" s="94">
        <f t="shared" si="1"/>
        <v>57.715000000000003</v>
      </c>
      <c r="D47">
        <f t="shared" si="2"/>
        <v>0.77969332062721997</v>
      </c>
      <c r="G47" s="110">
        <f>AVERAGE(D1:D52)</f>
        <v>0.84338542718550913</v>
      </c>
      <c r="H47">
        <f>wtavg(A1:A52,D1:D52)</f>
        <v>0.85140770920487285</v>
      </c>
    </row>
    <row r="48" spans="1:10" x14ac:dyDescent="0.3">
      <c r="A48" s="42">
        <v>48000</v>
      </c>
      <c r="B48" s="94">
        <v>58000</v>
      </c>
      <c r="C48" s="94">
        <f t="shared" si="1"/>
        <v>58</v>
      </c>
      <c r="D48">
        <f t="shared" si="2"/>
        <v>0.82758620689655171</v>
      </c>
      <c r="G48" t="s">
        <v>746</v>
      </c>
      <c r="H48" t="s">
        <v>745</v>
      </c>
    </row>
    <row r="49" spans="1:8" x14ac:dyDescent="0.3">
      <c r="A49" s="42">
        <v>50400</v>
      </c>
      <c r="B49" s="94">
        <v>65100</v>
      </c>
      <c r="C49" s="94">
        <f t="shared" si="1"/>
        <v>65.099999999999994</v>
      </c>
      <c r="D49">
        <f t="shared" si="2"/>
        <v>0.77419354838709675</v>
      </c>
      <c r="G49">
        <f xml:space="preserve"> STDEV(D1:D52)</f>
        <v>5.30773145326464E-2</v>
      </c>
      <c r="H49">
        <f>wtstd(A1:A52,D1:D52)</f>
        <v>1.1098772881568495E-2</v>
      </c>
    </row>
    <row r="50" spans="1:8" x14ac:dyDescent="0.3">
      <c r="A50" s="42">
        <v>150000</v>
      </c>
      <c r="B50" s="94">
        <v>170000</v>
      </c>
      <c r="C50" s="94">
        <f t="shared" si="1"/>
        <v>170</v>
      </c>
      <c r="D50">
        <f t="shared" si="2"/>
        <v>0.88235294117647056</v>
      </c>
    </row>
    <row r="51" spans="1:8" x14ac:dyDescent="0.3">
      <c r="A51" s="42">
        <v>230000</v>
      </c>
      <c r="B51" s="94">
        <v>284000</v>
      </c>
      <c r="C51" s="94">
        <f t="shared" si="1"/>
        <v>284</v>
      </c>
      <c r="D51">
        <f t="shared" si="2"/>
        <v>0.8098591549295775</v>
      </c>
    </row>
    <row r="52" spans="1:8" x14ac:dyDescent="0.3">
      <c r="A52" s="42">
        <v>440000</v>
      </c>
      <c r="B52" s="94">
        <v>500000</v>
      </c>
      <c r="C52" s="94">
        <f t="shared" si="1"/>
        <v>500</v>
      </c>
      <c r="D52">
        <f t="shared" si="2"/>
        <v>0.88</v>
      </c>
    </row>
  </sheetData>
  <sortState ref="A1:C52">
    <sortCondition ref="A1:A52"/>
  </sortState>
  <customSheetViews>
    <customSheetView guid="{A817C2B6-B412-4BD4-89EB-C78C16183A0C}" topLeftCell="A31">
      <pane xSplit="1" topLeftCell="B1" activePane="topRight" state="frozen"/>
      <selection pane="topRight" activeCell="H50" sqref="H50"/>
      <pageMargins left="0.7" right="0.7" top="0.75" bottom="0.75" header="0.3" footer="0.3"/>
      <pageSetup orientation="portrait" r:id="rId1"/>
    </customSheetView>
  </customSheetViews>
  <pageMargins left="0.7" right="0.7" top="0.75" bottom="0.75" header="0.3" footer="0.3"/>
  <pageSetup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J55"/>
  <sheetViews>
    <sheetView topLeftCell="A19" zoomScaleNormal="100" workbookViewId="0">
      <selection activeCell="C42" sqref="C42:K48"/>
    </sheetView>
  </sheetViews>
  <sheetFormatPr defaultRowHeight="14.4" x14ac:dyDescent="0.3"/>
  <cols>
    <col min="1" max="1" width="4" customWidth="1"/>
    <col min="2" max="2" width="14" customWidth="1"/>
    <col min="3" max="3" width="9.109375" customWidth="1"/>
    <col min="4" max="11" width="9.6640625" customWidth="1"/>
    <col min="12" max="12" width="5.5546875" customWidth="1"/>
    <col min="13" max="13" width="7.109375" customWidth="1"/>
    <col min="14" max="15" width="5.6640625" customWidth="1"/>
    <col min="16" max="16" width="6.5546875" customWidth="1"/>
    <col min="17" max="17" width="5" customWidth="1"/>
    <col min="18" max="18" width="8.88671875" customWidth="1"/>
    <col min="19" max="19" width="11.5546875" customWidth="1"/>
    <col min="20" max="20" width="11.109375" customWidth="1"/>
    <col min="21" max="21" width="1.5546875" customWidth="1"/>
    <col min="24" max="24" width="7.109375" customWidth="1"/>
    <col min="25" max="25" width="4.33203125" customWidth="1"/>
    <col min="26" max="26" width="4.109375" customWidth="1"/>
    <col min="27" max="27" width="6.44140625" customWidth="1"/>
    <col min="31" max="31" width="7.109375" customWidth="1"/>
    <col min="32" max="32" width="6.5546875" customWidth="1"/>
    <col min="33" max="33" width="5.33203125" customWidth="1"/>
    <col min="34" max="34" width="3.88671875" customWidth="1"/>
    <col min="35" max="35" width="3.109375" customWidth="1"/>
  </cols>
  <sheetData>
    <row r="1" spans="1:36" x14ac:dyDescent="0.3">
      <c r="A1" s="76" t="s">
        <v>0</v>
      </c>
      <c r="B1" s="8" t="s">
        <v>1</v>
      </c>
      <c r="C1" s="8" t="s">
        <v>2</v>
      </c>
      <c r="D1" s="8" t="s">
        <v>62</v>
      </c>
      <c r="E1" s="8" t="s">
        <v>63</v>
      </c>
      <c r="F1" s="8" t="s">
        <v>5</v>
      </c>
      <c r="G1" s="8" t="s">
        <v>6</v>
      </c>
      <c r="H1" s="8" t="s">
        <v>7</v>
      </c>
      <c r="I1" s="103" t="s">
        <v>10</v>
      </c>
      <c r="J1" s="103" t="s">
        <v>11</v>
      </c>
      <c r="K1" s="103" t="s">
        <v>12</v>
      </c>
      <c r="L1" s="103" t="s">
        <v>14</v>
      </c>
      <c r="M1" s="103" t="s">
        <v>22</v>
      </c>
      <c r="N1" s="104" t="s">
        <v>10</v>
      </c>
      <c r="O1" s="104" t="s">
        <v>11</v>
      </c>
      <c r="P1" s="104" t="s">
        <v>12</v>
      </c>
      <c r="Q1" s="104" t="s">
        <v>14</v>
      </c>
      <c r="R1" s="104" t="s">
        <v>22</v>
      </c>
      <c r="S1" s="17" t="s">
        <v>92</v>
      </c>
      <c r="T1" s="17" t="s">
        <v>329</v>
      </c>
      <c r="U1" s="17" t="s">
        <v>97</v>
      </c>
      <c r="V1" s="7" t="s">
        <v>15</v>
      </c>
      <c r="W1" s="7" t="s">
        <v>16</v>
      </c>
      <c r="X1" s="7" t="s">
        <v>20</v>
      </c>
      <c r="Y1" s="7" t="s">
        <v>86</v>
      </c>
      <c r="Z1" s="7" t="s">
        <v>93</v>
      </c>
      <c r="AA1" s="7" t="s">
        <v>64</v>
      </c>
      <c r="AB1" s="7" t="s">
        <v>65</v>
      </c>
      <c r="AC1" s="7" t="s">
        <v>68</v>
      </c>
      <c r="AD1" s="7" t="s">
        <v>17</v>
      </c>
      <c r="AE1" s="7" t="s">
        <v>18</v>
      </c>
      <c r="AF1" s="52" t="s">
        <v>251</v>
      </c>
      <c r="AG1" s="52" t="s">
        <v>343</v>
      </c>
      <c r="AH1" t="s">
        <v>58</v>
      </c>
      <c r="AI1" s="84"/>
      <c r="AJ1" s="84"/>
    </row>
    <row r="2" spans="1:36" ht="15" x14ac:dyDescent="0.25">
      <c r="AA2" s="23"/>
    </row>
    <row r="3" spans="1:36" ht="15" x14ac:dyDescent="0.25">
      <c r="AA3" s="23"/>
    </row>
    <row r="4" spans="1:36" ht="15" x14ac:dyDescent="0.25">
      <c r="A4" t="s">
        <v>26</v>
      </c>
      <c r="B4" t="s">
        <v>708</v>
      </c>
      <c r="C4">
        <v>2020</v>
      </c>
      <c r="D4" s="98">
        <v>92000</v>
      </c>
      <c r="H4" t="s">
        <v>659</v>
      </c>
      <c r="I4">
        <v>800</v>
      </c>
      <c r="J4" s="9">
        <f>I4*0.004047</f>
        <v>3.2376</v>
      </c>
      <c r="K4" s="9">
        <f>I4*0.4047</f>
        <v>323.76</v>
      </c>
      <c r="L4" s="9">
        <f>K4/(D4/1000)</f>
        <v>3.5191304347826087</v>
      </c>
      <c r="M4" s="9">
        <f>D4/1000/J4</f>
        <v>28.416110699283418</v>
      </c>
      <c r="N4">
        <v>580</v>
      </c>
      <c r="O4" s="1">
        <f>N4*0.004047</f>
        <v>2.3472600000000003</v>
      </c>
      <c r="P4" s="1">
        <f>N4*0.4047</f>
        <v>234.726</v>
      </c>
      <c r="Q4" s="1">
        <f>P4/(D4/1000)</f>
        <v>2.5513695652173913</v>
      </c>
      <c r="R4" s="1">
        <f>D4/1000/O4</f>
        <v>39.194635447287467</v>
      </c>
      <c r="V4">
        <v>34.796900000000001</v>
      </c>
      <c r="W4">
        <v>-118.5017</v>
      </c>
      <c r="AA4" s="23"/>
      <c r="AD4" t="s">
        <v>24</v>
      </c>
      <c r="AE4" t="s">
        <v>647</v>
      </c>
      <c r="AF4" t="s">
        <v>709</v>
      </c>
      <c r="AH4">
        <v>1</v>
      </c>
    </row>
    <row r="5" spans="1:36" ht="15" x14ac:dyDescent="0.25">
      <c r="A5" t="s">
        <v>26</v>
      </c>
      <c r="B5" t="s">
        <v>722</v>
      </c>
      <c r="C5">
        <v>2016</v>
      </c>
      <c r="D5">
        <f>E5*0.84</f>
        <v>273000</v>
      </c>
      <c r="E5">
        <v>325000</v>
      </c>
      <c r="H5" t="s">
        <v>725</v>
      </c>
      <c r="AA5" s="23">
        <v>0.20100000000000001</v>
      </c>
      <c r="AB5" t="s">
        <v>391</v>
      </c>
      <c r="AC5" t="s">
        <v>726</v>
      </c>
      <c r="AD5" t="s">
        <v>24</v>
      </c>
    </row>
    <row r="6" spans="1:36" ht="15" x14ac:dyDescent="0.25">
      <c r="A6" t="s">
        <v>26</v>
      </c>
      <c r="B6" t="s">
        <v>723</v>
      </c>
      <c r="C6">
        <v>2016</v>
      </c>
      <c r="D6">
        <f>E6*0.84</f>
        <v>231840</v>
      </c>
      <c r="E6">
        <v>276000</v>
      </c>
      <c r="H6" t="s">
        <v>725</v>
      </c>
      <c r="AA6" s="23">
        <v>0.20100000000000001</v>
      </c>
      <c r="AB6" t="s">
        <v>391</v>
      </c>
      <c r="AC6" t="s">
        <v>726</v>
      </c>
      <c r="AD6" t="s">
        <v>24</v>
      </c>
    </row>
    <row r="7" spans="1:36" ht="15" x14ac:dyDescent="0.25">
      <c r="A7" s="73" t="s">
        <v>26</v>
      </c>
      <c r="B7" s="73" t="s">
        <v>582</v>
      </c>
      <c r="C7">
        <v>2012</v>
      </c>
      <c r="D7" s="75">
        <f>E7*Data!$F$289</f>
        <v>17028.154184097457</v>
      </c>
      <c r="E7" s="75">
        <v>20000</v>
      </c>
      <c r="I7" s="74"/>
      <c r="J7" s="9"/>
      <c r="K7" s="9"/>
      <c r="L7" s="1"/>
      <c r="M7" s="1"/>
      <c r="N7" s="11"/>
      <c r="O7" s="1"/>
      <c r="P7" s="1"/>
      <c r="Q7" s="1"/>
      <c r="R7" s="1"/>
      <c r="S7" s="11"/>
      <c r="T7" s="11"/>
      <c r="U7" s="11"/>
      <c r="V7" s="11"/>
      <c r="W7" s="11"/>
      <c r="X7" t="s">
        <v>203</v>
      </c>
      <c r="Z7" s="11"/>
      <c r="AA7" s="23"/>
      <c r="AB7" s="11"/>
      <c r="AD7" s="73" t="s">
        <v>587</v>
      </c>
      <c r="AF7" s="15"/>
      <c r="AH7">
        <v>1</v>
      </c>
    </row>
    <row r="8" spans="1:36" ht="15" x14ac:dyDescent="0.25">
      <c r="A8" s="73" t="s">
        <v>26</v>
      </c>
      <c r="B8" s="73" t="s">
        <v>580</v>
      </c>
      <c r="C8">
        <v>2012</v>
      </c>
      <c r="D8" s="75">
        <f>E8*Data!$F$289</f>
        <v>25542.231276146187</v>
      </c>
      <c r="E8" s="75">
        <v>30000</v>
      </c>
      <c r="H8" t="s">
        <v>581</v>
      </c>
      <c r="I8" s="74"/>
      <c r="J8" s="9"/>
      <c r="K8" s="9"/>
      <c r="L8" s="1"/>
      <c r="M8" s="1"/>
      <c r="N8" s="11"/>
      <c r="O8" s="1"/>
      <c r="P8" s="1"/>
      <c r="Q8" s="1"/>
      <c r="R8" s="1"/>
      <c r="S8" s="11"/>
      <c r="T8" s="11"/>
      <c r="U8" s="11"/>
      <c r="V8" s="11"/>
      <c r="W8" s="11"/>
      <c r="X8" t="s">
        <v>203</v>
      </c>
      <c r="Z8" s="11"/>
      <c r="AA8" s="23"/>
      <c r="AB8" s="11"/>
      <c r="AC8" t="s">
        <v>583</v>
      </c>
      <c r="AD8" s="73" t="s">
        <v>587</v>
      </c>
      <c r="AE8" s="11" t="s">
        <v>157</v>
      </c>
      <c r="AF8" s="15" t="s">
        <v>380</v>
      </c>
      <c r="AH8">
        <v>1</v>
      </c>
    </row>
    <row r="9" spans="1:36" ht="15" x14ac:dyDescent="0.25">
      <c r="A9" s="11" t="s">
        <v>26</v>
      </c>
      <c r="B9" s="11" t="s">
        <v>589</v>
      </c>
      <c r="C9">
        <v>2012</v>
      </c>
      <c r="D9" s="75">
        <f>E9*Data!$F$289</f>
        <v>2894.7862112965677</v>
      </c>
      <c r="E9" s="75">
        <v>3400</v>
      </c>
      <c r="G9">
        <v>12132</v>
      </c>
      <c r="H9" t="s">
        <v>590</v>
      </c>
      <c r="I9" s="85"/>
      <c r="J9" s="87"/>
      <c r="K9" s="87"/>
      <c r="L9" s="88"/>
      <c r="M9" s="88"/>
      <c r="N9" s="24" t="s">
        <v>599</v>
      </c>
      <c r="O9" s="88"/>
      <c r="P9" s="88"/>
      <c r="Q9" s="88"/>
      <c r="R9" s="88"/>
      <c r="S9" s="11"/>
      <c r="T9" s="11"/>
      <c r="U9" s="11"/>
      <c r="V9" s="11">
        <v>34.907739999999997</v>
      </c>
      <c r="W9" s="11">
        <v>-117.92057</v>
      </c>
      <c r="X9" t="s">
        <v>21</v>
      </c>
      <c r="Z9" s="11" t="s">
        <v>96</v>
      </c>
      <c r="AA9" s="23">
        <v>0.14399999999999999</v>
      </c>
      <c r="AB9" s="11" t="s">
        <v>399</v>
      </c>
      <c r="AC9" s="11" t="s">
        <v>591</v>
      </c>
      <c r="AD9" s="11" t="s">
        <v>29</v>
      </c>
      <c r="AE9" t="s">
        <v>475</v>
      </c>
      <c r="AF9" s="15" t="s">
        <v>385</v>
      </c>
      <c r="AH9">
        <v>1</v>
      </c>
    </row>
    <row r="10" spans="1:36" ht="15" x14ac:dyDescent="0.25">
      <c r="A10" s="11" t="s">
        <v>26</v>
      </c>
      <c r="B10" s="11" t="s">
        <v>507</v>
      </c>
      <c r="C10">
        <v>2011</v>
      </c>
      <c r="D10" s="18">
        <f>E10*Data!$F$289</f>
        <v>962.09071140150627</v>
      </c>
      <c r="E10" s="94">
        <v>1130</v>
      </c>
      <c r="G10">
        <v>3553</v>
      </c>
      <c r="H10" t="s">
        <v>389</v>
      </c>
      <c r="I10" s="85"/>
      <c r="J10" s="87"/>
      <c r="K10" s="87"/>
      <c r="L10" s="88"/>
      <c r="M10" s="88"/>
      <c r="N10" s="24"/>
      <c r="O10" s="88"/>
      <c r="P10" s="88"/>
      <c r="Q10" s="88"/>
      <c r="R10" s="88"/>
      <c r="S10" s="11"/>
      <c r="T10" s="11"/>
      <c r="U10" s="11"/>
      <c r="V10" s="24" t="s">
        <v>509</v>
      </c>
      <c r="W10" s="24"/>
      <c r="X10" t="s">
        <v>21</v>
      </c>
      <c r="Y10" t="s">
        <v>486</v>
      </c>
      <c r="Z10" s="11"/>
      <c r="AA10" s="23">
        <v>0.19500000000000001</v>
      </c>
      <c r="AB10" s="11" t="s">
        <v>391</v>
      </c>
      <c r="AC10" t="s">
        <v>508</v>
      </c>
      <c r="AD10" t="s">
        <v>29</v>
      </c>
      <c r="AE10" t="s">
        <v>510</v>
      </c>
      <c r="AF10" s="15" t="s">
        <v>385</v>
      </c>
      <c r="AH10">
        <v>1</v>
      </c>
    </row>
    <row r="11" spans="1:36" ht="15.75" x14ac:dyDescent="0.25">
      <c r="A11" s="11" t="s">
        <v>160</v>
      </c>
      <c r="B11" s="11" t="s">
        <v>460</v>
      </c>
      <c r="C11">
        <v>2012</v>
      </c>
      <c r="D11" s="18">
        <f>E11*0.90909</f>
        <v>9659.9903400000003</v>
      </c>
      <c r="E11" s="18">
        <v>10626</v>
      </c>
      <c r="G11">
        <f>192640*E11/53500</f>
        <v>38261.544672897195</v>
      </c>
      <c r="H11" t="s">
        <v>8</v>
      </c>
      <c r="I11" s="85"/>
      <c r="J11" s="87"/>
      <c r="K11" s="87"/>
      <c r="L11" s="88"/>
      <c r="M11" s="88"/>
      <c r="N11" s="24"/>
      <c r="O11" s="24"/>
      <c r="P11" s="24"/>
      <c r="Q11" s="24"/>
      <c r="R11" s="24"/>
      <c r="V11" s="81" t="s">
        <v>466</v>
      </c>
      <c r="W11" s="24"/>
      <c r="X11" t="s">
        <v>21</v>
      </c>
      <c r="Z11" s="11"/>
      <c r="AC11" s="80" t="s">
        <v>464</v>
      </c>
      <c r="AD11" t="s">
        <v>29</v>
      </c>
      <c r="AE11" t="s">
        <v>157</v>
      </c>
      <c r="AF11" s="15" t="s">
        <v>444</v>
      </c>
      <c r="AH11">
        <v>1</v>
      </c>
    </row>
    <row r="12" spans="1:36" ht="15.75" x14ac:dyDescent="0.25">
      <c r="A12" s="11" t="s">
        <v>160</v>
      </c>
      <c r="B12" s="11" t="s">
        <v>459</v>
      </c>
      <c r="C12">
        <v>2012</v>
      </c>
      <c r="D12" s="18">
        <f>E12*0.90909</f>
        <v>9668.1721500000003</v>
      </c>
      <c r="E12" s="18">
        <v>10635</v>
      </c>
      <c r="G12">
        <f>192640*E12/53500</f>
        <v>38293.951401869163</v>
      </c>
      <c r="H12" t="s">
        <v>8</v>
      </c>
      <c r="I12" s="85"/>
      <c r="J12" s="87"/>
      <c r="K12" s="87"/>
      <c r="L12" s="88"/>
      <c r="M12" s="88"/>
      <c r="N12" s="24"/>
      <c r="O12" s="24"/>
      <c r="P12" s="24"/>
      <c r="Q12" s="24"/>
      <c r="R12" s="24"/>
      <c r="V12" s="81" t="s">
        <v>465</v>
      </c>
      <c r="W12" s="24"/>
      <c r="X12" t="s">
        <v>21</v>
      </c>
      <c r="Z12" s="11"/>
      <c r="AC12" s="80" t="s">
        <v>464</v>
      </c>
      <c r="AD12" t="s">
        <v>29</v>
      </c>
      <c r="AE12" t="s">
        <v>157</v>
      </c>
      <c r="AF12" s="15" t="s">
        <v>444</v>
      </c>
      <c r="AH12">
        <v>1</v>
      </c>
    </row>
    <row r="13" spans="1:36" ht="15.75" x14ac:dyDescent="0.25">
      <c r="A13" s="11" t="s">
        <v>160</v>
      </c>
      <c r="B13" s="11" t="s">
        <v>457</v>
      </c>
      <c r="C13">
        <v>2011</v>
      </c>
      <c r="D13" s="18">
        <f>E13*0.90909</f>
        <v>9727.262999999999</v>
      </c>
      <c r="E13" s="18">
        <v>10700</v>
      </c>
      <c r="G13">
        <f>192640*E13/53500</f>
        <v>38528</v>
      </c>
      <c r="H13" t="s">
        <v>8</v>
      </c>
      <c r="I13" s="85"/>
      <c r="J13" s="87"/>
      <c r="K13" s="87"/>
      <c r="L13" s="88"/>
      <c r="M13" s="88"/>
      <c r="N13" s="24"/>
      <c r="O13" s="24"/>
      <c r="P13" s="24"/>
      <c r="Q13" s="24"/>
      <c r="R13" s="24"/>
      <c r="V13">
        <v>32.130122999999998</v>
      </c>
      <c r="W13">
        <v>-103.138018</v>
      </c>
      <c r="X13" t="s">
        <v>21</v>
      </c>
      <c r="Z13" s="11"/>
      <c r="AC13" s="80" t="s">
        <v>464</v>
      </c>
      <c r="AD13" t="s">
        <v>29</v>
      </c>
      <c r="AE13" t="s">
        <v>157</v>
      </c>
      <c r="AF13" s="15" t="s">
        <v>444</v>
      </c>
      <c r="AH13">
        <v>1</v>
      </c>
    </row>
    <row r="14" spans="1:36" ht="15" x14ac:dyDescent="0.25">
      <c r="B14" s="11" t="s">
        <v>812</v>
      </c>
      <c r="C14" t="s">
        <v>813</v>
      </c>
      <c r="E14" s="18">
        <v>450000</v>
      </c>
      <c r="X14" t="s">
        <v>139</v>
      </c>
    </row>
    <row r="17" spans="2:36" ht="15" x14ac:dyDescent="0.25">
      <c r="AJ17" s="22"/>
    </row>
    <row r="19" spans="2:36" x14ac:dyDescent="0.3">
      <c r="B19" t="s">
        <v>900</v>
      </c>
    </row>
    <row r="20" spans="2:36" x14ac:dyDescent="0.3">
      <c r="C20" t="s">
        <v>901</v>
      </c>
      <c r="E20" t="s">
        <v>907</v>
      </c>
    </row>
    <row r="21" spans="2:36" x14ac:dyDescent="0.3">
      <c r="C21" t="s">
        <v>902</v>
      </c>
    </row>
    <row r="22" spans="2:36" x14ac:dyDescent="0.3">
      <c r="C22" t="s">
        <v>903</v>
      </c>
    </row>
    <row r="23" spans="2:36" x14ac:dyDescent="0.3">
      <c r="D23" t="s">
        <v>904</v>
      </c>
    </row>
    <row r="24" spans="2:36" x14ac:dyDescent="0.3">
      <c r="C24" t="s">
        <v>905</v>
      </c>
    </row>
    <row r="25" spans="2:36" x14ac:dyDescent="0.3">
      <c r="C25" t="s">
        <v>906</v>
      </c>
    </row>
    <row r="28" spans="2:36" ht="15" thickBot="1" x14ac:dyDescent="0.35"/>
    <row r="29" spans="2:36" ht="15" thickBot="1" x14ac:dyDescent="0.35">
      <c r="C29" s="252"/>
      <c r="D29" s="444" t="s">
        <v>13</v>
      </c>
      <c r="E29" s="445"/>
      <c r="F29" s="445"/>
      <c r="G29" s="446"/>
      <c r="H29" s="444" t="s">
        <v>249</v>
      </c>
      <c r="I29" s="445"/>
      <c r="J29" s="445"/>
      <c r="K29" s="446"/>
    </row>
    <row r="30" spans="2:36" ht="29.4" thickBot="1" x14ac:dyDescent="0.35">
      <c r="C30" s="253" t="s">
        <v>921</v>
      </c>
      <c r="D30" s="254" t="s">
        <v>922</v>
      </c>
      <c r="E30" s="254" t="s">
        <v>923</v>
      </c>
      <c r="F30" s="254" t="s">
        <v>240</v>
      </c>
      <c r="G30" s="255" t="s">
        <v>323</v>
      </c>
      <c r="H30" s="254" t="s">
        <v>922</v>
      </c>
      <c r="I30" s="254" t="s">
        <v>923</v>
      </c>
      <c r="J30" s="254" t="s">
        <v>240</v>
      </c>
      <c r="K30" s="255" t="s">
        <v>323</v>
      </c>
    </row>
    <row r="31" spans="2:36" ht="15" thickBot="1" x14ac:dyDescent="0.35">
      <c r="C31" s="253" t="s">
        <v>241</v>
      </c>
      <c r="D31" s="254"/>
      <c r="E31" s="254"/>
      <c r="F31" s="254"/>
      <c r="G31" s="255"/>
      <c r="H31" s="254"/>
      <c r="I31" s="254"/>
      <c r="J31" s="254"/>
      <c r="K31" s="255"/>
    </row>
    <row r="32" spans="2:36" ht="15" thickBot="1" x14ac:dyDescent="0.35">
      <c r="C32" s="256" t="s">
        <v>138</v>
      </c>
      <c r="D32" s="257">
        <v>51</v>
      </c>
      <c r="E32" s="257">
        <v>248.7</v>
      </c>
      <c r="F32" s="257">
        <v>3.1</v>
      </c>
      <c r="G32" s="258">
        <v>1.71</v>
      </c>
      <c r="H32" s="257">
        <v>42</v>
      </c>
      <c r="I32" s="257">
        <v>226</v>
      </c>
      <c r="J32" s="257">
        <v>2.2999999999999998</v>
      </c>
      <c r="K32" s="258">
        <v>1.31</v>
      </c>
      <c r="O32" s="1"/>
      <c r="P32" s="1"/>
      <c r="Q32" s="1"/>
      <c r="R32" s="1"/>
      <c r="S32" s="1"/>
      <c r="T32" s="1"/>
    </row>
    <row r="33" spans="2:20" ht="15" thickBot="1" x14ac:dyDescent="0.35">
      <c r="C33" s="256" t="s">
        <v>242</v>
      </c>
      <c r="D33" s="257">
        <v>55</v>
      </c>
      <c r="E33" s="257">
        <v>358</v>
      </c>
      <c r="F33" s="257">
        <v>3.5</v>
      </c>
      <c r="G33" s="258">
        <v>1.53</v>
      </c>
      <c r="H33" s="257">
        <v>41</v>
      </c>
      <c r="I33" s="257">
        <v>198</v>
      </c>
      <c r="J33" s="257">
        <v>2.6</v>
      </c>
      <c r="K33" s="258">
        <v>1.1599999999999999</v>
      </c>
      <c r="O33" s="1"/>
      <c r="P33" s="1"/>
      <c r="Q33" s="1"/>
      <c r="R33" s="1"/>
      <c r="S33" s="1"/>
      <c r="T33" s="1"/>
    </row>
    <row r="34" spans="2:20" ht="15" thickBot="1" x14ac:dyDescent="0.35">
      <c r="C34" s="256" t="s">
        <v>243</v>
      </c>
      <c r="D34" s="257">
        <v>8</v>
      </c>
      <c r="E34" s="257">
        <v>14</v>
      </c>
      <c r="F34" s="257">
        <v>4.3</v>
      </c>
      <c r="G34" s="258">
        <v>1.63</v>
      </c>
      <c r="H34" s="257">
        <v>8</v>
      </c>
      <c r="I34" s="257">
        <v>14</v>
      </c>
      <c r="J34" s="257">
        <v>3.2</v>
      </c>
      <c r="K34" s="258">
        <v>1.23</v>
      </c>
      <c r="O34" s="1"/>
      <c r="P34" s="1"/>
      <c r="Q34" s="1"/>
      <c r="R34" s="1"/>
      <c r="S34" s="1"/>
      <c r="T34" s="1"/>
    </row>
    <row r="35" spans="2:20" ht="15" thickBot="1" x14ac:dyDescent="0.35">
      <c r="C35" s="253" t="s">
        <v>925</v>
      </c>
      <c r="D35" s="257"/>
      <c r="E35" s="257"/>
      <c r="F35" s="257"/>
      <c r="G35" s="258"/>
      <c r="H35" s="257"/>
      <c r="I35" s="257"/>
      <c r="J35" s="257"/>
      <c r="K35" s="258"/>
      <c r="O35" s="1"/>
      <c r="P35" s="1"/>
      <c r="Q35" s="1"/>
      <c r="R35" s="1"/>
      <c r="S35" s="1"/>
      <c r="T35" s="1"/>
    </row>
    <row r="36" spans="2:20" ht="15" thickBot="1" x14ac:dyDescent="0.35">
      <c r="C36" s="256" t="s">
        <v>138</v>
      </c>
      <c r="D36" s="257">
        <v>15</v>
      </c>
      <c r="E36" s="257">
        <v>2114</v>
      </c>
      <c r="F36" s="257">
        <v>3.1</v>
      </c>
      <c r="G36" s="258">
        <v>1.5</v>
      </c>
      <c r="H36" s="257">
        <v>8</v>
      </c>
      <c r="I36" s="257">
        <v>920</v>
      </c>
      <c r="J36" s="257">
        <v>2.5</v>
      </c>
      <c r="K36" s="258">
        <v>1.18</v>
      </c>
      <c r="O36" s="1"/>
      <c r="P36" s="1"/>
      <c r="Q36" s="1"/>
      <c r="R36" s="1"/>
      <c r="S36" s="1"/>
      <c r="T36" s="1"/>
    </row>
    <row r="37" spans="2:20" ht="15" thickBot="1" x14ac:dyDescent="0.35">
      <c r="C37" s="256" t="s">
        <v>242</v>
      </c>
      <c r="D37" s="257">
        <v>16</v>
      </c>
      <c r="E37" s="257">
        <v>1935</v>
      </c>
      <c r="F37" s="257">
        <v>3.8</v>
      </c>
      <c r="G37" s="258">
        <v>1.32</v>
      </c>
      <c r="H37" s="257" t="s">
        <v>926</v>
      </c>
      <c r="I37" s="257">
        <v>732</v>
      </c>
      <c r="J37" s="257">
        <v>3.6</v>
      </c>
      <c r="K37" s="258">
        <v>1.25</v>
      </c>
      <c r="O37" s="1"/>
      <c r="P37" s="1"/>
      <c r="Q37" s="1"/>
      <c r="R37" s="1"/>
      <c r="S37" s="1"/>
      <c r="T37" s="1"/>
    </row>
    <row r="38" spans="2:20" ht="15" thickBot="1" x14ac:dyDescent="0.35">
      <c r="C38" s="256" t="s">
        <v>243</v>
      </c>
      <c r="D38" s="257">
        <v>2</v>
      </c>
      <c r="E38" s="257">
        <v>186</v>
      </c>
      <c r="F38" s="257">
        <v>3.3</v>
      </c>
      <c r="G38" s="258">
        <v>1.27</v>
      </c>
      <c r="H38" s="257">
        <v>1</v>
      </c>
      <c r="I38" s="257">
        <v>36</v>
      </c>
      <c r="J38" s="257">
        <v>2.4</v>
      </c>
      <c r="K38" s="258">
        <v>1.04</v>
      </c>
      <c r="O38" s="1"/>
      <c r="P38" s="1"/>
      <c r="Q38" s="1"/>
      <c r="R38" s="1"/>
      <c r="S38" s="1"/>
      <c r="T38" s="1"/>
    </row>
    <row r="39" spans="2:20" x14ac:dyDescent="0.3">
      <c r="F39" s="1"/>
      <c r="G39" s="1"/>
      <c r="H39" s="1"/>
      <c r="I39" s="1"/>
      <c r="J39" s="1"/>
      <c r="K39" s="1"/>
    </row>
    <row r="40" spans="2:20" x14ac:dyDescent="0.3">
      <c r="O40" s="1"/>
      <c r="P40" s="1"/>
      <c r="Q40" s="1"/>
      <c r="R40" s="1"/>
      <c r="S40" s="1"/>
      <c r="T40" s="1"/>
    </row>
    <row r="41" spans="2:20" ht="15" thickBot="1" x14ac:dyDescent="0.35"/>
    <row r="42" spans="2:20" ht="15" thickBot="1" x14ac:dyDescent="0.35">
      <c r="B42" s="250"/>
      <c r="C42" s="442" t="s">
        <v>921</v>
      </c>
      <c r="D42" s="444" t="s">
        <v>13</v>
      </c>
      <c r="E42" s="445"/>
      <c r="F42" s="445"/>
      <c r="G42" s="446"/>
      <c r="H42" s="444" t="s">
        <v>249</v>
      </c>
      <c r="I42" s="445"/>
      <c r="J42" s="445"/>
      <c r="K42" s="446"/>
      <c r="N42" s="1"/>
      <c r="O42" s="1"/>
      <c r="P42" s="1"/>
      <c r="Q42" s="1"/>
      <c r="R42" s="1"/>
      <c r="S42" s="1"/>
    </row>
    <row r="43" spans="2:20" ht="29.4" thickBot="1" x14ac:dyDescent="0.35">
      <c r="B43" s="250"/>
      <c r="C43" s="443"/>
      <c r="D43" s="248" t="s">
        <v>922</v>
      </c>
      <c r="E43" s="248" t="s">
        <v>923</v>
      </c>
      <c r="F43" s="248" t="s">
        <v>924</v>
      </c>
      <c r="G43" s="249" t="s">
        <v>323</v>
      </c>
      <c r="H43" s="248" t="s">
        <v>922</v>
      </c>
      <c r="I43" s="248" t="s">
        <v>923</v>
      </c>
      <c r="J43" s="248" t="s">
        <v>924</v>
      </c>
      <c r="K43" s="249" t="s">
        <v>323</v>
      </c>
    </row>
    <row r="44" spans="2:20" ht="15" thickBot="1" x14ac:dyDescent="0.35">
      <c r="B44" s="250"/>
      <c r="C44" s="251" t="s">
        <v>927</v>
      </c>
      <c r="D44" s="257">
        <v>25</v>
      </c>
      <c r="E44" s="257">
        <v>3748</v>
      </c>
      <c r="F44" s="257">
        <v>3.92</v>
      </c>
      <c r="G44" s="258">
        <v>2.5</v>
      </c>
      <c r="H44" s="257">
        <v>18</v>
      </c>
      <c r="I44" s="257">
        <v>2218</v>
      </c>
      <c r="J44" s="257">
        <v>3.15</v>
      </c>
      <c r="K44" s="258">
        <v>2.4</v>
      </c>
    </row>
    <row r="45" spans="2:20" ht="15" thickBot="1" x14ac:dyDescent="0.35">
      <c r="B45" s="250"/>
      <c r="C45" s="251" t="s">
        <v>294</v>
      </c>
      <c r="D45" s="257">
        <v>9</v>
      </c>
      <c r="E45" s="257">
        <v>1381</v>
      </c>
      <c r="F45" s="257">
        <v>3.5</v>
      </c>
      <c r="G45" s="258">
        <v>1.32</v>
      </c>
      <c r="H45" s="257">
        <v>7</v>
      </c>
      <c r="I45" s="257">
        <v>851</v>
      </c>
      <c r="J45" s="257">
        <v>2.4</v>
      </c>
      <c r="K45" s="258">
        <v>0.95</v>
      </c>
    </row>
    <row r="46" spans="2:20" ht="15" thickBot="1" x14ac:dyDescent="0.35">
      <c r="B46" s="250"/>
      <c r="C46" s="251" t="s">
        <v>99</v>
      </c>
      <c r="D46" s="257">
        <v>14</v>
      </c>
      <c r="E46" s="257">
        <v>2358</v>
      </c>
      <c r="F46" s="257">
        <v>4.17</v>
      </c>
      <c r="G46" s="258">
        <v>3.19</v>
      </c>
      <c r="H46" s="257">
        <v>9</v>
      </c>
      <c r="I46" s="257">
        <v>1358</v>
      </c>
      <c r="J46" s="257">
        <v>3.64</v>
      </c>
      <c r="K46" s="258">
        <v>3.33</v>
      </c>
    </row>
    <row r="47" spans="2:20" ht="15" thickBot="1" x14ac:dyDescent="0.35">
      <c r="C47" s="251" t="s">
        <v>355</v>
      </c>
      <c r="D47" s="257">
        <v>1</v>
      </c>
      <c r="E47" s="257">
        <v>7.5</v>
      </c>
      <c r="F47" s="257">
        <v>1.89</v>
      </c>
      <c r="G47" s="258">
        <v>1.1100000000000001</v>
      </c>
      <c r="H47" s="257">
        <v>1</v>
      </c>
      <c r="I47" s="257">
        <v>7.5</v>
      </c>
      <c r="J47" s="257">
        <v>0.8</v>
      </c>
      <c r="K47" s="258">
        <v>0.47</v>
      </c>
    </row>
    <row r="48" spans="2:20" ht="15" thickBot="1" x14ac:dyDescent="0.35">
      <c r="C48" s="251" t="s">
        <v>928</v>
      </c>
      <c r="D48" s="257">
        <v>1</v>
      </c>
      <c r="E48" s="257">
        <v>1.5</v>
      </c>
      <c r="F48" s="257">
        <v>4.05</v>
      </c>
      <c r="G48" s="258">
        <v>1.93</v>
      </c>
      <c r="H48" s="257">
        <v>1</v>
      </c>
      <c r="I48" s="257">
        <v>1.5</v>
      </c>
      <c r="J48" s="257">
        <v>1.1399999999999999</v>
      </c>
      <c r="K48" s="258">
        <v>0.54</v>
      </c>
    </row>
    <row r="52" spans="3:10" x14ac:dyDescent="0.3">
      <c r="C52" t="s">
        <v>933</v>
      </c>
    </row>
    <row r="53" spans="3:10" x14ac:dyDescent="0.3">
      <c r="C53">
        <v>132707446</v>
      </c>
    </row>
    <row r="54" spans="3:10" s="260" customFormat="1" x14ac:dyDescent="0.3">
      <c r="D54" s="260">
        <v>129521000</v>
      </c>
      <c r="E54" s="260">
        <v>135530000</v>
      </c>
      <c r="G54" s="260">
        <f>(D54-$C$53)/$C$53</f>
        <v>-2.4011056621495074E-2</v>
      </c>
      <c r="H54" s="260">
        <f>(E54-$C$53)/$C$53</f>
        <v>2.1268994959031916E-2</v>
      </c>
      <c r="J54" s="260" t="s">
        <v>932</v>
      </c>
    </row>
    <row r="55" spans="3:10" s="260" customFormat="1" x14ac:dyDescent="0.3">
      <c r="D55" s="260">
        <v>125988000</v>
      </c>
      <c r="E55" s="260">
        <v>139328000</v>
      </c>
      <c r="G55" s="260">
        <f>(D55-$C$53)/$C$53</f>
        <v>-5.063352662216105E-2</v>
      </c>
      <c r="H55" s="260">
        <f>(E55-$C$53)/$C$53</f>
        <v>4.9888338594052964E-2</v>
      </c>
      <c r="J55" s="260" t="s">
        <v>931</v>
      </c>
    </row>
  </sheetData>
  <sortState ref="A2:AK61">
    <sortCondition ref="O2:O61"/>
  </sortState>
  <customSheetViews>
    <customSheetView guid="{A817C2B6-B412-4BD4-89EB-C78C16183A0C}" showPageBreaks="1" printArea="1" topLeftCell="A16">
      <selection activeCell="C42" sqref="C42:K48"/>
      <pageMargins left="0.7" right="0.7" top="0.75" bottom="0.75" header="0.3" footer="0.3"/>
      <pageSetup scale="32" orientation="portrait" r:id="rId1"/>
    </customSheetView>
  </customSheetViews>
  <mergeCells count="5">
    <mergeCell ref="C42:C43"/>
    <mergeCell ref="D42:G42"/>
    <mergeCell ref="H42:K42"/>
    <mergeCell ref="D29:G29"/>
    <mergeCell ref="H29:K29"/>
  </mergeCells>
  <conditionalFormatting sqref="F36:F38">
    <cfRule type="colorScale" priority="11">
      <colorScale>
        <cfvo type="min"/>
        <cfvo type="percentile" val="50"/>
        <cfvo type="max"/>
        <color rgb="FF63BE7B"/>
        <color rgb="FFFFEB84"/>
        <color rgb="FFF8696B"/>
      </colorScale>
    </cfRule>
  </conditionalFormatting>
  <conditionalFormatting sqref="G36:G38">
    <cfRule type="colorScale" priority="10">
      <colorScale>
        <cfvo type="min"/>
        <cfvo type="percentile" val="50"/>
        <cfvo type="max"/>
        <color rgb="FF63BE7B"/>
        <color rgb="FFFFEB84"/>
        <color rgb="FFF8696B"/>
      </colorScale>
    </cfRule>
  </conditionalFormatting>
  <conditionalFormatting sqref="J32:J34">
    <cfRule type="colorScale" priority="9">
      <colorScale>
        <cfvo type="min"/>
        <cfvo type="percentile" val="50"/>
        <cfvo type="max"/>
        <color rgb="FF63BE7B"/>
        <color rgb="FFFFEB84"/>
        <color rgb="FFF8696B"/>
      </colorScale>
    </cfRule>
  </conditionalFormatting>
  <conditionalFormatting sqref="K32:K34">
    <cfRule type="colorScale" priority="8">
      <colorScale>
        <cfvo type="min"/>
        <cfvo type="percentile" val="50"/>
        <cfvo type="max"/>
        <color rgb="FF63BE7B"/>
        <color rgb="FFFFEB84"/>
        <color rgb="FFF8696B"/>
      </colorScale>
    </cfRule>
  </conditionalFormatting>
  <conditionalFormatting sqref="J36:J38">
    <cfRule type="colorScale" priority="7">
      <colorScale>
        <cfvo type="min"/>
        <cfvo type="percentile" val="50"/>
        <cfvo type="max"/>
        <color rgb="FF63BE7B"/>
        <color rgb="FFFFEB84"/>
        <color rgb="FFF8696B"/>
      </colorScale>
    </cfRule>
  </conditionalFormatting>
  <conditionalFormatting sqref="K36:K38">
    <cfRule type="colorScale" priority="6">
      <colorScale>
        <cfvo type="min"/>
        <cfvo type="percentile" val="50"/>
        <cfvo type="max"/>
        <color rgb="FF63BE7B"/>
        <color rgb="FFFFEB84"/>
        <color rgb="FFF8696B"/>
      </colorScale>
    </cfRule>
  </conditionalFormatting>
  <conditionalFormatting sqref="F32:F34">
    <cfRule type="colorScale" priority="14">
      <colorScale>
        <cfvo type="min"/>
        <cfvo type="percentile" val="50"/>
        <cfvo type="max"/>
        <color rgb="FF63BE7B"/>
        <color rgb="FFFFEB84"/>
        <color rgb="FFF8696B"/>
      </colorScale>
    </cfRule>
  </conditionalFormatting>
  <conditionalFormatting sqref="G32:G34">
    <cfRule type="colorScale" priority="15">
      <colorScale>
        <cfvo type="min"/>
        <cfvo type="percentile" val="50"/>
        <cfvo type="max"/>
        <color rgb="FF63BE7B"/>
        <color rgb="FFFFEB84"/>
        <color rgb="FFF8696B"/>
      </colorScale>
    </cfRule>
  </conditionalFormatting>
  <conditionalFormatting sqref="F45:F48">
    <cfRule type="colorScale" priority="4">
      <colorScale>
        <cfvo type="min"/>
        <cfvo type="percentile" val="50"/>
        <cfvo type="max"/>
        <color rgb="FF63BE7B"/>
        <color rgb="FFFFEB84"/>
        <color rgb="FFF8696B"/>
      </colorScale>
    </cfRule>
  </conditionalFormatting>
  <conditionalFormatting sqref="G45:G48">
    <cfRule type="colorScale" priority="3">
      <colorScale>
        <cfvo type="min"/>
        <cfvo type="percentile" val="50"/>
        <cfvo type="max"/>
        <color rgb="FF63BE7B"/>
        <color rgb="FFFFEB84"/>
        <color rgb="FFF8696B"/>
      </colorScale>
    </cfRule>
  </conditionalFormatting>
  <conditionalFormatting sqref="J45:J48">
    <cfRule type="colorScale" priority="2">
      <colorScale>
        <cfvo type="min"/>
        <cfvo type="percentile" val="50"/>
        <cfvo type="max"/>
        <color rgb="FF63BE7B"/>
        <color rgb="FFFFEB84"/>
        <color rgb="FFF8696B"/>
      </colorScale>
    </cfRule>
  </conditionalFormatting>
  <conditionalFormatting sqref="K45:K48">
    <cfRule type="colorScale" priority="1">
      <colorScale>
        <cfvo type="min"/>
        <cfvo type="percentile" val="50"/>
        <cfvo type="max"/>
        <color rgb="FF63BE7B"/>
        <color rgb="FFFFEB84"/>
        <color rgb="FFF8696B"/>
      </colorScale>
    </cfRule>
  </conditionalFormatting>
  <pageMargins left="0.7" right="0.7" top="0.75" bottom="0.75" header="0.3" footer="0.3"/>
  <pageSetup scale="32"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H9"/>
  <sheetViews>
    <sheetView zoomScale="85" zoomScaleNormal="85" workbookViewId="0">
      <selection activeCell="Q25" sqref="Q25"/>
    </sheetView>
  </sheetViews>
  <sheetFormatPr defaultRowHeight="14.4" x14ac:dyDescent="0.3"/>
  <sheetData>
    <row r="3" spans="1:8" x14ac:dyDescent="0.3">
      <c r="C3" t="s">
        <v>842</v>
      </c>
      <c r="E3" s="260" t="s">
        <v>843</v>
      </c>
      <c r="F3" s="1"/>
      <c r="G3" t="s">
        <v>122</v>
      </c>
    </row>
    <row r="4" spans="1:8" x14ac:dyDescent="0.3">
      <c r="C4" t="s">
        <v>942</v>
      </c>
      <c r="D4" t="s">
        <v>345</v>
      </c>
      <c r="E4" s="260" t="s">
        <v>13</v>
      </c>
      <c r="F4" s="1" t="s">
        <v>345</v>
      </c>
      <c r="G4" t="s">
        <v>942</v>
      </c>
      <c r="H4" t="s">
        <v>345</v>
      </c>
    </row>
    <row r="5" spans="1:8" x14ac:dyDescent="0.3">
      <c r="B5" t="s">
        <v>134</v>
      </c>
      <c r="C5" s="59">
        <v>2.9382509819455405</v>
      </c>
      <c r="D5" s="59">
        <v>1.9029434265227616</v>
      </c>
      <c r="E5" s="1">
        <v>1.0143735995203262</v>
      </c>
      <c r="F5" s="1">
        <v>1.7693544315835465</v>
      </c>
      <c r="G5">
        <v>4.5628085454545451</v>
      </c>
      <c r="H5">
        <v>1.8632855343980346</v>
      </c>
    </row>
    <row r="6" spans="1:8" x14ac:dyDescent="0.3">
      <c r="B6" t="s">
        <v>938</v>
      </c>
      <c r="C6" s="59">
        <v>0.59750109477167301</v>
      </c>
      <c r="D6" s="59">
        <v>0.44747037576478599</v>
      </c>
      <c r="E6" s="1">
        <v>0.71530409678160645</v>
      </c>
      <c r="F6" s="1">
        <v>0.2155292411099019</v>
      </c>
      <c r="G6">
        <v>1.9696778841078881</v>
      </c>
      <c r="H6">
        <v>0.60418254077206157</v>
      </c>
    </row>
    <row r="7" spans="1:8" x14ac:dyDescent="0.3">
      <c r="B7" t="s">
        <v>939</v>
      </c>
      <c r="C7" s="59">
        <v>0.74303945374759017</v>
      </c>
      <c r="D7" s="59">
        <v>0.47676212019388031</v>
      </c>
      <c r="E7" s="1">
        <v>0.2590367821566133</v>
      </c>
      <c r="F7" s="1">
        <v>0.50575365732759803</v>
      </c>
      <c r="G7">
        <v>1.2401675704375665</v>
      </c>
      <c r="H7">
        <v>1.3608045242617219</v>
      </c>
    </row>
    <row r="8" spans="1:8" x14ac:dyDescent="0.3">
      <c r="A8" s="275" t="s">
        <v>941</v>
      </c>
      <c r="B8" t="s">
        <v>940</v>
      </c>
      <c r="C8" s="59">
        <v>2.600864383535197</v>
      </c>
      <c r="D8" s="59">
        <v>1.9261284653534918</v>
      </c>
      <c r="E8" s="1">
        <v>2.9641113281250004</v>
      </c>
      <c r="F8" s="1">
        <v>2.4621884765625</v>
      </c>
      <c r="G8">
        <v>2.6766999999999999</v>
      </c>
      <c r="H8">
        <v>1.78969921875</v>
      </c>
    </row>
    <row r="9" spans="1:8" x14ac:dyDescent="0.3">
      <c r="B9" t="s">
        <v>747</v>
      </c>
      <c r="C9" s="59">
        <v>1.386807457535197</v>
      </c>
      <c r="D9" s="59">
        <v>1.0228380653534916</v>
      </c>
      <c r="E9" s="1">
        <v>1.3004547923827783</v>
      </c>
      <c r="F9" s="1">
        <v>0.73546847656250014</v>
      </c>
      <c r="G9">
        <v>0.7880999999999998</v>
      </c>
      <c r="H9">
        <v>0.98569521874999999</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34"/>
  <sheetViews>
    <sheetView zoomScale="70" zoomScaleNormal="70" workbookViewId="0">
      <selection activeCell="R42" sqref="R42"/>
    </sheetView>
  </sheetViews>
  <sheetFormatPr defaultColWidth="9.109375" defaultRowHeight="14.4" x14ac:dyDescent="0.3"/>
  <cols>
    <col min="1" max="16384" width="9.109375" style="260"/>
  </cols>
  <sheetData>
    <row r="1" spans="1:13" ht="15" x14ac:dyDescent="0.25">
      <c r="A1" s="260" t="s">
        <v>943</v>
      </c>
      <c r="C1" s="447" t="s">
        <v>951</v>
      </c>
      <c r="D1" s="447"/>
      <c r="E1" s="447" t="s">
        <v>952</v>
      </c>
      <c r="F1" s="447"/>
      <c r="H1" s="260" t="s">
        <v>944</v>
      </c>
    </row>
    <row r="2" spans="1:13" ht="15" x14ac:dyDescent="0.25">
      <c r="A2" s="260" t="s">
        <v>295</v>
      </c>
      <c r="C2" s="260" t="s">
        <v>246</v>
      </c>
      <c r="D2" s="260" t="s">
        <v>345</v>
      </c>
      <c r="E2" s="260" t="s">
        <v>942</v>
      </c>
      <c r="F2" s="260" t="s">
        <v>345</v>
      </c>
    </row>
    <row r="3" spans="1:13" ht="15" x14ac:dyDescent="0.25">
      <c r="A3" s="260" t="s">
        <v>134</v>
      </c>
      <c r="C3" s="1">
        <f>MAX([1]Data!$M$66:$M$117)</f>
        <v>13.14800901577761</v>
      </c>
      <c r="D3" s="1">
        <f>MAX([1]Data!$R$66:$R$117)</f>
        <v>8.0055652847746028</v>
      </c>
      <c r="E3" s="1">
        <f>MAX([1]Data!$M$3:$M$57)</f>
        <v>12.903225806451612</v>
      </c>
      <c r="F3" s="1">
        <f>MAX([1]Data!$R$3:$R$57)</f>
        <v>10.570728809121395</v>
      </c>
      <c r="H3" s="59">
        <f>C3-C4</f>
        <v>4.9020492556621154</v>
      </c>
      <c r="I3" s="59">
        <f t="shared" ref="I3:K5" si="0">D3-D4</f>
        <v>1.9115640586523295</v>
      </c>
      <c r="J3" s="59">
        <f t="shared" si="0"/>
        <v>2.5680406212664266</v>
      </c>
      <c r="K3" s="59">
        <f t="shared" si="0"/>
        <v>3.0537661004128474</v>
      </c>
    </row>
    <row r="4" spans="1:13" x14ac:dyDescent="0.3">
      <c r="A4" s="260" t="s">
        <v>945</v>
      </c>
      <c r="C4" s="260">
        <f>PERCENTILE([1]Data!$M$66:$M$117,0.75)</f>
        <v>8.245959760115495</v>
      </c>
      <c r="D4" s="260">
        <f>PERCENTILE([1]Data!$R$66:$R$117,0.75)</f>
        <v>6.0940012261222734</v>
      </c>
      <c r="E4" s="1">
        <f>PERCENTILE([1]Data!$M$3:$M$57,0.75)</f>
        <v>10.335185185185185</v>
      </c>
      <c r="F4" s="1">
        <f>PERCENTILE([1]Data!$R$3:$R$57,0.75)</f>
        <v>7.5169627087085473</v>
      </c>
      <c r="H4" s="59">
        <f>C4-C5</f>
        <v>1.0969208884813817</v>
      </c>
      <c r="I4" s="59">
        <f t="shared" si="0"/>
        <v>0.98266138859474683</v>
      </c>
      <c r="J4" s="59">
        <f t="shared" si="0"/>
        <v>1.5896348518230443</v>
      </c>
      <c r="K4" s="59">
        <f t="shared" si="0"/>
        <v>0.98620895921221585</v>
      </c>
    </row>
    <row r="5" spans="1:13" x14ac:dyDescent="0.3">
      <c r="A5" s="260" t="s">
        <v>946</v>
      </c>
      <c r="C5" s="1">
        <f>AVERAGE([1]Data!$M$66:$M$117)</f>
        <v>7.1490388716341133</v>
      </c>
      <c r="D5" s="1">
        <f>AVERAGE([1]Data!$R$66:$R$117)</f>
        <v>5.1113398375275265</v>
      </c>
      <c r="E5" s="1">
        <f>AVERAGE([1]Data!$M$3:$M$57)</f>
        <v>8.7455503333621412</v>
      </c>
      <c r="F5" s="1">
        <f>AVERAGE([1]Data!$R$3:$R$57)</f>
        <v>6.5307537494963315</v>
      </c>
      <c r="H5" s="59">
        <f>C5-C6</f>
        <v>1.4883747211677507</v>
      </c>
      <c r="I5" s="59">
        <f t="shared" si="0"/>
        <v>1.0028330175889932</v>
      </c>
      <c r="J5" s="59">
        <f t="shared" si="0"/>
        <v>1.2579507602344862</v>
      </c>
      <c r="K5" s="59">
        <f t="shared" si="0"/>
        <v>1.1475122263326583</v>
      </c>
    </row>
    <row r="6" spans="1:13" x14ac:dyDescent="0.3">
      <c r="A6" s="260">
        <v>0.25</v>
      </c>
      <c r="C6" s="260">
        <f>PERCENTILE([1]Data!$M$66:$M$117,0.25)</f>
        <v>5.6606641504663626</v>
      </c>
      <c r="D6" s="260">
        <f>PERCENTILE([1]Data!$R$66:$R$117,0.25)</f>
        <v>4.1085068199385333</v>
      </c>
      <c r="E6" s="1">
        <f>PERCENTILE([1]Data!$M$3:$M$57,0.25)</f>
        <v>7.487599573127655</v>
      </c>
      <c r="F6" s="1">
        <f>PERCENTILE([1]Data!$R$3:$R$57,0.25)</f>
        <v>5.3832415231636732</v>
      </c>
      <c r="H6" s="59">
        <f>C6</f>
        <v>5.6606641504663626</v>
      </c>
      <c r="I6" s="59">
        <f t="shared" ref="I6:K6" si="1">D6</f>
        <v>4.1085068199385333</v>
      </c>
      <c r="J6" s="59">
        <f t="shared" si="1"/>
        <v>7.487599573127655</v>
      </c>
      <c r="K6" s="59">
        <f t="shared" si="1"/>
        <v>5.3832415231636732</v>
      </c>
    </row>
    <row r="7" spans="1:13" x14ac:dyDescent="0.3">
      <c r="A7" s="260" t="s">
        <v>747</v>
      </c>
      <c r="C7" s="1">
        <f>MIN([1]Data!$M$66:$M$117)</f>
        <v>3</v>
      </c>
      <c r="D7" s="1">
        <f>MIN([1]Data!$R$66:$R$117)</f>
        <v>2.2320000000000002</v>
      </c>
      <c r="E7" s="1">
        <f>MIN([1]Data!$M$3:$M$57)</f>
        <v>4.1909202601819668</v>
      </c>
      <c r="F7" s="1">
        <f>MIN([1]Data!$R$3:$R$57)</f>
        <v>3.7584813543542737</v>
      </c>
      <c r="H7" s="59">
        <f>C6-C7</f>
        <v>2.6606641504663626</v>
      </c>
      <c r="I7" s="59">
        <f t="shared" ref="I7:K7" si="2">D6-D7</f>
        <v>1.8765068199385331</v>
      </c>
      <c r="J7" s="59">
        <f t="shared" si="2"/>
        <v>3.2966793129456882</v>
      </c>
      <c r="K7" s="59">
        <f t="shared" si="2"/>
        <v>1.6247601688093996</v>
      </c>
    </row>
    <row r="8" spans="1:13" x14ac:dyDescent="0.3">
      <c r="C8" s="1"/>
      <c r="D8" s="1"/>
      <c r="E8" s="1"/>
      <c r="F8" s="1"/>
      <c r="H8" s="1"/>
      <c r="I8" s="1"/>
      <c r="J8" s="1"/>
      <c r="K8" s="1"/>
    </row>
    <row r="9" spans="1:13" x14ac:dyDescent="0.3">
      <c r="A9" s="260" t="s">
        <v>947</v>
      </c>
      <c r="C9" s="18">
        <f>COUNT([1]Data!$M$66:$M$117)</f>
        <v>52</v>
      </c>
      <c r="D9" s="18">
        <f>COUNT([1]Data!$R$66:$R$117)</f>
        <v>43</v>
      </c>
      <c r="E9" s="18">
        <f>COUNT([1]Data!$M$3:$M$57)</f>
        <v>55</v>
      </c>
      <c r="F9" s="18">
        <f>COUNT([1]Data!$R$3:$R$57)</f>
        <v>41</v>
      </c>
    </row>
    <row r="10" spans="1:13" x14ac:dyDescent="0.3">
      <c r="A10" s="260" t="s">
        <v>948</v>
      </c>
      <c r="C10" s="59">
        <f>[1]Data!$M$158</f>
        <v>7.6387893428383045</v>
      </c>
      <c r="D10" s="59">
        <f>[1]Data!$R$158</f>
        <v>5.4891203975884473</v>
      </c>
      <c r="E10" s="59">
        <f>[1]Data!$M$148</f>
        <v>8.6549953577241894</v>
      </c>
      <c r="F10" s="59">
        <f>[1]Data!$R$148</f>
        <v>6.3296340120722956</v>
      </c>
    </row>
    <row r="11" spans="1:13" x14ac:dyDescent="0.3">
      <c r="A11" s="260" t="s">
        <v>939</v>
      </c>
      <c r="C11" s="59">
        <f>C5</f>
        <v>7.1490388716341133</v>
      </c>
      <c r="D11" s="59">
        <f t="shared" ref="D11:F11" si="3">D5</f>
        <v>5.1113398375275265</v>
      </c>
      <c r="E11" s="59">
        <f t="shared" si="3"/>
        <v>8.7455503333621412</v>
      </c>
      <c r="F11" s="59">
        <f t="shared" si="3"/>
        <v>6.5307537494963315</v>
      </c>
    </row>
    <row r="13" spans="1:13" x14ac:dyDescent="0.3">
      <c r="A13" s="260" t="s">
        <v>949</v>
      </c>
      <c r="C13" s="260">
        <f>[1]Data!$M$158</f>
        <v>7.6387893428383045</v>
      </c>
      <c r="D13" s="260">
        <f>[1]Data!$M$158</f>
        <v>7.6387893428383045</v>
      </c>
      <c r="F13" s="260">
        <f>[1]Data!$R$158</f>
        <v>5.4891203975884473</v>
      </c>
      <c r="G13" s="260">
        <f>[1]Data!$R$158</f>
        <v>5.4891203975884473</v>
      </c>
      <c r="I13" s="260">
        <f>[1]Data!$M$148</f>
        <v>8.6549953577241894</v>
      </c>
      <c r="J13" s="260">
        <f>[1]Data!$M$148</f>
        <v>8.6549953577241894</v>
      </c>
      <c r="L13" s="260">
        <f>[1]Data!$R$148</f>
        <v>6.3296340120722956</v>
      </c>
      <c r="M13" s="260">
        <f>[1]Data!$R$148</f>
        <v>6.3296340120722956</v>
      </c>
    </row>
    <row r="14" spans="1:13" x14ac:dyDescent="0.3">
      <c r="C14" s="260">
        <v>0.81</v>
      </c>
      <c r="D14" s="260">
        <v>1.19</v>
      </c>
      <c r="F14" s="260">
        <v>1.81</v>
      </c>
      <c r="G14" s="260">
        <v>2.19</v>
      </c>
      <c r="I14" s="260">
        <v>2.81</v>
      </c>
      <c r="J14" s="260">
        <v>3.19</v>
      </c>
      <c r="L14" s="260">
        <v>3.81</v>
      </c>
      <c r="M14" s="260">
        <v>4.1900000000000004</v>
      </c>
    </row>
    <row r="21" spans="1:11" x14ac:dyDescent="0.3">
      <c r="A21" s="260" t="s">
        <v>943</v>
      </c>
      <c r="C21" s="447" t="s">
        <v>953</v>
      </c>
      <c r="D21" s="447"/>
      <c r="E21" s="447" t="s">
        <v>954</v>
      </c>
      <c r="F21" s="447"/>
      <c r="H21" s="260" t="s">
        <v>944</v>
      </c>
    </row>
    <row r="22" spans="1:11" x14ac:dyDescent="0.3">
      <c r="A22" s="260" t="s">
        <v>950</v>
      </c>
      <c r="C22" s="260" t="s">
        <v>246</v>
      </c>
      <c r="D22" s="260" t="s">
        <v>345</v>
      </c>
      <c r="E22" s="260" t="s">
        <v>942</v>
      </c>
      <c r="F22" s="260" t="s">
        <v>345</v>
      </c>
    </row>
    <row r="23" spans="1:11" x14ac:dyDescent="0.3">
      <c r="A23" s="260" t="s">
        <v>134</v>
      </c>
      <c r="C23" s="1">
        <f>MAX([1]Data!$M$196:$M$210)</f>
        <v>12.238264903838761</v>
      </c>
      <c r="D23" s="1">
        <f>MAX([1]Data!$R$196:$R$210)</f>
        <v>12.238264903838761</v>
      </c>
      <c r="E23" s="1">
        <f>MAX([1]Data!$M$178:$M$193)</f>
        <v>11.538461538461538</v>
      </c>
      <c r="F23" s="1">
        <f>MAX([1]Data!$R$178:$R$193)</f>
        <v>9.956619802115295</v>
      </c>
      <c r="H23" s="1">
        <f>C23-C24</f>
        <v>2.6762781639224436</v>
      </c>
      <c r="I23" s="1">
        <f t="shared" ref="I23:K25" si="4">D23-D24</f>
        <v>4.7715982371720944</v>
      </c>
      <c r="J23" s="1">
        <f t="shared" si="4"/>
        <v>1.656830862135422</v>
      </c>
      <c r="K23" s="1">
        <f t="shared" si="4"/>
        <v>1.474119802115295</v>
      </c>
    </row>
    <row r="24" spans="1:11" x14ac:dyDescent="0.3">
      <c r="A24" s="260" t="s">
        <v>945</v>
      </c>
      <c r="C24" s="260">
        <f>PERCENTILE([1]Data!$M$196:$M$210,0.75)</f>
        <v>9.5619867399163176</v>
      </c>
      <c r="D24" s="260">
        <f>PERCENTILE([1]Data!$R$196:$R$210,0.75)</f>
        <v>7.4666666666666668</v>
      </c>
      <c r="E24" s="1">
        <f>PERCENTILE([1]Data!$M$178:$M$193,0.75)</f>
        <v>9.8816306763261164</v>
      </c>
      <c r="F24" s="1">
        <f>PERCENTILE([1]Data!$R$178:$R$193,0.75)</f>
        <v>8.4824999999999999</v>
      </c>
      <c r="H24" s="1">
        <f>C24-C25</f>
        <v>1.1366380270103384</v>
      </c>
      <c r="I24" s="1">
        <f t="shared" si="4"/>
        <v>0.42658525823227667</v>
      </c>
      <c r="J24" s="1">
        <f t="shared" si="4"/>
        <v>1.1879850119244075</v>
      </c>
      <c r="K24" s="1">
        <f t="shared" si="4"/>
        <v>0.81520977616840185</v>
      </c>
    </row>
    <row r="25" spans="1:11" x14ac:dyDescent="0.3">
      <c r="A25" s="260" t="s">
        <v>946</v>
      </c>
      <c r="C25" s="1">
        <f>AVERAGE([1]Data!$M$196:$M$210)</f>
        <v>8.4253487129059792</v>
      </c>
      <c r="D25" s="1">
        <f>AVERAGE([1]Data!$R$196:$R$210)</f>
        <v>7.0400814084343901</v>
      </c>
      <c r="E25" s="1">
        <f>AVERAGE([1]Data!$M$178:$M$193)</f>
        <v>8.6936456644017088</v>
      </c>
      <c r="F25" s="1">
        <f>AVERAGE([1]Data!$R$178:$R$193)</f>
        <v>7.6672902238315981</v>
      </c>
      <c r="H25" s="1">
        <f>C25-C26</f>
        <v>1.1795502209766253</v>
      </c>
      <c r="I25" s="1">
        <f t="shared" si="4"/>
        <v>1.1038598175252989</v>
      </c>
      <c r="J25" s="1">
        <f t="shared" si="4"/>
        <v>1.393645664401709</v>
      </c>
      <c r="K25" s="1">
        <f t="shared" si="4"/>
        <v>0.85258434147865714</v>
      </c>
    </row>
    <row r="26" spans="1:11" x14ac:dyDescent="0.3">
      <c r="A26" s="260">
        <v>0.25</v>
      </c>
      <c r="C26" s="260">
        <f>PERCENTILE([1]Data!$M$196:$M$210,0.25)</f>
        <v>7.2457984919293539</v>
      </c>
      <c r="D26" s="260">
        <f>PERCENTILE([1]Data!$R$196:$R$210,0.25)</f>
        <v>5.9362215909090912</v>
      </c>
      <c r="E26" s="1">
        <f>PERCENTILE([1]Data!$M$178:$M$193,0.25)</f>
        <v>7.3</v>
      </c>
      <c r="F26" s="1">
        <f>PERCENTILE([1]Data!$R$178:$R$193,0.25)</f>
        <v>6.8147058823529409</v>
      </c>
      <c r="H26" s="260">
        <f>C26</f>
        <v>7.2457984919293539</v>
      </c>
      <c r="I26" s="260">
        <f t="shared" ref="I26:K26" si="5">D26</f>
        <v>5.9362215909090912</v>
      </c>
      <c r="J26" s="260">
        <f t="shared" si="5"/>
        <v>7.3</v>
      </c>
      <c r="K26" s="260">
        <f t="shared" si="5"/>
        <v>6.8147058823529409</v>
      </c>
    </row>
    <row r="27" spans="1:11" x14ac:dyDescent="0.3">
      <c r="A27" s="260" t="s">
        <v>747</v>
      </c>
      <c r="C27" s="1">
        <f>MIN([1]Data!$M$196:$M$210)</f>
        <v>4.1108389813249868</v>
      </c>
      <c r="D27" s="1">
        <f>MIN([1]Data!$R$196:$R$210)</f>
        <v>4.2666666666666666</v>
      </c>
      <c r="E27" s="1">
        <f>MIN([1]Data!$M$178:$M$193)</f>
        <v>6.16</v>
      </c>
      <c r="F27" s="1">
        <f>MIN([1]Data!$R$178:$R$193)</f>
        <v>5.92</v>
      </c>
      <c r="H27" s="1">
        <f>C26-C27</f>
        <v>3.1349595106043671</v>
      </c>
      <c r="I27" s="1">
        <f t="shared" ref="I27:K27" si="6">D26-D27</f>
        <v>1.6695549242424246</v>
      </c>
      <c r="J27" s="1">
        <f t="shared" si="6"/>
        <v>1.1399999999999997</v>
      </c>
      <c r="K27" s="1">
        <f t="shared" si="6"/>
        <v>0.89470588235294102</v>
      </c>
    </row>
    <row r="28" spans="1:11" x14ac:dyDescent="0.3">
      <c r="C28" s="1"/>
      <c r="D28" s="1"/>
      <c r="E28" s="1"/>
      <c r="F28" s="1"/>
      <c r="H28" s="1"/>
      <c r="I28" s="1"/>
      <c r="J28" s="1"/>
      <c r="K28" s="1"/>
    </row>
    <row r="29" spans="1:11" x14ac:dyDescent="0.3">
      <c r="A29" s="260" t="s">
        <v>947</v>
      </c>
      <c r="C29" s="18">
        <f>COUNT([1]Data!$M$196:$M$210)</f>
        <v>15</v>
      </c>
      <c r="D29" s="18">
        <f>COUNT([1]Data!$R$196:$R$210)</f>
        <v>8</v>
      </c>
      <c r="E29" s="18">
        <f>COUNT([1]Data!$M$178:$M$193)</f>
        <v>16</v>
      </c>
      <c r="F29" s="18">
        <f>COUNT([1]Data!$R$178:$R$193)</f>
        <v>7</v>
      </c>
    </row>
    <row r="30" spans="1:11" x14ac:dyDescent="0.3">
      <c r="A30" s="260" t="s">
        <v>948</v>
      </c>
      <c r="C30" s="59">
        <f>[1]Data!$M$263</f>
        <v>7.6283903552073067</v>
      </c>
      <c r="D30" s="59">
        <f>[1]Data!$R$263</f>
        <v>6.0710458633530857</v>
      </c>
      <c r="E30" s="59">
        <f>[1]Data!$M$253</f>
        <v>8.3193810602977738</v>
      </c>
      <c r="F30" s="59">
        <f>[1]Data!$R$253</f>
        <v>8.9562942807542516</v>
      </c>
    </row>
    <row r="31" spans="1:11" x14ac:dyDescent="0.3">
      <c r="A31" s="260" t="s">
        <v>939</v>
      </c>
      <c r="C31" s="59">
        <f>C25</f>
        <v>8.4253487129059792</v>
      </c>
      <c r="D31" s="59">
        <f t="shared" ref="D31:F31" si="7">D25</f>
        <v>7.0400814084343901</v>
      </c>
      <c r="E31" s="59">
        <f t="shared" si="7"/>
        <v>8.6936456644017088</v>
      </c>
      <c r="F31" s="59">
        <f t="shared" si="7"/>
        <v>7.6672902238315981</v>
      </c>
    </row>
    <row r="33" spans="3:13" x14ac:dyDescent="0.3">
      <c r="C33" s="260">
        <f>[1]Data!$M$263</f>
        <v>7.6283903552073067</v>
      </c>
      <c r="D33" s="260">
        <f>[1]Data!$M$263</f>
        <v>7.6283903552073067</v>
      </c>
      <c r="F33" s="260">
        <f>[1]Data!$R$263</f>
        <v>6.0710458633530857</v>
      </c>
      <c r="G33" s="260">
        <f>[1]Data!$R$263</f>
        <v>6.0710458633530857</v>
      </c>
      <c r="I33" s="260">
        <f>[1]Data!$M$253</f>
        <v>8.3193810602977738</v>
      </c>
      <c r="J33" s="260">
        <f>[1]Data!$M$253</f>
        <v>8.3193810602977738</v>
      </c>
      <c r="L33" s="260">
        <f>[1]Data!$R$253</f>
        <v>8.9562942807542516</v>
      </c>
      <c r="M33" s="260">
        <f>[1]Data!$R$253</f>
        <v>8.9562942807542516</v>
      </c>
    </row>
    <row r="34" spans="3:13" x14ac:dyDescent="0.3">
      <c r="C34" s="260">
        <v>0.81</v>
      </c>
      <c r="D34" s="260">
        <v>1.19</v>
      </c>
      <c r="F34" s="260">
        <v>1.81</v>
      </c>
      <c r="G34" s="260">
        <v>2.19</v>
      </c>
      <c r="I34" s="260">
        <v>2.81</v>
      </c>
      <c r="J34" s="260">
        <v>3.19</v>
      </c>
      <c r="L34" s="260">
        <v>3.81</v>
      </c>
      <c r="M34" s="260">
        <v>4.1900000000000004</v>
      </c>
    </row>
  </sheetData>
  <mergeCells count="4">
    <mergeCell ref="C1:D1"/>
    <mergeCell ref="E1:F1"/>
    <mergeCell ref="C21:D21"/>
    <mergeCell ref="E21:F21"/>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5"/>
  <sheetViews>
    <sheetView zoomScale="70" zoomScaleNormal="70" workbookViewId="0">
      <selection activeCell="H29" sqref="H29"/>
    </sheetView>
  </sheetViews>
  <sheetFormatPr defaultRowHeight="14.4" x14ac:dyDescent="0.3"/>
  <cols>
    <col min="1" max="1" width="21.6640625" customWidth="1"/>
    <col min="2" max="9" width="15.5546875" customWidth="1"/>
    <col min="12" max="12" width="16.5546875" bestFit="1" customWidth="1"/>
    <col min="13" max="13" width="11.21875" customWidth="1"/>
    <col min="14" max="14" width="15.21875" bestFit="1" customWidth="1"/>
    <col min="15" max="15" width="17.6640625" customWidth="1"/>
    <col min="16" max="16" width="17.6640625" style="260" customWidth="1"/>
    <col min="17" max="17" width="17.6640625" customWidth="1"/>
    <col min="18" max="18" width="17.6640625" style="260" customWidth="1"/>
    <col min="19" max="19" width="17.6640625" customWidth="1"/>
    <col min="20" max="20" width="16.5546875" bestFit="1" customWidth="1"/>
    <col min="21" max="21" width="11.77734375" customWidth="1"/>
    <col min="22" max="22" width="13.6640625" customWidth="1"/>
    <col min="23" max="23" width="17.109375" customWidth="1"/>
    <col min="24" max="24" width="15.44140625" style="260" customWidth="1"/>
    <col min="25" max="25" width="16.21875" customWidth="1"/>
    <col min="26" max="26" width="16.6640625" style="260" customWidth="1"/>
  </cols>
  <sheetData>
    <row r="1" spans="1:26" ht="15" thickBot="1" x14ac:dyDescent="0.35"/>
    <row r="2" spans="1:26" ht="15" thickBot="1" x14ac:dyDescent="0.35">
      <c r="A2" s="326" t="s">
        <v>65</v>
      </c>
      <c r="B2" s="486" t="s">
        <v>249</v>
      </c>
      <c r="C2" s="487"/>
      <c r="D2" s="487"/>
      <c r="E2" s="488"/>
      <c r="F2" s="486" t="s">
        <v>13</v>
      </c>
      <c r="G2" s="487"/>
      <c r="H2" s="487"/>
      <c r="I2" s="488"/>
      <c r="L2" s="326" t="s">
        <v>65</v>
      </c>
      <c r="M2" s="457" t="s">
        <v>249</v>
      </c>
      <c r="N2" s="458"/>
      <c r="O2" s="458"/>
      <c r="P2" s="458"/>
      <c r="Q2" s="458"/>
      <c r="R2" s="458"/>
      <c r="T2" s="326" t="s">
        <v>65</v>
      </c>
      <c r="U2" s="457" t="s">
        <v>13</v>
      </c>
      <c r="V2" s="458"/>
      <c r="W2" s="458"/>
      <c r="X2" s="458"/>
      <c r="Y2" s="458"/>
      <c r="Z2" s="458"/>
    </row>
    <row r="3" spans="1:26" ht="66.599999999999994" thickBot="1" x14ac:dyDescent="0.35">
      <c r="A3" s="327"/>
      <c r="B3" s="329" t="s">
        <v>1116</v>
      </c>
      <c r="C3" s="329" t="s">
        <v>1117</v>
      </c>
      <c r="D3" s="329" t="s">
        <v>1118</v>
      </c>
      <c r="E3" s="329" t="s">
        <v>1119</v>
      </c>
      <c r="F3" s="329" t="s">
        <v>1116</v>
      </c>
      <c r="G3" s="329" t="s">
        <v>1117</v>
      </c>
      <c r="H3" s="329" t="s">
        <v>1118</v>
      </c>
      <c r="I3" s="329" t="s">
        <v>1119</v>
      </c>
      <c r="L3" s="327"/>
      <c r="M3" s="329" t="s">
        <v>1116</v>
      </c>
      <c r="N3" s="329" t="s">
        <v>1117</v>
      </c>
      <c r="O3" s="329" t="s">
        <v>1118</v>
      </c>
      <c r="P3" s="329" t="s">
        <v>1154</v>
      </c>
      <c r="Q3" s="329" t="s">
        <v>1119</v>
      </c>
      <c r="R3" s="329" t="s">
        <v>1155</v>
      </c>
      <c r="S3" s="260"/>
      <c r="T3" s="327"/>
      <c r="U3" s="329" t="s">
        <v>1116</v>
      </c>
      <c r="V3" s="329" t="s">
        <v>1117</v>
      </c>
      <c r="W3" s="329" t="s">
        <v>1118</v>
      </c>
      <c r="X3" s="329" t="s">
        <v>1154</v>
      </c>
      <c r="Y3" s="329" t="s">
        <v>1119</v>
      </c>
      <c r="Z3" s="329" t="s">
        <v>1155</v>
      </c>
    </row>
    <row r="4" spans="1:26" x14ac:dyDescent="0.3">
      <c r="A4" s="330" t="s">
        <v>295</v>
      </c>
      <c r="B4" s="464">
        <f>SUM(B6:B9)</f>
        <v>92</v>
      </c>
      <c r="C4" s="466">
        <f>SUM(C6:C9)</f>
        <v>373.77785522813053</v>
      </c>
      <c r="D4" s="468">
        <f>Data!$R$171</f>
        <v>5.937498353521975</v>
      </c>
      <c r="E4" s="468">
        <f>Data!$AN$171</f>
        <v>3.0621421635007522</v>
      </c>
      <c r="F4" s="464">
        <f>SUM(F6:F9)</f>
        <v>115</v>
      </c>
      <c r="G4" s="466">
        <f>SUM(G6:G9)</f>
        <v>549.52123030755888</v>
      </c>
      <c r="H4" s="468">
        <f>Data!$M$171</f>
        <v>8.2629663379131877</v>
      </c>
      <c r="I4" s="468">
        <f>Data!$AM$171</f>
        <v>4.0596420649165514</v>
      </c>
      <c r="L4" s="330" t="s">
        <v>295</v>
      </c>
      <c r="M4" s="464">
        <f>B4</f>
        <v>92</v>
      </c>
      <c r="N4" s="466">
        <f>SUM(N6:N9)</f>
        <v>373.77785522813053</v>
      </c>
      <c r="O4" s="468">
        <f>Data!$R$171</f>
        <v>5.937498353521975</v>
      </c>
      <c r="P4" s="455">
        <f>247.104/O4</f>
        <v>41.617527330079028</v>
      </c>
      <c r="Q4" s="468">
        <f>Data!$AN$171</f>
        <v>3.0621421635007522</v>
      </c>
      <c r="R4" s="455">
        <f>247.104/Q4</f>
        <v>80.696449350183585</v>
      </c>
      <c r="S4" s="260"/>
      <c r="T4" s="330" t="s">
        <v>295</v>
      </c>
      <c r="U4" s="464">
        <f>SUM(U6:U9)</f>
        <v>115</v>
      </c>
      <c r="V4" s="466">
        <f>SUM(V6:V9)</f>
        <v>549.52123030755888</v>
      </c>
      <c r="W4" s="468">
        <f>Data!$M$171</f>
        <v>8.2629663379131877</v>
      </c>
      <c r="X4" s="455">
        <f>247.104/W4</f>
        <v>29.904998991246785</v>
      </c>
      <c r="Y4" s="468">
        <f>Data!$AM$171</f>
        <v>4.0596420649165514</v>
      </c>
      <c r="Z4" s="455">
        <f>247.104/Y4</f>
        <v>60.868420429346251</v>
      </c>
    </row>
    <row r="5" spans="1:26" ht="15" thickBot="1" x14ac:dyDescent="0.35">
      <c r="A5" s="331" t="s">
        <v>1120</v>
      </c>
      <c r="B5" s="465"/>
      <c r="C5" s="465"/>
      <c r="D5" s="469"/>
      <c r="E5" s="469"/>
      <c r="F5" s="465"/>
      <c r="G5" s="465"/>
      <c r="H5" s="469"/>
      <c r="I5" s="469"/>
      <c r="L5" s="331" t="s">
        <v>1120</v>
      </c>
      <c r="M5" s="465"/>
      <c r="N5" s="467"/>
      <c r="O5" s="469"/>
      <c r="P5" s="456"/>
      <c r="Q5" s="469"/>
      <c r="R5" s="456"/>
      <c r="S5" s="260"/>
      <c r="T5" s="331" t="s">
        <v>1120</v>
      </c>
      <c r="U5" s="465"/>
      <c r="V5" s="467"/>
      <c r="W5" s="469"/>
      <c r="X5" s="456"/>
      <c r="Y5" s="469"/>
      <c r="Z5" s="456"/>
    </row>
    <row r="6" spans="1:26" ht="15" thickBot="1" x14ac:dyDescent="0.35">
      <c r="A6" s="332" t="s">
        <v>138</v>
      </c>
      <c r="B6" s="328">
        <f>COUNTIF(Data!$R$66:$R$117,"&gt;0")</f>
        <v>43</v>
      </c>
      <c r="C6" s="356">
        <f>SUMIF(Data!$R$66:$R$117,"&gt;0",Data!$E$66:$E$117)/1000</f>
        <v>193.78885537177376</v>
      </c>
      <c r="D6" s="361">
        <f>Data!$R$158</f>
        <v>5.4891203975884473</v>
      </c>
      <c r="E6" s="361">
        <f>Data!AN158</f>
        <v>3.2331670711942553</v>
      </c>
      <c r="F6" s="328">
        <f>COUNTIF(Data!$M$66:$M$117,"&gt;0")</f>
        <v>52</v>
      </c>
      <c r="G6" s="356">
        <f>SUMIF(Data!$M$66:$M$117,"&gt;0",Data!$E$66:$E$117)/1000</f>
        <v>231.37918627485601</v>
      </c>
      <c r="H6" s="361">
        <f>Data!$M$158</f>
        <v>7.6387893428383045</v>
      </c>
      <c r="I6" s="361">
        <f>Data!AM158</f>
        <v>4.4289941380902258</v>
      </c>
      <c r="L6" s="332" t="s">
        <v>138</v>
      </c>
      <c r="M6" s="328">
        <f>COUNTIF(Data!$R$66:$R$117,"&gt;0")</f>
        <v>43</v>
      </c>
      <c r="N6" s="356">
        <f>SUMIF(Data!$R$66:$R$117,"&gt;0",Data!$E$66:$E$117)/1000</f>
        <v>193.78885537177376</v>
      </c>
      <c r="O6" s="361">
        <f>Data!$R$158</f>
        <v>5.4891203975884473</v>
      </c>
      <c r="P6" s="364">
        <f>247.104/O6</f>
        <v>45.017048652924608</v>
      </c>
      <c r="Q6" s="361">
        <f>Data!$AN158</f>
        <v>3.2331670711942553</v>
      </c>
      <c r="R6" s="364">
        <f>247.104/Q6</f>
        <v>76.427847543531257</v>
      </c>
      <c r="S6" s="260"/>
      <c r="T6" s="332" t="s">
        <v>138</v>
      </c>
      <c r="U6" s="328">
        <f>COUNTIF(Data!$M$66:$M$117,"&gt;0")</f>
        <v>52</v>
      </c>
      <c r="V6" s="356">
        <f>SUMIF(Data!$M$66:$M$117,"&gt;0",Data!$E$66:$E$117)/1000</f>
        <v>231.37918627485601</v>
      </c>
      <c r="W6" s="361">
        <f>Data!$M$158</f>
        <v>7.6387893428383045</v>
      </c>
      <c r="X6" s="364">
        <f>247.104/W6</f>
        <v>32.34858154999008</v>
      </c>
      <c r="Y6" s="361">
        <f>Data!AM158</f>
        <v>4.4289941380902258</v>
      </c>
      <c r="Z6" s="364">
        <f>247.104/Y6</f>
        <v>55.7923520094228</v>
      </c>
    </row>
    <row r="7" spans="1:26" ht="15" thickBot="1" x14ac:dyDescent="0.35">
      <c r="A7" s="333" t="s">
        <v>1121</v>
      </c>
      <c r="B7" s="369">
        <f>COUNTIF(Data!$R$3:$R$57,"&gt;0")</f>
        <v>41</v>
      </c>
      <c r="C7" s="370">
        <f>SUMIF(Data!$R$3:$R$57,"&gt;0",Data!$E$3:$E$57)/1000</f>
        <v>168.3024639289101</v>
      </c>
      <c r="D7" s="371">
        <f>Data!$R$148</f>
        <v>6.3296340120722956</v>
      </c>
      <c r="E7" s="371">
        <f>Data!AN148</f>
        <v>2.8696312580571086</v>
      </c>
      <c r="F7" s="369">
        <f>COUNTIF(Data!$M$3:$M$57,"&gt;0")</f>
        <v>55</v>
      </c>
      <c r="G7" s="370">
        <f>SUMIF(Data!$M$3:$M$57,"&gt;0",Data!$E$3:$E$57)/1000</f>
        <v>306.45550810525617</v>
      </c>
      <c r="H7" s="371">
        <f>Data!$M$148</f>
        <v>8.6549953577241894</v>
      </c>
      <c r="I7" s="371">
        <f>Data!AM148</f>
        <v>3.7698746455017944</v>
      </c>
      <c r="L7" s="403" t="s">
        <v>1121</v>
      </c>
      <c r="M7" s="369">
        <f>COUNTIF(Data!$R$3:$R$57,"&gt;0")</f>
        <v>41</v>
      </c>
      <c r="N7" s="370">
        <f>SUMIF(Data!$R$3:$R$57,"&gt;0",Data!$E$3:$E$57)/1000</f>
        <v>168.3024639289101</v>
      </c>
      <c r="O7" s="371">
        <f>Data!$R$148</f>
        <v>6.3296340120722956</v>
      </c>
      <c r="P7" s="375">
        <f t="shared" ref="P7:R9" si="0">247.104/O7</f>
        <v>39.039223994421633</v>
      </c>
      <c r="Q7" s="371">
        <f>Data!$AN148</f>
        <v>2.8696312580571086</v>
      </c>
      <c r="R7" s="375">
        <f t="shared" si="0"/>
        <v>86.110018249279321</v>
      </c>
      <c r="S7" s="260"/>
      <c r="T7" s="403" t="s">
        <v>1121</v>
      </c>
      <c r="U7" s="369">
        <f>COUNTIF(Data!$M$3:$M$57,"&gt;0")</f>
        <v>55</v>
      </c>
      <c r="V7" s="370">
        <f>SUMIF(Data!$M$3:$M$57,"&gt;0",Data!$E$3:$E$57)/1000</f>
        <v>306.45550810525617</v>
      </c>
      <c r="W7" s="371">
        <f>Data!$M$148</f>
        <v>8.6549953577241894</v>
      </c>
      <c r="X7" s="375">
        <f t="shared" ref="X7" si="1">247.104/W7</f>
        <v>28.550448589145798</v>
      </c>
      <c r="Y7" s="371">
        <f>Data!AM148</f>
        <v>3.7698746455017944</v>
      </c>
      <c r="Z7" s="375">
        <f t="shared" ref="Z7" si="2">247.104/Y7</f>
        <v>65.54700705893336</v>
      </c>
    </row>
    <row r="8" spans="1:26" ht="15" thickBot="1" x14ac:dyDescent="0.35">
      <c r="A8" s="332" t="s">
        <v>1122</v>
      </c>
      <c r="B8" s="328">
        <f>COUNTIF(Data!$R$58:$R$61,"&gt;0")</f>
        <v>4</v>
      </c>
      <c r="C8" s="356">
        <f>SUMIF(Data!$R$58:$R$61,"&gt;0",Data!$E$58:$E$61)/1000</f>
        <v>4.606115706798362</v>
      </c>
      <c r="D8" s="361">
        <f>wtavg(Data!$E$58:$E$61,Data!$R$58:$R$61)</f>
        <v>9.3547367766734801</v>
      </c>
      <c r="E8" s="361">
        <f>wtavg(Data!$E$58:$E$61,Data!$AN$58:$AN$61)</f>
        <v>4.0968546208668268</v>
      </c>
      <c r="F8" s="328">
        <f>COUNTIF(Data!$M$58:$M$61,"&gt;0")</f>
        <v>4</v>
      </c>
      <c r="G8" s="356">
        <f>SUMIF(Data!$M$58:$M$61,"&gt;0",Data!$E$58:$E$61)/1000</f>
        <v>4.606115706798362</v>
      </c>
      <c r="H8" s="364">
        <f>wtavg(Data!$E$58:$E$61,Data!$M$58:$M$61)</f>
        <v>12.683140789054736</v>
      </c>
      <c r="I8" s="361">
        <f>wtavg(Data!$E$58:$E$61,Data!$AM$58:$AM$61)</f>
        <v>5.4522414340607348</v>
      </c>
      <c r="L8" s="332" t="s">
        <v>1122</v>
      </c>
      <c r="M8" s="328">
        <f>COUNTIF(Data!$R$58:$R$61,"&gt;0")</f>
        <v>4</v>
      </c>
      <c r="N8" s="356">
        <f>SUMIF(Data!$R$58:$R$61,"&gt;0",Data!$E$58:$E$61)/1000</f>
        <v>4.606115706798362</v>
      </c>
      <c r="O8" s="361">
        <f t="array" ref="O8">wtavg(Data!$E$58:$E$61,Data!$R$58:$R$61)</f>
        <v>9.3547367766734801</v>
      </c>
      <c r="P8" s="364">
        <f t="shared" si="0"/>
        <v>26.41485334105462</v>
      </c>
      <c r="Q8" s="361">
        <f>wtavg(Data!$E$58:$E$61,Data!$AN$58:$AN$61)</f>
        <v>4.0968546208668268</v>
      </c>
      <c r="R8" s="364">
        <f t="shared" si="0"/>
        <v>60.315540302896295</v>
      </c>
      <c r="S8" s="260"/>
      <c r="T8" s="332" t="s">
        <v>1122</v>
      </c>
      <c r="U8" s="328">
        <f>COUNTIF(Data!$M$58:$M$61,"&gt;0")</f>
        <v>4</v>
      </c>
      <c r="V8" s="356">
        <f>SUMIF(Data!$M$58:$M$61,"&gt;0",Data!$E$58:$E$61)/1000</f>
        <v>4.606115706798362</v>
      </c>
      <c r="W8" s="364">
        <f>wtavg(Data!$E$58:$E$61,Data!$M$58:$M$61)</f>
        <v>12.683140789054736</v>
      </c>
      <c r="X8" s="364">
        <f t="shared" ref="X8" si="3">247.104/W8</f>
        <v>19.482871325787471</v>
      </c>
      <c r="Y8" s="361">
        <f>wtavg(Data!$E$58:$E$61,Data!$AM$58:$AM$61)</f>
        <v>5.4522414340607348</v>
      </c>
      <c r="Z8" s="364">
        <f t="shared" ref="Z8" si="4">247.104/Y8</f>
        <v>45.321543990388051</v>
      </c>
    </row>
    <row r="9" spans="1:26" ht="15" thickBot="1" x14ac:dyDescent="0.35">
      <c r="A9" s="334" t="s">
        <v>1123</v>
      </c>
      <c r="B9" s="369">
        <f>COUNTIF(Data!$R$62:$R$65,"&gt;0")</f>
        <v>4</v>
      </c>
      <c r="C9" s="370">
        <f>SUMIF(Data!$R$62:$R$65,"&gt;0",Data!$E$62:$E$65)/1000</f>
        <v>7.0804202206483549</v>
      </c>
      <c r="D9" s="371">
        <f>wtavg(Data!$E$62:$E$65,Data!$R$62:$R$65)</f>
        <v>6.8696487615456849</v>
      </c>
      <c r="E9" s="371">
        <f>wtavg(Data!$E$62:$E$65,Data!$AN$62:$AN$65)</f>
        <v>2.3495261596216066</v>
      </c>
      <c r="F9" s="369">
        <f>COUNTIF(Data!$M$62:$M$65,"&gt;0")</f>
        <v>4</v>
      </c>
      <c r="G9" s="370">
        <f>SUMIF(Data!$M$62:$M$65,"&gt;0",Data!$E$62:$E$65)/1000</f>
        <v>7.0804202206483549</v>
      </c>
      <c r="H9" s="371">
        <f>wtavg(Data!$E$62:$E$65,Data!$M$62:$M$65)</f>
        <v>9.1004485598313369</v>
      </c>
      <c r="I9" s="371">
        <f>wtavg(Data!$E$62:$E$65,Data!$AM$62:$AM$65)</f>
        <v>3.0907447245125028</v>
      </c>
      <c r="L9" s="334" t="s">
        <v>1123</v>
      </c>
      <c r="M9" s="369">
        <f>COUNTIF(Data!$R$62:$R$65,"&gt;0")</f>
        <v>4</v>
      </c>
      <c r="N9" s="370">
        <f>SUMIF(Data!$R$62:$R$65,"&gt;0",Data!$E$62:$E$65)/1000</f>
        <v>7.0804202206483549</v>
      </c>
      <c r="O9" s="371">
        <f>wtavg(Data!$E$62:$E$65,Data!$R$62:$R$65)</f>
        <v>6.8696487615456849</v>
      </c>
      <c r="P9" s="375">
        <f t="shared" si="0"/>
        <v>35.970397989372763</v>
      </c>
      <c r="Q9" s="371">
        <f>wtavg(Data!$E$62:$E$65,Data!$AN$62:$AN$65)</f>
        <v>2.3495261596216066</v>
      </c>
      <c r="R9" s="375">
        <f t="shared" si="0"/>
        <v>105.17184453898413</v>
      </c>
      <c r="S9" s="260"/>
      <c r="T9" s="334" t="s">
        <v>1123</v>
      </c>
      <c r="U9" s="369">
        <f>COUNTIF(Data!$M$62:$M$65,"&gt;0")</f>
        <v>4</v>
      </c>
      <c r="V9" s="370">
        <f>SUMIF(Data!$M$62:$M$65,"&gt;0",Data!$E$62:$E$65)/1000</f>
        <v>7.0804202206483549</v>
      </c>
      <c r="W9" s="371">
        <f>wtavg(Data!$E$62:$E$65,Data!$M$62:$M$65)</f>
        <v>9.1004485598313369</v>
      </c>
      <c r="X9" s="375">
        <f t="shared" ref="X9" si="5">247.104/W9</f>
        <v>27.152947283356735</v>
      </c>
      <c r="Y9" s="371">
        <f>wtavg(Data!$E$62:$E$65,Data!$AM$62:$AM$65)</f>
        <v>3.0907447245125028</v>
      </c>
      <c r="Z9" s="375">
        <f t="shared" ref="Z9" si="6">247.104/Y9</f>
        <v>79.949663277019823</v>
      </c>
    </row>
    <row r="10" spans="1:26" ht="15" thickTop="1" x14ac:dyDescent="0.3">
      <c r="A10" s="335" t="s">
        <v>296</v>
      </c>
      <c r="B10" s="459">
        <f>SUM(B12:B14)</f>
        <v>15</v>
      </c>
      <c r="C10" s="461">
        <f>SUM(C12:C14)</f>
        <v>1404.7126982217055</v>
      </c>
      <c r="D10" s="462">
        <f>Data!$R$275</f>
        <v>7.2132899580301046</v>
      </c>
      <c r="E10" s="462">
        <f>Data!$AN$267</f>
        <v>3.0766163504446675</v>
      </c>
      <c r="F10" s="459">
        <f>SUM(F12:F14)</f>
        <v>32</v>
      </c>
      <c r="G10" s="461">
        <f>SUM(G12:G14)</f>
        <v>3550.8508256126693</v>
      </c>
      <c r="H10" s="462">
        <f>Data!$M$275</f>
        <v>7.9227856594471149</v>
      </c>
      <c r="I10" s="462">
        <f>Data!$AM$267</f>
        <v>3.4483942170600836</v>
      </c>
      <c r="L10" s="335" t="s">
        <v>296</v>
      </c>
      <c r="M10" s="459">
        <f>SUM(M12:M14)</f>
        <v>15</v>
      </c>
      <c r="N10" s="461">
        <f>SUM(N12:N14)</f>
        <v>1404.7126982217055</v>
      </c>
      <c r="O10" s="462">
        <f>Data!$R$275</f>
        <v>7.2132899580301046</v>
      </c>
      <c r="P10" s="453">
        <f>247.104/O10</f>
        <v>34.256767915577079</v>
      </c>
      <c r="Q10" s="462">
        <f>Data!$AN$267</f>
        <v>3.0766163504446675</v>
      </c>
      <c r="R10" s="453">
        <f>247.104/Q10</f>
        <v>80.316806469641804</v>
      </c>
      <c r="S10" s="260"/>
      <c r="T10" s="335" t="s">
        <v>296</v>
      </c>
      <c r="U10" s="459">
        <f>SUM(U12:U14)</f>
        <v>32</v>
      </c>
      <c r="V10" s="461">
        <f>SUM(V12:V14)</f>
        <v>3550.8508256126693</v>
      </c>
      <c r="W10" s="462">
        <f>Data!$M$275</f>
        <v>7.9227856594471149</v>
      </c>
      <c r="X10" s="453">
        <f>247.104/W10</f>
        <v>31.189030048459493</v>
      </c>
      <c r="Y10" s="462">
        <f>Data!$AM$267</f>
        <v>3.4483942170600836</v>
      </c>
      <c r="Z10" s="453">
        <f>247.104/Y10</f>
        <v>71.657700496513314</v>
      </c>
    </row>
    <row r="11" spans="1:26" ht="15" thickBot="1" x14ac:dyDescent="0.35">
      <c r="A11" s="336" t="s">
        <v>1124</v>
      </c>
      <c r="B11" s="460"/>
      <c r="C11" s="460"/>
      <c r="D11" s="463"/>
      <c r="E11" s="463"/>
      <c r="F11" s="460"/>
      <c r="G11" s="460"/>
      <c r="H11" s="463"/>
      <c r="I11" s="463"/>
      <c r="L11" s="336" t="s">
        <v>1124</v>
      </c>
      <c r="M11" s="460"/>
      <c r="N11" s="460"/>
      <c r="O11" s="463"/>
      <c r="P11" s="454"/>
      <c r="Q11" s="463"/>
      <c r="R11" s="454"/>
      <c r="S11" s="260"/>
      <c r="T11" s="336" t="s">
        <v>1124</v>
      </c>
      <c r="U11" s="460"/>
      <c r="V11" s="470"/>
      <c r="W11" s="463"/>
      <c r="X11" s="454"/>
      <c r="Y11" s="463"/>
      <c r="Z11" s="454"/>
    </row>
    <row r="12" spans="1:26" ht="15" thickBot="1" x14ac:dyDescent="0.35">
      <c r="A12" s="333" t="s">
        <v>138</v>
      </c>
      <c r="B12" s="369">
        <f>COUNTIF(Data!$R$196:$R$209,"&gt;0")</f>
        <v>7</v>
      </c>
      <c r="C12" s="370">
        <f>SUMIF(Data!$R$196:$R$209,"&gt;0",Data!$E$196:$E$209)/1000</f>
        <v>744</v>
      </c>
      <c r="D12" s="371">
        <f>Data!$R$262</f>
        <v>5.7852150537634408</v>
      </c>
      <c r="E12" s="371">
        <f>Data!$AN$257</f>
        <v>2.7971077289721067</v>
      </c>
      <c r="F12" s="369">
        <f>COUNTIF(Data!$M$196:$M$209,"&gt;0")</f>
        <v>14</v>
      </c>
      <c r="G12" s="370">
        <f>SUMIF(Data!$M$196:$M$209,"&gt;0",Data!$E$196:$E$209)/1000</f>
        <v>1755.8039280709413</v>
      </c>
      <c r="H12" s="371">
        <f>Data!$M$262</f>
        <v>7.5378576095002652</v>
      </c>
      <c r="I12" s="371">
        <f>Data!$AM$257</f>
        <v>3.6792717830148716</v>
      </c>
      <c r="L12" s="403" t="s">
        <v>138</v>
      </c>
      <c r="M12" s="369">
        <f>COUNTIF(Data!$R$196:$R$209,"&gt;0")</f>
        <v>7</v>
      </c>
      <c r="N12" s="370">
        <f>SUMIF(Data!$R$196:$R$209,"&gt;0",Data!$E$196:$E$209)/1000</f>
        <v>744</v>
      </c>
      <c r="O12" s="371">
        <f>Data!$R$262</f>
        <v>5.7852150537634408</v>
      </c>
      <c r="P12" s="375">
        <f>247.104/O12</f>
        <v>42.713018911760606</v>
      </c>
      <c r="Q12" s="371">
        <f>Data!$AN$257</f>
        <v>2.7971077289721067</v>
      </c>
      <c r="R12" s="375">
        <f>247.104/Q12</f>
        <v>88.342682493250578</v>
      </c>
      <c r="S12" s="260"/>
      <c r="T12" s="403" t="s">
        <v>138</v>
      </c>
      <c r="U12" s="369">
        <f>COUNTIF(Data!$M$196:$M$209,"&gt;0")</f>
        <v>14</v>
      </c>
      <c r="V12" s="370">
        <f>SUMIF(Data!$M$196:$M$209,"&gt;0",Data!$E$196:$E$209)/1000</f>
        <v>1755.8039280709413</v>
      </c>
      <c r="W12" s="371">
        <f>Data!$M$262</f>
        <v>7.5378576095002652</v>
      </c>
      <c r="X12" s="375">
        <f>247.104/W12</f>
        <v>32.781728284249482</v>
      </c>
      <c r="Y12" s="371">
        <f>Data!$AM$257</f>
        <v>3.6792717830148716</v>
      </c>
      <c r="Z12" s="375">
        <f>247.104/Y12</f>
        <v>67.161116267827836</v>
      </c>
    </row>
    <row r="13" spans="1:26" ht="15" thickBot="1" x14ac:dyDescent="0.35">
      <c r="A13" s="332" t="s">
        <v>1121</v>
      </c>
      <c r="B13" s="328">
        <f>COUNTIF(Data!$R$178:$R$193,"&gt;0")</f>
        <v>7</v>
      </c>
      <c r="C13" s="356">
        <f>SUMIF(Data!$R$178:$R$193,"&gt;0",Data!$E$178:$E$193)/1000</f>
        <v>629.9926982217055</v>
      </c>
      <c r="D13" s="361">
        <f>Data!$R$252</f>
        <v>8.9562942807542516</v>
      </c>
      <c r="E13" s="361">
        <f>Data!$AN$247</f>
        <v>3.4611559440820727</v>
      </c>
      <c r="F13" s="328">
        <f>COUNTIF(Data!$M$178:$M$193,"&gt;0")</f>
        <v>16</v>
      </c>
      <c r="G13" s="356">
        <f>SUMIF(Data!$M$178:$M$193,"&gt;0",Data!$E$178:$E$193)/1000</f>
        <v>1636.6157411609968</v>
      </c>
      <c r="H13" s="361">
        <f>Data!$M$252</f>
        <v>8.3193810602977738</v>
      </c>
      <c r="I13" s="361">
        <f>Data!$AM$247</f>
        <v>3.2660218027133072</v>
      </c>
      <c r="L13" s="332" t="s">
        <v>1121</v>
      </c>
      <c r="M13" s="328">
        <f>COUNTIF(Data!$R$178:$R$193,"&gt;0")</f>
        <v>7</v>
      </c>
      <c r="N13" s="356">
        <f>SUMIF(Data!$R$178:$R$193,"&gt;0",Data!$E$178:$E$193)/1000</f>
        <v>629.9926982217055</v>
      </c>
      <c r="O13" s="361">
        <f>Data!$R$252</f>
        <v>8.9562942807542516</v>
      </c>
      <c r="P13" s="364">
        <f t="shared" ref="P13:R19" si="7">247.104/O13</f>
        <v>27.589982224120288</v>
      </c>
      <c r="Q13" s="361">
        <f>Data!$AN$247</f>
        <v>3.4611559440820727</v>
      </c>
      <c r="R13" s="364">
        <f t="shared" si="7"/>
        <v>71.393489340606422</v>
      </c>
      <c r="S13" s="260"/>
      <c r="T13" s="332" t="s">
        <v>1121</v>
      </c>
      <c r="U13" s="328">
        <f>COUNTIF(Data!$M$178:$M$193,"&gt;0")</f>
        <v>16</v>
      </c>
      <c r="V13" s="356">
        <f>SUMIF(Data!$M$178:$M$193,"&gt;0",Data!$E$178:$E$193)/1000</f>
        <v>1636.6157411609968</v>
      </c>
      <c r="W13" s="361">
        <f>Data!$M$252</f>
        <v>8.3193810602977738</v>
      </c>
      <c r="X13" s="364">
        <f t="shared" ref="X13" si="8">247.104/W13</f>
        <v>29.702209600572793</v>
      </c>
      <c r="Y13" s="361">
        <f>Data!$AM$247</f>
        <v>3.2660218027133072</v>
      </c>
      <c r="Z13" s="364">
        <f t="shared" ref="Z13" si="9">247.104/Y13</f>
        <v>75.659017277445557</v>
      </c>
    </row>
    <row r="14" spans="1:26" ht="15" thickBot="1" x14ac:dyDescent="0.35">
      <c r="A14" s="334" t="s">
        <v>1123</v>
      </c>
      <c r="B14" s="369">
        <f>COUNTIF(Data!$R$194:$R$195,"&gt;0")</f>
        <v>1</v>
      </c>
      <c r="C14" s="370">
        <f>SUMIF(Data!$R$194:$R$195,"&gt;0",Data!$E$194:$E$195)/1000</f>
        <v>30.72</v>
      </c>
      <c r="D14" s="372">
        <f>Data!$R$257</f>
        <v>6.0546875</v>
      </c>
      <c r="E14" s="372">
        <f>Data!$AN$252</f>
        <v>1.959991292074817</v>
      </c>
      <c r="F14" s="369">
        <f>COUNTIF(Data!$M$194:$M$195,"&gt;0")</f>
        <v>2</v>
      </c>
      <c r="G14" s="370">
        <f>SUMIF(Data!$M$194:$M$195,"&gt;0",Data!$E$194:$E$195)/1000</f>
        <v>158.43115638073093</v>
      </c>
      <c r="H14" s="372">
        <f>Data!$M$257</f>
        <v>8.0918427239095916</v>
      </c>
      <c r="I14" s="372">
        <f>Data!$AM$252</f>
        <v>2.773639480835715</v>
      </c>
      <c r="L14" s="334" t="s">
        <v>1123</v>
      </c>
      <c r="M14" s="369">
        <f>COUNTIF(Data!$R$194:$R$195,"&gt;0")</f>
        <v>1</v>
      </c>
      <c r="N14" s="370">
        <f>SUMIF(Data!$R$194:$R$195,"&gt;0",Data!$E$194:$E$195)/1000</f>
        <v>30.72</v>
      </c>
      <c r="O14" s="372">
        <f>Data!$R$257</f>
        <v>6.0546875</v>
      </c>
      <c r="P14" s="408">
        <f t="shared" si="7"/>
        <v>40.812015483870972</v>
      </c>
      <c r="Q14" s="372">
        <f>Data!$AN$252</f>
        <v>1.959991292074817</v>
      </c>
      <c r="R14" s="408">
        <f t="shared" si="7"/>
        <v>126.07402951184517</v>
      </c>
      <c r="S14" s="260"/>
      <c r="T14" s="334" t="s">
        <v>1123</v>
      </c>
      <c r="U14" s="369">
        <f>COUNTIF(Data!$M$194:$M$195,"&gt;0")</f>
        <v>2</v>
      </c>
      <c r="V14" s="370">
        <f>SUMIF(Data!$M$194:$M$195,"&gt;0",Data!$E$194:$E$195)/1000</f>
        <v>158.43115638073093</v>
      </c>
      <c r="W14" s="372">
        <f>Data!$M$257</f>
        <v>8.0918427239095916</v>
      </c>
      <c r="X14" s="408">
        <f t="shared" ref="X14" si="10">247.104/W14</f>
        <v>30.537420020518041</v>
      </c>
      <c r="Y14" s="372">
        <f>Data!$AM$252</f>
        <v>2.773639480835715</v>
      </c>
      <c r="Z14" s="408">
        <f t="shared" ref="Z14" si="11">247.104/Y14</f>
        <v>89.090165361197563</v>
      </c>
    </row>
    <row r="15" spans="1:26" ht="15.6" thickTop="1" thickBot="1" x14ac:dyDescent="0.35">
      <c r="A15" s="336" t="s">
        <v>122</v>
      </c>
      <c r="B15" s="328">
        <v>18</v>
      </c>
      <c r="C15" s="338">
        <v>2218</v>
      </c>
      <c r="D15" s="361">
        <f>CSP!$Y$52</f>
        <v>7.6635742811501597</v>
      </c>
      <c r="E15" s="361">
        <f>CSP!$AK$50</f>
        <v>2.698711674173893</v>
      </c>
      <c r="F15" s="328">
        <v>25</v>
      </c>
      <c r="G15" s="337">
        <v>3747</v>
      </c>
      <c r="H15" s="364">
        <f>CSP!$V$52</f>
        <v>9.9722962173681413</v>
      </c>
      <c r="I15" s="361">
        <f>CSP!$AJ$50</f>
        <v>3.4831681779804229</v>
      </c>
      <c r="L15" s="336" t="s">
        <v>122</v>
      </c>
      <c r="M15" s="328">
        <v>18</v>
      </c>
      <c r="N15" s="338">
        <v>2218</v>
      </c>
      <c r="O15" s="361">
        <f>CSP!$Y$52</f>
        <v>7.6635742811501597</v>
      </c>
      <c r="P15" s="364">
        <f t="shared" si="7"/>
        <v>32.243962273295054</v>
      </c>
      <c r="Q15" s="361">
        <f>CSP!$AK$50</f>
        <v>2.698711674173893</v>
      </c>
      <c r="R15" s="364">
        <f t="shared" si="7"/>
        <v>91.563690321101618</v>
      </c>
      <c r="S15" s="260"/>
      <c r="T15" s="336" t="s">
        <v>122</v>
      </c>
      <c r="U15" s="328">
        <v>25</v>
      </c>
      <c r="V15" s="337">
        <v>3747</v>
      </c>
      <c r="W15" s="364">
        <f>CSP!$V$52</f>
        <v>9.9722962173681413</v>
      </c>
      <c r="X15" s="364">
        <f t="shared" ref="X15" si="12">247.104/W15</f>
        <v>24.779047334116893</v>
      </c>
      <c r="Y15" s="361">
        <f>CSP!$AJ$50</f>
        <v>3.4831681779804229</v>
      </c>
      <c r="Z15" s="364">
        <f t="shared" ref="Z15" si="13">247.104/Y15</f>
        <v>70.942310957627512</v>
      </c>
    </row>
    <row r="16" spans="1:26" ht="15" thickBot="1" x14ac:dyDescent="0.35">
      <c r="A16" s="333" t="s">
        <v>113</v>
      </c>
      <c r="B16" s="369">
        <v>7</v>
      </c>
      <c r="C16" s="369">
        <v>851</v>
      </c>
      <c r="D16" s="371">
        <f>CSP!$Y$57</f>
        <v>6.1590265486725659</v>
      </c>
      <c r="E16" s="371">
        <f>CSP!$AK$56</f>
        <v>2.5447437692848918</v>
      </c>
      <c r="F16" s="369">
        <v>8</v>
      </c>
      <c r="G16" s="373">
        <v>1380</v>
      </c>
      <c r="H16" s="371">
        <f>CSP!$V$57</f>
        <v>9.5007246376811594</v>
      </c>
      <c r="I16" s="371">
        <f>CSP!$AJ$56</f>
        <v>3.9199950566284816</v>
      </c>
      <c r="L16" s="403" t="s">
        <v>113</v>
      </c>
      <c r="M16" s="369">
        <v>7</v>
      </c>
      <c r="N16" s="369">
        <v>851</v>
      </c>
      <c r="O16" s="371">
        <f>CSP!$Y$57</f>
        <v>6.1590265486725659</v>
      </c>
      <c r="P16" s="375">
        <f t="shared" si="7"/>
        <v>40.120625889046948</v>
      </c>
      <c r="Q16" s="371">
        <f>CSP!$AK$56</f>
        <v>2.5447437692848918</v>
      </c>
      <c r="R16" s="375">
        <f t="shared" si="7"/>
        <v>97.103686030220501</v>
      </c>
      <c r="S16" s="260"/>
      <c r="T16" s="403" t="s">
        <v>113</v>
      </c>
      <c r="U16" s="369">
        <v>8</v>
      </c>
      <c r="V16" s="373">
        <v>1380</v>
      </c>
      <c r="W16" s="371">
        <f>CSP!$V$57</f>
        <v>9.5007246376811594</v>
      </c>
      <c r="X16" s="375">
        <f t="shared" ref="X16" si="14">247.104/W16</f>
        <v>26.008963465792085</v>
      </c>
      <c r="Y16" s="371">
        <f>CSP!$AJ$56</f>
        <v>3.9199950566284816</v>
      </c>
      <c r="Z16" s="375">
        <f t="shared" ref="Z16" si="15">247.104/Y16</f>
        <v>63.036814187344866</v>
      </c>
    </row>
    <row r="17" spans="1:26" ht="15" thickBot="1" x14ac:dyDescent="0.35">
      <c r="A17" s="332" t="s">
        <v>99</v>
      </c>
      <c r="B17" s="328">
        <v>9</v>
      </c>
      <c r="C17" s="338">
        <v>1358</v>
      </c>
      <c r="D17" s="361">
        <f>CSP!$Y$62</f>
        <v>8.945611721611721</v>
      </c>
      <c r="E17" s="361">
        <f>CSP!$AK$68</f>
        <v>2.8329200697994148</v>
      </c>
      <c r="F17" s="328">
        <v>14</v>
      </c>
      <c r="G17" s="337">
        <v>2358</v>
      </c>
      <c r="H17" s="364">
        <f>CSP!$V$62</f>
        <v>10.264270613107822</v>
      </c>
      <c r="I17" s="361">
        <f>CSP!$AJ$68</f>
        <v>3.2254110953943318</v>
      </c>
      <c r="L17" s="332" t="s">
        <v>99</v>
      </c>
      <c r="M17" s="328">
        <v>9</v>
      </c>
      <c r="N17" s="338">
        <v>1358</v>
      </c>
      <c r="O17" s="361">
        <f>CSP!$Y$62</f>
        <v>8.945611721611721</v>
      </c>
      <c r="P17" s="364">
        <f t="shared" si="7"/>
        <v>27.622929285318854</v>
      </c>
      <c r="Q17" s="361">
        <f>CSP!$AK$68</f>
        <v>2.8329200697994148</v>
      </c>
      <c r="R17" s="364">
        <f t="shared" si="7"/>
        <v>87.225899041160119</v>
      </c>
      <c r="S17" s="260"/>
      <c r="T17" s="332" t="s">
        <v>99</v>
      </c>
      <c r="U17" s="328">
        <v>14</v>
      </c>
      <c r="V17" s="337">
        <v>2358</v>
      </c>
      <c r="W17" s="364">
        <f>CSP!$V$62</f>
        <v>10.264270613107822</v>
      </c>
      <c r="X17" s="364">
        <f t="shared" ref="X17" si="16">247.104/W17</f>
        <v>24.07418990731205</v>
      </c>
      <c r="Y17" s="361">
        <f>CSP!$AJ$68</f>
        <v>3.2254110953943318</v>
      </c>
      <c r="Z17" s="364">
        <f t="shared" ref="Z17" si="17">247.104/Y17</f>
        <v>76.611629554089319</v>
      </c>
    </row>
    <row r="18" spans="1:26" ht="15" thickBot="1" x14ac:dyDescent="0.35">
      <c r="A18" s="333" t="s">
        <v>140</v>
      </c>
      <c r="B18" s="369">
        <v>1</v>
      </c>
      <c r="C18" s="369">
        <v>2</v>
      </c>
      <c r="D18" s="371">
        <f>CSP!$Y$65</f>
        <v>2.82</v>
      </c>
      <c r="E18" s="371">
        <f>CSP!$AK$62</f>
        <v>1.5067214738086929</v>
      </c>
      <c r="F18" s="369">
        <v>1</v>
      </c>
      <c r="G18" s="374">
        <v>2</v>
      </c>
      <c r="H18" s="375">
        <f>CSP!$V$65</f>
        <v>10</v>
      </c>
      <c r="I18" s="371">
        <f>CSP!$AJ$62</f>
        <v>5.3429839496762153</v>
      </c>
      <c r="L18" s="403" t="s">
        <v>140</v>
      </c>
      <c r="M18" s="369">
        <v>1</v>
      </c>
      <c r="N18" s="369">
        <v>2</v>
      </c>
      <c r="O18" s="371">
        <f>CSP!$Y$65</f>
        <v>2.82</v>
      </c>
      <c r="P18" s="375">
        <f t="shared" si="7"/>
        <v>87.625531914893628</v>
      </c>
      <c r="Q18" s="371">
        <f>CSP!$AK$62</f>
        <v>1.5067214738086929</v>
      </c>
      <c r="R18" s="375">
        <f t="shared" si="7"/>
        <v>164.0011138723404</v>
      </c>
      <c r="S18" s="260"/>
      <c r="T18" s="403" t="s">
        <v>140</v>
      </c>
      <c r="U18" s="369">
        <v>1</v>
      </c>
      <c r="V18" s="374">
        <v>2</v>
      </c>
      <c r="W18" s="375">
        <f>CSP!$V$65</f>
        <v>10</v>
      </c>
      <c r="X18" s="375">
        <f t="shared" ref="X18" si="18">247.104/W18</f>
        <v>24.7104</v>
      </c>
      <c r="Y18" s="371">
        <f>CSP!$AJ$62</f>
        <v>5.3429839496762153</v>
      </c>
      <c r="Z18" s="375">
        <f t="shared" ref="Z18" si="19">247.104/Y18</f>
        <v>46.248314112000003</v>
      </c>
    </row>
    <row r="19" spans="1:26" ht="15" thickBot="1" x14ac:dyDescent="0.35">
      <c r="A19" s="339" t="s">
        <v>355</v>
      </c>
      <c r="B19" s="340">
        <v>1</v>
      </c>
      <c r="C19" s="340">
        <v>8</v>
      </c>
      <c r="D19" s="363">
        <f>CSP!$Y$67</f>
        <v>1.9866666666666668</v>
      </c>
      <c r="E19" s="363">
        <f>CSP!$AL$12</f>
        <v>1.7090127136782036</v>
      </c>
      <c r="F19" s="340">
        <v>1</v>
      </c>
      <c r="G19" s="341">
        <v>8</v>
      </c>
      <c r="H19" s="363">
        <f>CSP!$V$67</f>
        <v>4.666666666666667</v>
      </c>
      <c r="I19" s="363">
        <f>CSP!$AK$12</f>
        <v>4.0144593945461162</v>
      </c>
      <c r="L19" s="339" t="s">
        <v>355</v>
      </c>
      <c r="M19" s="340">
        <v>1</v>
      </c>
      <c r="N19" s="340">
        <v>8</v>
      </c>
      <c r="O19" s="363">
        <f>CSP!$Y$67</f>
        <v>1.9866666666666668</v>
      </c>
      <c r="P19" s="409">
        <f t="shared" si="7"/>
        <v>124.38120805369127</v>
      </c>
      <c r="Q19" s="363">
        <f>CSP!$AL$12</f>
        <v>1.7090127136782036</v>
      </c>
      <c r="R19" s="409">
        <f t="shared" si="7"/>
        <v>144.58874297557048</v>
      </c>
      <c r="S19" s="260"/>
      <c r="T19" s="339" t="s">
        <v>355</v>
      </c>
      <c r="U19" s="340">
        <v>1</v>
      </c>
      <c r="V19" s="341">
        <v>8</v>
      </c>
      <c r="W19" s="363">
        <f>CSP!$V$67</f>
        <v>4.666666666666667</v>
      </c>
      <c r="X19" s="409">
        <f t="shared" ref="X19" si="20">247.104/W19</f>
        <v>52.950857142857146</v>
      </c>
      <c r="Y19" s="363">
        <f>CSP!$AK$12</f>
        <v>4.0144593945461162</v>
      </c>
      <c r="Z19" s="409">
        <f t="shared" ref="Z19" si="21">247.104/Y19</f>
        <v>61.553493438171429</v>
      </c>
    </row>
    <row r="20" spans="1:26" ht="15" thickTop="1" x14ac:dyDescent="0.3"/>
    <row r="21" spans="1:26" ht="15" thickBot="1" x14ac:dyDescent="0.35"/>
    <row r="22" spans="1:26" ht="15" thickBot="1" x14ac:dyDescent="0.35">
      <c r="A22" s="376" t="s">
        <v>65</v>
      </c>
      <c r="B22" s="482" t="s">
        <v>249</v>
      </c>
      <c r="C22" s="483"/>
      <c r="D22" s="482" t="s">
        <v>13</v>
      </c>
      <c r="E22" s="483"/>
    </row>
    <row r="23" spans="1:26" ht="53.4" thickBot="1" x14ac:dyDescent="0.35">
      <c r="A23" s="327"/>
      <c r="B23" s="329" t="s">
        <v>1118</v>
      </c>
      <c r="C23" s="329" t="s">
        <v>1119</v>
      </c>
      <c r="D23" s="329" t="s">
        <v>1118</v>
      </c>
      <c r="E23" s="329" t="s">
        <v>1119</v>
      </c>
    </row>
    <row r="24" spans="1:26" ht="15" thickBot="1" x14ac:dyDescent="0.35">
      <c r="A24" s="331" t="s">
        <v>1126</v>
      </c>
      <c r="B24" s="362">
        <f>D4</f>
        <v>5.937498353521975</v>
      </c>
      <c r="C24" s="362">
        <f>E4</f>
        <v>3.0621421635007522</v>
      </c>
      <c r="D24" s="362">
        <f>H4</f>
        <v>8.2629663379131877</v>
      </c>
      <c r="E24" s="362">
        <f>I4</f>
        <v>4.0596420649165514</v>
      </c>
      <c r="H24" t="s">
        <v>1173</v>
      </c>
    </row>
    <row r="25" spans="1:26" ht="15" thickBot="1" x14ac:dyDescent="0.35">
      <c r="A25" s="332" t="s">
        <v>138</v>
      </c>
      <c r="B25" s="362">
        <f>D6</f>
        <v>5.4891203975884473</v>
      </c>
      <c r="C25" s="362">
        <f>E6</f>
        <v>3.2331670711942553</v>
      </c>
      <c r="D25" s="361">
        <f>H6</f>
        <v>7.6387893428383045</v>
      </c>
      <c r="E25" s="361">
        <f>I6</f>
        <v>4.4289941380902258</v>
      </c>
      <c r="H25">
        <f>(H15*G15+H10*G10+H4*G4)/(G15+G10+G4)</f>
        <v>8.9252171115856669</v>
      </c>
    </row>
    <row r="26" spans="1:26" ht="15" thickBot="1" x14ac:dyDescent="0.35">
      <c r="A26" s="333" t="s">
        <v>1121</v>
      </c>
      <c r="B26" s="362">
        <f t="shared" ref="B26:C26" si="22">D7</f>
        <v>6.3296340120722956</v>
      </c>
      <c r="C26" s="362">
        <f t="shared" si="22"/>
        <v>2.8696312580571086</v>
      </c>
      <c r="D26" s="361">
        <f t="shared" ref="D26:E26" si="23">H7</f>
        <v>8.6549953577241894</v>
      </c>
      <c r="E26" s="361">
        <f t="shared" si="23"/>
        <v>3.7698746455017944</v>
      </c>
    </row>
    <row r="27" spans="1:26" ht="15" thickBot="1" x14ac:dyDescent="0.35">
      <c r="A27" s="332" t="s">
        <v>1122</v>
      </c>
      <c r="B27" s="362">
        <f t="shared" ref="B27:C27" si="24">D8</f>
        <v>9.3547367766734801</v>
      </c>
      <c r="C27" s="362">
        <f t="shared" si="24"/>
        <v>4.0968546208668268</v>
      </c>
      <c r="D27" s="364">
        <f t="shared" ref="D27:E27" si="25">H8</f>
        <v>12.683140789054736</v>
      </c>
      <c r="E27" s="361">
        <f t="shared" si="25"/>
        <v>5.4522414340607348</v>
      </c>
      <c r="H27" t="s">
        <v>345</v>
      </c>
    </row>
    <row r="28" spans="1:26" ht="15" thickBot="1" x14ac:dyDescent="0.35">
      <c r="A28" s="334" t="s">
        <v>1123</v>
      </c>
      <c r="B28" s="362">
        <f t="shared" ref="B28:C28" si="26">D9</f>
        <v>6.8696487615456849</v>
      </c>
      <c r="C28" s="362">
        <f t="shared" si="26"/>
        <v>2.3495261596216066</v>
      </c>
      <c r="D28" s="361">
        <f t="shared" ref="D28:E28" si="27">H9</f>
        <v>9.1004485598313369</v>
      </c>
      <c r="E28" s="361">
        <f t="shared" si="27"/>
        <v>3.0907447245125028</v>
      </c>
      <c r="H28">
        <f>(D15*C15+D10*C10+D4*C4)/(C15+C10+C4)</f>
        <v>7.3438715200404774</v>
      </c>
    </row>
    <row r="29" spans="1:26" ht="15.6" thickTop="1" thickBot="1" x14ac:dyDescent="0.35">
      <c r="A29" s="336" t="s">
        <v>1127</v>
      </c>
      <c r="B29" s="361">
        <f>D10</f>
        <v>7.2132899580301046</v>
      </c>
      <c r="C29" s="361">
        <f>E10</f>
        <v>3.0766163504446675</v>
      </c>
      <c r="D29" s="361">
        <f t="shared" ref="D29:E29" si="28">H10</f>
        <v>7.9227856594471149</v>
      </c>
      <c r="E29" s="361">
        <f t="shared" si="28"/>
        <v>3.4483942170600836</v>
      </c>
    </row>
    <row r="30" spans="1:26" ht="15" thickBot="1" x14ac:dyDescent="0.35">
      <c r="A30" s="333" t="s">
        <v>138</v>
      </c>
      <c r="B30" s="362">
        <f>D12</f>
        <v>5.7852150537634408</v>
      </c>
      <c r="C30" s="362">
        <f>E12</f>
        <v>2.7971077289721067</v>
      </c>
      <c r="D30" s="361">
        <f>H12</f>
        <v>7.5378576095002652</v>
      </c>
      <c r="E30" s="361">
        <f>I12</f>
        <v>3.6792717830148716</v>
      </c>
    </row>
    <row r="31" spans="1:26" ht="15" thickBot="1" x14ac:dyDescent="0.35">
      <c r="A31" s="332" t="s">
        <v>1121</v>
      </c>
      <c r="B31" s="362">
        <f t="shared" ref="B31:C31" si="29">D13</f>
        <v>8.9562942807542516</v>
      </c>
      <c r="C31" s="362">
        <f t="shared" si="29"/>
        <v>3.4611559440820727</v>
      </c>
      <c r="D31" s="361">
        <f t="shared" ref="D31:E31" si="30">H13</f>
        <v>8.3193810602977738</v>
      </c>
      <c r="E31" s="361">
        <f t="shared" si="30"/>
        <v>3.2660218027133072</v>
      </c>
    </row>
    <row r="32" spans="1:26" ht="15" thickBot="1" x14ac:dyDescent="0.35">
      <c r="A32" s="334" t="s">
        <v>1123</v>
      </c>
      <c r="B32" s="362">
        <f t="shared" ref="B32:C32" si="31">D14</f>
        <v>6.0546875</v>
      </c>
      <c r="C32" s="362">
        <f t="shared" si="31"/>
        <v>1.959991292074817</v>
      </c>
      <c r="D32" s="361">
        <f t="shared" ref="D32:E32" si="32">H14</f>
        <v>8.0918427239095916</v>
      </c>
      <c r="E32" s="361">
        <f t="shared" si="32"/>
        <v>2.773639480835715</v>
      </c>
    </row>
    <row r="33" spans="1:7" ht="15.6" thickTop="1" thickBot="1" x14ac:dyDescent="0.35">
      <c r="A33" s="336" t="s">
        <v>122</v>
      </c>
      <c r="B33" s="362">
        <f t="shared" ref="B33:C33" si="33">D15</f>
        <v>7.6635742811501597</v>
      </c>
      <c r="C33" s="362">
        <f t="shared" si="33"/>
        <v>2.698711674173893</v>
      </c>
      <c r="D33" s="364">
        <f t="shared" ref="D33:E33" si="34">H15</f>
        <v>9.9722962173681413</v>
      </c>
      <c r="E33" s="361">
        <f t="shared" si="34"/>
        <v>3.4831681779804229</v>
      </c>
    </row>
    <row r="34" spans="1:7" ht="15" thickBot="1" x14ac:dyDescent="0.35">
      <c r="A34" s="333" t="s">
        <v>113</v>
      </c>
      <c r="B34" s="362">
        <f t="shared" ref="B34:C34" si="35">D16</f>
        <v>6.1590265486725659</v>
      </c>
      <c r="C34" s="362">
        <f t="shared" si="35"/>
        <v>2.5447437692848918</v>
      </c>
      <c r="D34" s="361">
        <f t="shared" ref="D34:E34" si="36">H16</f>
        <v>9.5007246376811594</v>
      </c>
      <c r="E34" s="361">
        <f t="shared" si="36"/>
        <v>3.9199950566284816</v>
      </c>
    </row>
    <row r="35" spans="1:7" ht="15" thickBot="1" x14ac:dyDescent="0.35">
      <c r="A35" s="332" t="s">
        <v>99</v>
      </c>
      <c r="B35" s="362">
        <f t="shared" ref="B35:C35" si="37">D17</f>
        <v>8.945611721611721</v>
      </c>
      <c r="C35" s="362">
        <f t="shared" si="37"/>
        <v>2.8329200697994148</v>
      </c>
      <c r="D35" s="364">
        <f t="shared" ref="D35:E35" si="38">H17</f>
        <v>10.264270613107822</v>
      </c>
      <c r="E35" s="361">
        <f t="shared" si="38"/>
        <v>3.2254110953943318</v>
      </c>
    </row>
    <row r="36" spans="1:7" ht="15" thickBot="1" x14ac:dyDescent="0.35">
      <c r="A36" s="333" t="s">
        <v>140</v>
      </c>
      <c r="B36" s="362">
        <f t="shared" ref="B36:C36" si="39">D18</f>
        <v>2.82</v>
      </c>
      <c r="C36" s="362">
        <f t="shared" si="39"/>
        <v>1.5067214738086929</v>
      </c>
      <c r="D36" s="364">
        <f t="shared" ref="D36:E36" si="40">H18</f>
        <v>10</v>
      </c>
      <c r="E36" s="361">
        <f t="shared" si="40"/>
        <v>5.3429839496762153</v>
      </c>
    </row>
    <row r="37" spans="1:7" ht="15" thickBot="1" x14ac:dyDescent="0.35">
      <c r="A37" s="339" t="s">
        <v>355</v>
      </c>
      <c r="B37" s="362">
        <f t="shared" ref="B37:C37" si="41">D19</f>
        <v>1.9866666666666668</v>
      </c>
      <c r="C37" s="362">
        <f t="shared" si="41"/>
        <v>1.7090127136782036</v>
      </c>
      <c r="D37" s="361">
        <f t="shared" ref="D37:E37" si="42">H19</f>
        <v>4.666666666666667</v>
      </c>
      <c r="E37" s="361">
        <f t="shared" si="42"/>
        <v>4.0144593945461162</v>
      </c>
    </row>
    <row r="38" spans="1:7" ht="15" thickTop="1" x14ac:dyDescent="0.3"/>
    <row r="39" spans="1:7" ht="15" thickBot="1" x14ac:dyDescent="0.35"/>
    <row r="40" spans="1:7" ht="15" thickBot="1" x14ac:dyDescent="0.35">
      <c r="A40" s="484"/>
      <c r="B40" s="472" t="s">
        <v>1128</v>
      </c>
      <c r="C40" s="473"/>
      <c r="D40" s="472" t="s">
        <v>1127</v>
      </c>
      <c r="E40" s="473"/>
      <c r="F40" s="472" t="s">
        <v>122</v>
      </c>
      <c r="G40" s="473"/>
    </row>
    <row r="41" spans="1:7" ht="15" thickBot="1" x14ac:dyDescent="0.35">
      <c r="A41" s="485"/>
      <c r="B41" s="377" t="s">
        <v>922</v>
      </c>
      <c r="C41" s="377" t="s">
        <v>1129</v>
      </c>
      <c r="D41" s="377" t="s">
        <v>922</v>
      </c>
      <c r="E41" s="377" t="s">
        <v>1129</v>
      </c>
      <c r="F41" s="377" t="s">
        <v>922</v>
      </c>
      <c r="G41" s="377" t="s">
        <v>1129</v>
      </c>
    </row>
    <row r="42" spans="1:7" ht="15" thickBot="1" x14ac:dyDescent="0.35">
      <c r="A42" s="378" t="s">
        <v>60</v>
      </c>
      <c r="B42" s="379">
        <f>Data!D156</f>
        <v>103</v>
      </c>
      <c r="C42" s="401">
        <f>Data!E156</f>
        <v>412.7275710883294</v>
      </c>
      <c r="D42" s="379">
        <f>Data!D278</f>
        <v>10</v>
      </c>
      <c r="E42" s="379">
        <f>Data!E278</f>
        <v>256</v>
      </c>
      <c r="F42" s="379">
        <f>COUNTIF(CSP!$AB$3:$AB$27,"=completed")+1</f>
        <v>7</v>
      </c>
      <c r="G42" s="379">
        <f>SUM(CSP!D3,CSP!D8,CSP!D9,CSP!D12,CSP!D13,CSP!D14,CSP!D20)/1000</f>
        <v>517</v>
      </c>
    </row>
    <row r="43" spans="1:7" ht="15" thickBot="1" x14ac:dyDescent="0.35">
      <c r="A43" s="378" t="s">
        <v>1130</v>
      </c>
      <c r="B43" s="379">
        <f>Data!D154</f>
        <v>17</v>
      </c>
      <c r="C43" s="401">
        <f>Data!E154</f>
        <v>165.21364855248811</v>
      </c>
      <c r="D43" s="379">
        <f>Data!D276</f>
        <v>19</v>
      </c>
      <c r="E43" s="401">
        <f>Data!E276</f>
        <v>1811.6478584401714</v>
      </c>
      <c r="F43" s="379">
        <f>COUNTIF(CSP!$AB$3:$AB$27,"=Construction")</f>
        <v>7</v>
      </c>
      <c r="G43" s="380">
        <f>SUM(CSP!D27,CSP!D19,CSP!D18,CSP!D15,CSP!D11,CSP!D7,CSP!D6)/1000</f>
        <v>1617</v>
      </c>
    </row>
    <row r="44" spans="1:7" ht="15" thickBot="1" x14ac:dyDescent="0.35">
      <c r="A44" s="378" t="s">
        <v>1070</v>
      </c>
      <c r="B44" s="379">
        <f>Data!D152</f>
        <v>6</v>
      </c>
      <c r="C44" s="401">
        <f>Data!E152</f>
        <v>69.985713696640545</v>
      </c>
      <c r="D44" s="379">
        <f>Data!D274</f>
        <v>36</v>
      </c>
      <c r="E44" s="401">
        <f>Data!E274</f>
        <v>6376.2279161081724</v>
      </c>
      <c r="F44" s="379">
        <f>COUNTIF(CSP!$AB$3:$AB$27,"=proposed")+1</f>
        <v>10</v>
      </c>
      <c r="G44" s="380">
        <f>SUM(CSP!D21:D26,CSP!D16:D17,CSP!D4:D5)/1000</f>
        <v>1620</v>
      </c>
    </row>
    <row r="45" spans="1:7" ht="15" thickBot="1" x14ac:dyDescent="0.35">
      <c r="A45" s="381" t="s">
        <v>246</v>
      </c>
      <c r="B45" s="402">
        <f t="shared" ref="B45:G45" si="43">SUM(B42:B44)</f>
        <v>126</v>
      </c>
      <c r="C45" s="402">
        <f t="shared" si="43"/>
        <v>647.92693333745808</v>
      </c>
      <c r="D45" s="402">
        <f t="shared" si="43"/>
        <v>65</v>
      </c>
      <c r="E45" s="402">
        <f t="shared" si="43"/>
        <v>8443.8757745483435</v>
      </c>
      <c r="F45" s="402">
        <f t="shared" si="43"/>
        <v>24</v>
      </c>
      <c r="G45" s="402">
        <f t="shared" si="43"/>
        <v>3754</v>
      </c>
    </row>
    <row r="47" spans="1:7" ht="15" thickBot="1" x14ac:dyDescent="0.35"/>
    <row r="48" spans="1:7" ht="15" thickBot="1" x14ac:dyDescent="0.35">
      <c r="A48" s="382"/>
      <c r="B48" s="474" t="s">
        <v>13</v>
      </c>
      <c r="C48" s="475"/>
      <c r="D48" s="475"/>
      <c r="E48" s="476"/>
    </row>
    <row r="49" spans="1:5" ht="52.8" x14ac:dyDescent="0.3">
      <c r="A49" s="383" t="s">
        <v>1131</v>
      </c>
      <c r="B49" s="480" t="s">
        <v>922</v>
      </c>
      <c r="C49" s="480" t="s">
        <v>1129</v>
      </c>
      <c r="D49" s="387" t="s">
        <v>1132</v>
      </c>
      <c r="E49" s="387" t="s">
        <v>1134</v>
      </c>
    </row>
    <row r="50" spans="1:5" ht="15" thickBot="1" x14ac:dyDescent="0.35">
      <c r="A50" s="384"/>
      <c r="B50" s="481"/>
      <c r="C50" s="481"/>
      <c r="D50" s="386" t="s">
        <v>1133</v>
      </c>
      <c r="E50" s="388" t="s">
        <v>1135</v>
      </c>
    </row>
    <row r="51" spans="1:5" ht="15" thickBot="1" x14ac:dyDescent="0.35">
      <c r="A51" s="477" t="s">
        <v>1136</v>
      </c>
      <c r="B51" s="478"/>
      <c r="C51" s="478"/>
      <c r="D51" s="478"/>
      <c r="E51" s="479"/>
    </row>
    <row r="52" spans="1:5" ht="15" thickBot="1" x14ac:dyDescent="0.35">
      <c r="A52" s="389" t="s">
        <v>138</v>
      </c>
      <c r="B52" s="390">
        <f>F6</f>
        <v>52</v>
      </c>
      <c r="C52" s="405">
        <f>G6</f>
        <v>231.37918627485601</v>
      </c>
      <c r="D52" s="404">
        <f t="shared" ref="D52:E55" si="44">H6</f>
        <v>7.6387893428383045</v>
      </c>
      <c r="E52" s="404">
        <f t="shared" si="44"/>
        <v>4.4289941380902258</v>
      </c>
    </row>
    <row r="53" spans="1:5" ht="15" thickBot="1" x14ac:dyDescent="0.35">
      <c r="A53" s="389" t="s">
        <v>1121</v>
      </c>
      <c r="B53" s="390">
        <f t="shared" ref="B53:C55" si="45">F7</f>
        <v>55</v>
      </c>
      <c r="C53" s="405">
        <f t="shared" si="45"/>
        <v>306.45550810525617</v>
      </c>
      <c r="D53" s="404">
        <f t="shared" si="44"/>
        <v>8.6549953577241894</v>
      </c>
      <c r="E53" s="404">
        <f t="shared" si="44"/>
        <v>3.7698746455017944</v>
      </c>
    </row>
    <row r="54" spans="1:5" ht="15" thickBot="1" x14ac:dyDescent="0.35">
      <c r="A54" s="389" t="s">
        <v>1122</v>
      </c>
      <c r="B54" s="390">
        <f t="shared" si="45"/>
        <v>4</v>
      </c>
      <c r="C54" s="405">
        <f t="shared" si="45"/>
        <v>4.606115706798362</v>
      </c>
      <c r="D54" s="405">
        <f t="shared" si="44"/>
        <v>12.683140789054736</v>
      </c>
      <c r="E54" s="404">
        <f t="shared" si="44"/>
        <v>5.4522414340607348</v>
      </c>
    </row>
    <row r="55" spans="1:5" ht="15" thickBot="1" x14ac:dyDescent="0.35">
      <c r="A55" s="389" t="s">
        <v>1123</v>
      </c>
      <c r="B55" s="390">
        <f t="shared" si="45"/>
        <v>4</v>
      </c>
      <c r="C55" s="405">
        <f t="shared" si="45"/>
        <v>7.0804202206483549</v>
      </c>
      <c r="D55" s="404">
        <f t="shared" si="44"/>
        <v>9.1004485598313369</v>
      </c>
      <c r="E55" s="404">
        <f t="shared" si="44"/>
        <v>3.0907447245125028</v>
      </c>
    </row>
    <row r="56" spans="1:5" ht="15" thickBot="1" x14ac:dyDescent="0.35">
      <c r="A56" s="477" t="s">
        <v>1137</v>
      </c>
      <c r="B56" s="478"/>
      <c r="C56" s="478"/>
      <c r="D56" s="478"/>
      <c r="E56" s="479"/>
    </row>
    <row r="57" spans="1:5" ht="15" thickBot="1" x14ac:dyDescent="0.35">
      <c r="A57" s="389" t="s">
        <v>138</v>
      </c>
      <c r="B57" s="390">
        <f>F12</f>
        <v>14</v>
      </c>
      <c r="C57" s="405">
        <f t="shared" ref="C57:E59" si="46">G12</f>
        <v>1755.8039280709413</v>
      </c>
      <c r="D57" s="404">
        <f t="shared" si="46"/>
        <v>7.5378576095002652</v>
      </c>
      <c r="E57" s="404">
        <f t="shared" si="46"/>
        <v>3.6792717830148716</v>
      </c>
    </row>
    <row r="58" spans="1:5" ht="15" thickBot="1" x14ac:dyDescent="0.35">
      <c r="A58" s="389" t="s">
        <v>1121</v>
      </c>
      <c r="B58" s="390">
        <f t="shared" ref="B58:B59" si="47">F13</f>
        <v>16</v>
      </c>
      <c r="C58" s="405">
        <f t="shared" si="46"/>
        <v>1636.6157411609968</v>
      </c>
      <c r="D58" s="404">
        <f t="shared" si="46"/>
        <v>8.3193810602977738</v>
      </c>
      <c r="E58" s="404">
        <f t="shared" si="46"/>
        <v>3.2660218027133072</v>
      </c>
    </row>
    <row r="59" spans="1:5" ht="15" thickBot="1" x14ac:dyDescent="0.35">
      <c r="A59" s="389" t="s">
        <v>1123</v>
      </c>
      <c r="B59" s="390">
        <f t="shared" si="47"/>
        <v>2</v>
      </c>
      <c r="C59" s="405">
        <f t="shared" si="46"/>
        <v>158.43115638073093</v>
      </c>
      <c r="D59" s="404">
        <f t="shared" si="46"/>
        <v>8.0918427239095916</v>
      </c>
      <c r="E59" s="404">
        <f t="shared" si="46"/>
        <v>2.773639480835715</v>
      </c>
    </row>
    <row r="61" spans="1:5" ht="15" thickBot="1" x14ac:dyDescent="0.35"/>
    <row r="62" spans="1:5" ht="15" thickBot="1" x14ac:dyDescent="0.35">
      <c r="A62" s="382"/>
      <c r="B62" s="474" t="s">
        <v>249</v>
      </c>
      <c r="C62" s="475"/>
      <c r="D62" s="475"/>
      <c r="E62" s="476"/>
    </row>
    <row r="63" spans="1:5" ht="52.8" x14ac:dyDescent="0.3">
      <c r="A63" s="383" t="s">
        <v>1131</v>
      </c>
      <c r="B63" s="480" t="s">
        <v>922</v>
      </c>
      <c r="C63" s="480" t="s">
        <v>1129</v>
      </c>
      <c r="D63" s="385" t="s">
        <v>1132</v>
      </c>
      <c r="E63" s="387" t="s">
        <v>1134</v>
      </c>
    </row>
    <row r="64" spans="1:5" ht="15" thickBot="1" x14ac:dyDescent="0.35">
      <c r="A64" s="384"/>
      <c r="B64" s="481"/>
      <c r="C64" s="481"/>
      <c r="D64" s="386" t="s">
        <v>1133</v>
      </c>
      <c r="E64" s="388" t="s">
        <v>1135</v>
      </c>
    </row>
    <row r="65" spans="1:27" ht="15" thickBot="1" x14ac:dyDescent="0.35">
      <c r="A65" s="477" t="s">
        <v>1136</v>
      </c>
      <c r="B65" s="478"/>
      <c r="C65" s="478"/>
      <c r="D65" s="478"/>
      <c r="E65" s="479"/>
    </row>
    <row r="66" spans="1:27" ht="15" thickBot="1" x14ac:dyDescent="0.35">
      <c r="A66" s="389" t="s">
        <v>138</v>
      </c>
      <c r="B66" s="390">
        <f>B6</f>
        <v>43</v>
      </c>
      <c r="C66" s="405">
        <f t="shared" ref="C66:E66" si="48">C6</f>
        <v>193.78885537177376</v>
      </c>
      <c r="D66" s="404">
        <f t="shared" si="48"/>
        <v>5.4891203975884473</v>
      </c>
      <c r="E66" s="404">
        <f t="shared" si="48"/>
        <v>3.2331670711942553</v>
      </c>
    </row>
    <row r="67" spans="1:27" ht="15" thickBot="1" x14ac:dyDescent="0.35">
      <c r="A67" s="389" t="s">
        <v>1121</v>
      </c>
      <c r="B67" s="390">
        <f t="shared" ref="B67:E69" si="49">B7</f>
        <v>41</v>
      </c>
      <c r="C67" s="405">
        <f t="shared" si="49"/>
        <v>168.3024639289101</v>
      </c>
      <c r="D67" s="404">
        <f t="shared" si="49"/>
        <v>6.3296340120722956</v>
      </c>
      <c r="E67" s="404">
        <f t="shared" si="49"/>
        <v>2.8696312580571086</v>
      </c>
    </row>
    <row r="68" spans="1:27" ht="15" thickBot="1" x14ac:dyDescent="0.35">
      <c r="A68" s="389" t="s">
        <v>1122</v>
      </c>
      <c r="B68" s="390">
        <f t="shared" si="49"/>
        <v>4</v>
      </c>
      <c r="C68" s="405">
        <f t="shared" si="49"/>
        <v>4.606115706798362</v>
      </c>
      <c r="D68" s="404">
        <f t="shared" si="49"/>
        <v>9.3547367766734801</v>
      </c>
      <c r="E68" s="404">
        <f t="shared" si="49"/>
        <v>4.0968546208668268</v>
      </c>
    </row>
    <row r="69" spans="1:27" ht="15" thickBot="1" x14ac:dyDescent="0.35">
      <c r="A69" s="389" t="s">
        <v>1123</v>
      </c>
      <c r="B69" s="390">
        <f t="shared" si="49"/>
        <v>4</v>
      </c>
      <c r="C69" s="405">
        <f t="shared" si="49"/>
        <v>7.0804202206483549</v>
      </c>
      <c r="D69" s="404">
        <f t="shared" si="49"/>
        <v>6.8696487615456849</v>
      </c>
      <c r="E69" s="404">
        <f t="shared" si="49"/>
        <v>2.3495261596216066</v>
      </c>
    </row>
    <row r="70" spans="1:27" ht="15" thickBot="1" x14ac:dyDescent="0.35">
      <c r="A70" s="477" t="s">
        <v>1137</v>
      </c>
      <c r="B70" s="478"/>
      <c r="C70" s="478"/>
      <c r="D70" s="478"/>
      <c r="E70" s="479"/>
    </row>
    <row r="71" spans="1:27" ht="15" thickBot="1" x14ac:dyDescent="0.35">
      <c r="A71" s="389" t="s">
        <v>138</v>
      </c>
      <c r="B71" s="390">
        <f>B12</f>
        <v>7</v>
      </c>
      <c r="C71" s="405">
        <f t="shared" ref="C71:E71" si="50">C12</f>
        <v>744</v>
      </c>
      <c r="D71" s="404">
        <f t="shared" si="50"/>
        <v>5.7852150537634408</v>
      </c>
      <c r="E71" s="404">
        <f t="shared" si="50"/>
        <v>2.7971077289721067</v>
      </c>
    </row>
    <row r="72" spans="1:27" ht="15" thickBot="1" x14ac:dyDescent="0.35">
      <c r="A72" s="389" t="s">
        <v>1121</v>
      </c>
      <c r="B72" s="390">
        <f t="shared" ref="B72:E73" si="51">B13</f>
        <v>7</v>
      </c>
      <c r="C72" s="405">
        <f t="shared" si="51"/>
        <v>629.9926982217055</v>
      </c>
      <c r="D72" s="404">
        <f t="shared" si="51"/>
        <v>8.9562942807542516</v>
      </c>
      <c r="E72" s="404">
        <f t="shared" si="51"/>
        <v>3.4611559440820727</v>
      </c>
    </row>
    <row r="73" spans="1:27" ht="15" thickBot="1" x14ac:dyDescent="0.35">
      <c r="A73" s="389" t="s">
        <v>1123</v>
      </c>
      <c r="B73" s="390">
        <f t="shared" si="51"/>
        <v>1</v>
      </c>
      <c r="C73" s="405">
        <f t="shared" si="51"/>
        <v>30.72</v>
      </c>
      <c r="D73" s="404">
        <f t="shared" si="51"/>
        <v>6.0546875</v>
      </c>
      <c r="E73" s="404">
        <f t="shared" si="51"/>
        <v>1.959991292074817</v>
      </c>
    </row>
    <row r="76" spans="1:27" ht="15" thickBot="1" x14ac:dyDescent="0.35"/>
    <row r="77" spans="1:27" ht="15" thickBot="1" x14ac:dyDescent="0.35">
      <c r="A77" s="391"/>
      <c r="B77" s="450" t="s">
        <v>1138</v>
      </c>
      <c r="C77" s="452"/>
      <c r="D77" s="448" t="s">
        <v>1139</v>
      </c>
      <c r="E77" s="450" t="s">
        <v>1140</v>
      </c>
      <c r="F77" s="452"/>
      <c r="G77" s="448" t="s">
        <v>1141</v>
      </c>
      <c r="I77" s="448" t="s">
        <v>312</v>
      </c>
      <c r="J77" s="448" t="s">
        <v>1172</v>
      </c>
      <c r="K77" s="450" t="s">
        <v>1138</v>
      </c>
      <c r="L77" s="451"/>
      <c r="M77" s="452"/>
      <c r="N77" s="448" t="s">
        <v>1162</v>
      </c>
      <c r="O77" s="448" t="s">
        <v>1163</v>
      </c>
      <c r="P77" s="450" t="s">
        <v>1140</v>
      </c>
      <c r="Q77" s="451"/>
      <c r="R77" s="452"/>
      <c r="S77" s="448" t="s">
        <v>1164</v>
      </c>
      <c r="T77" s="448" t="s">
        <v>1165</v>
      </c>
      <c r="X77"/>
      <c r="Y77" s="260"/>
      <c r="Z77"/>
      <c r="AA77" s="260"/>
    </row>
    <row r="78" spans="1:27" ht="15" thickBot="1" x14ac:dyDescent="0.35">
      <c r="A78" s="392" t="s">
        <v>312</v>
      </c>
      <c r="B78" s="393" t="s">
        <v>138</v>
      </c>
      <c r="C78" s="393" t="s">
        <v>1121</v>
      </c>
      <c r="D78" s="449"/>
      <c r="E78" s="393" t="s">
        <v>138</v>
      </c>
      <c r="F78" s="393" t="s">
        <v>1121</v>
      </c>
      <c r="G78" s="449"/>
      <c r="I78" s="449"/>
      <c r="J78" s="449"/>
      <c r="K78" s="393" t="s">
        <v>138</v>
      </c>
      <c r="L78" s="393" t="s">
        <v>1121</v>
      </c>
      <c r="M78" s="393" t="s">
        <v>1150</v>
      </c>
      <c r="N78" s="449"/>
      <c r="O78" s="449"/>
      <c r="P78" s="393" t="s">
        <v>138</v>
      </c>
      <c r="Q78" s="393" t="s">
        <v>1121</v>
      </c>
      <c r="R78" s="393" t="s">
        <v>1150</v>
      </c>
      <c r="S78" s="449"/>
      <c r="T78" s="449"/>
      <c r="X78"/>
      <c r="Y78" s="260"/>
      <c r="Z78"/>
      <c r="AA78" s="260"/>
    </row>
    <row r="79" spans="1:27" ht="15" thickBot="1" x14ac:dyDescent="0.35">
      <c r="A79" s="394" t="s">
        <v>1142</v>
      </c>
      <c r="B79" s="395">
        <v>1551</v>
      </c>
      <c r="C79" s="395">
        <v>1828</v>
      </c>
      <c r="D79" s="396">
        <v>0.17899999999999999</v>
      </c>
      <c r="E79" s="379">
        <v>4.9400000000000004</v>
      </c>
      <c r="F79" s="379">
        <v>4.72</v>
      </c>
      <c r="G79" s="396">
        <v>-4.3999999999999997E-2</v>
      </c>
      <c r="I79" s="394" t="s">
        <v>1166</v>
      </c>
      <c r="J79" s="395">
        <v>1883</v>
      </c>
      <c r="K79" s="395">
        <v>1551</v>
      </c>
      <c r="L79" s="395">
        <v>1828</v>
      </c>
      <c r="M79" s="395">
        <v>1951</v>
      </c>
      <c r="N79" s="419">
        <v>0.17899999999999999</v>
      </c>
      <c r="O79" s="419">
        <v>0.25800000000000001</v>
      </c>
      <c r="P79" s="379">
        <v>4.9400000000000004</v>
      </c>
      <c r="Q79" s="379">
        <v>4.72</v>
      </c>
      <c r="R79" s="379">
        <v>5.44</v>
      </c>
      <c r="S79" s="396">
        <v>-4.3999999999999997E-2</v>
      </c>
      <c r="T79" s="396">
        <v>9.2999999999999999E-2</v>
      </c>
      <c r="X79"/>
      <c r="Y79" s="260"/>
      <c r="Z79"/>
      <c r="AA79" s="260"/>
    </row>
    <row r="80" spans="1:27" ht="15" thickBot="1" x14ac:dyDescent="0.35">
      <c r="A80" s="394" t="s">
        <v>1143</v>
      </c>
      <c r="B80" s="395">
        <v>1607</v>
      </c>
      <c r="C80" s="395">
        <v>1864</v>
      </c>
      <c r="D80" s="396">
        <v>0.16</v>
      </c>
      <c r="E80" s="379">
        <v>4.7699999999999996</v>
      </c>
      <c r="F80" s="379">
        <v>4.6500000000000004</v>
      </c>
      <c r="G80" s="396">
        <v>-2.7E-2</v>
      </c>
      <c r="I80" s="394" t="s">
        <v>1167</v>
      </c>
      <c r="J80" s="395">
        <v>1965</v>
      </c>
      <c r="K80" s="395">
        <v>1607</v>
      </c>
      <c r="L80" s="395">
        <v>1864</v>
      </c>
      <c r="M80" s="395">
        <v>1974</v>
      </c>
      <c r="N80" s="419">
        <v>0.16</v>
      </c>
      <c r="O80" s="419">
        <v>0.22800000000000001</v>
      </c>
      <c r="P80" s="379">
        <v>4.7699999999999996</v>
      </c>
      <c r="Q80" s="379">
        <v>4.6500000000000004</v>
      </c>
      <c r="R80" s="379">
        <v>5.39</v>
      </c>
      <c r="S80" s="396">
        <v>-2.7E-2</v>
      </c>
      <c r="T80" s="396">
        <v>0.114</v>
      </c>
      <c r="X80"/>
      <c r="Y80" s="260"/>
      <c r="Z80"/>
      <c r="AA80" s="260"/>
    </row>
    <row r="81" spans="1:27" ht="15" thickBot="1" x14ac:dyDescent="0.35">
      <c r="A81" s="394" t="s">
        <v>1144</v>
      </c>
      <c r="B81" s="395">
        <v>1813</v>
      </c>
      <c r="C81" s="395">
        <v>2200</v>
      </c>
      <c r="D81" s="396">
        <v>0.21299999999999999</v>
      </c>
      <c r="E81" s="379">
        <v>4.2300000000000004</v>
      </c>
      <c r="F81" s="379">
        <v>3.93</v>
      </c>
      <c r="G81" s="396">
        <v>-7.4999999999999997E-2</v>
      </c>
      <c r="I81" s="394" t="s">
        <v>1168</v>
      </c>
      <c r="J81" s="395">
        <v>2530</v>
      </c>
      <c r="K81" s="395">
        <v>1813</v>
      </c>
      <c r="L81" s="395">
        <v>2200</v>
      </c>
      <c r="M81" s="395">
        <v>2606</v>
      </c>
      <c r="N81" s="419">
        <v>0.21299999999999999</v>
      </c>
      <c r="O81" s="419">
        <v>0.437</v>
      </c>
      <c r="P81" s="379">
        <v>4.2300000000000004</v>
      </c>
      <c r="Q81" s="379">
        <v>3.93</v>
      </c>
      <c r="R81" s="379">
        <v>4.08</v>
      </c>
      <c r="S81" s="396">
        <v>-7.4999999999999997E-2</v>
      </c>
      <c r="T81" s="396">
        <v>-3.5999999999999997E-2</v>
      </c>
      <c r="X81"/>
      <c r="Y81" s="260"/>
      <c r="Z81"/>
      <c r="AA81" s="260"/>
    </row>
    <row r="82" spans="1:27" ht="15" thickBot="1" x14ac:dyDescent="0.35">
      <c r="A82" s="394" t="s">
        <v>1145</v>
      </c>
      <c r="B82" s="395">
        <v>1733</v>
      </c>
      <c r="C82" s="395">
        <v>2113</v>
      </c>
      <c r="D82" s="396">
        <v>0.219</v>
      </c>
      <c r="E82" s="379">
        <v>4.42</v>
      </c>
      <c r="F82" s="379">
        <v>4.0999999999999996</v>
      </c>
      <c r="G82" s="396">
        <v>-0.08</v>
      </c>
      <c r="I82" s="394" t="s">
        <v>1169</v>
      </c>
      <c r="J82" s="395">
        <v>2519</v>
      </c>
      <c r="K82" s="395">
        <v>1733</v>
      </c>
      <c r="L82" s="395">
        <v>2113</v>
      </c>
      <c r="M82" s="395">
        <v>2419</v>
      </c>
      <c r="N82" s="419">
        <v>0.219</v>
      </c>
      <c r="O82" s="419">
        <v>0.39600000000000002</v>
      </c>
      <c r="P82" s="379">
        <v>4.42</v>
      </c>
      <c r="Q82" s="379">
        <v>4.0999999999999996</v>
      </c>
      <c r="R82" s="379">
        <v>4.4000000000000004</v>
      </c>
      <c r="S82" s="396">
        <v>-0.08</v>
      </c>
      <c r="T82" s="396">
        <v>-6.0000000000000001E-3</v>
      </c>
      <c r="X82"/>
      <c r="Y82" s="260"/>
      <c r="Z82"/>
      <c r="AA82" s="260"/>
    </row>
    <row r="83" spans="1:27" ht="15" thickBot="1" x14ac:dyDescent="0.35">
      <c r="A83" s="394" t="s">
        <v>1146</v>
      </c>
      <c r="B83" s="395">
        <v>1380</v>
      </c>
      <c r="C83" s="395">
        <v>1634</v>
      </c>
      <c r="D83" s="396">
        <v>0.184</v>
      </c>
      <c r="E83" s="379">
        <v>5.56</v>
      </c>
      <c r="F83" s="379">
        <v>5.29</v>
      </c>
      <c r="G83" s="396">
        <v>-4.9000000000000002E-2</v>
      </c>
      <c r="I83" s="394" t="s">
        <v>1170</v>
      </c>
      <c r="J83" s="395">
        <v>1507</v>
      </c>
      <c r="K83" s="395">
        <v>1380</v>
      </c>
      <c r="L83" s="395">
        <v>1634</v>
      </c>
      <c r="M83" s="395">
        <v>1504</v>
      </c>
      <c r="N83" s="419">
        <v>0.184</v>
      </c>
      <c r="O83" s="419">
        <v>0.09</v>
      </c>
      <c r="P83" s="379">
        <v>5.56</v>
      </c>
      <c r="Q83" s="379">
        <v>5.29</v>
      </c>
      <c r="R83" s="379">
        <v>7.07</v>
      </c>
      <c r="S83" s="396">
        <v>-4.9000000000000002E-2</v>
      </c>
      <c r="T83" s="396">
        <v>0.214</v>
      </c>
      <c r="X83"/>
      <c r="Y83" s="260"/>
      <c r="Z83"/>
      <c r="AA83" s="260"/>
    </row>
    <row r="84" spans="1:27" ht="15" thickBot="1" x14ac:dyDescent="0.35">
      <c r="A84" s="394" t="s">
        <v>1147</v>
      </c>
      <c r="B84" s="395">
        <v>1268</v>
      </c>
      <c r="C84" s="395">
        <v>1422</v>
      </c>
      <c r="D84" s="396">
        <v>0.121</v>
      </c>
      <c r="E84" s="379">
        <v>6.03</v>
      </c>
      <c r="F84" s="379">
        <v>6.08</v>
      </c>
      <c r="G84" s="396">
        <v>7.0000000000000001E-3</v>
      </c>
      <c r="I84" s="394" t="s">
        <v>1171</v>
      </c>
      <c r="J84" s="395">
        <v>1263</v>
      </c>
      <c r="K84" s="395">
        <v>1268</v>
      </c>
      <c r="L84" s="395">
        <v>1422</v>
      </c>
      <c r="M84" s="395">
        <v>1321</v>
      </c>
      <c r="N84" s="419">
        <v>0.121</v>
      </c>
      <c r="O84" s="419">
        <v>4.2000000000000003E-2</v>
      </c>
      <c r="P84" s="379">
        <v>6.03</v>
      </c>
      <c r="Q84" s="379">
        <v>6.08</v>
      </c>
      <c r="R84" s="379">
        <v>8.06</v>
      </c>
      <c r="S84" s="396">
        <v>7.0000000000000001E-3</v>
      </c>
      <c r="T84" s="396">
        <v>0.249</v>
      </c>
      <c r="X84"/>
      <c r="Y84" s="260"/>
      <c r="Z84"/>
      <c r="AA84" s="260"/>
    </row>
    <row r="85" spans="1:27" ht="15" thickBot="1" x14ac:dyDescent="0.35">
      <c r="A85" s="394" t="s">
        <v>1148</v>
      </c>
      <c r="B85" s="395">
        <v>1100</v>
      </c>
      <c r="C85" s="395">
        <v>1249</v>
      </c>
      <c r="D85" s="396">
        <v>0.13500000000000001</v>
      </c>
      <c r="E85" s="379">
        <v>6.97</v>
      </c>
      <c r="F85" s="379">
        <v>6.92</v>
      </c>
      <c r="G85" s="396">
        <v>-6.0000000000000001E-3</v>
      </c>
      <c r="I85" s="394" t="s">
        <v>886</v>
      </c>
      <c r="J85" s="395">
        <v>1112</v>
      </c>
      <c r="K85" s="395">
        <v>1100</v>
      </c>
      <c r="L85" s="395">
        <v>1249</v>
      </c>
      <c r="M85" s="395">
        <v>1136</v>
      </c>
      <c r="N85" s="419">
        <v>0.13500000000000001</v>
      </c>
      <c r="O85" s="419">
        <v>3.3000000000000002E-2</v>
      </c>
      <c r="P85" s="379">
        <v>6.97</v>
      </c>
      <c r="Q85" s="379">
        <v>6.92</v>
      </c>
      <c r="R85" s="379">
        <v>9.3699999999999992</v>
      </c>
      <c r="S85" s="396">
        <v>-6.0000000000000001E-3</v>
      </c>
      <c r="T85" s="396">
        <v>0.255</v>
      </c>
      <c r="X85"/>
      <c r="Y85" s="260"/>
      <c r="Z85"/>
      <c r="AA85" s="260"/>
    </row>
    <row r="86" spans="1:27" ht="15" thickBot="1" x14ac:dyDescent="0.35"/>
    <row r="87" spans="1:27" ht="15" thickBot="1" x14ac:dyDescent="0.35">
      <c r="A87" s="391"/>
      <c r="B87" s="450" t="s">
        <v>1138</v>
      </c>
      <c r="C87" s="452"/>
      <c r="D87" s="448" t="s">
        <v>1139</v>
      </c>
      <c r="E87" s="450" t="s">
        <v>1149</v>
      </c>
      <c r="F87" s="452"/>
      <c r="G87" s="448" t="s">
        <v>1141</v>
      </c>
    </row>
    <row r="88" spans="1:27" ht="15" thickBot="1" x14ac:dyDescent="0.35">
      <c r="A88" s="392" t="s">
        <v>312</v>
      </c>
      <c r="B88" s="393" t="s">
        <v>138</v>
      </c>
      <c r="C88" s="393" t="s">
        <v>1150</v>
      </c>
      <c r="D88" s="449"/>
      <c r="E88" s="393" t="s">
        <v>138</v>
      </c>
      <c r="F88" s="393" t="s">
        <v>1150</v>
      </c>
      <c r="G88" s="449"/>
    </row>
    <row r="89" spans="1:27" ht="15" thickBot="1" x14ac:dyDescent="0.35">
      <c r="A89" s="394" t="s">
        <v>1142</v>
      </c>
      <c r="B89" s="395">
        <v>1551</v>
      </c>
      <c r="C89" s="395">
        <v>1951</v>
      </c>
      <c r="D89" s="396">
        <v>0.25800000000000001</v>
      </c>
      <c r="E89" s="379">
        <v>4.9400000000000004</v>
      </c>
      <c r="F89" s="379">
        <v>5.44</v>
      </c>
      <c r="G89" s="396">
        <v>9.2999999999999999E-2</v>
      </c>
    </row>
    <row r="90" spans="1:27" ht="15" thickBot="1" x14ac:dyDescent="0.35">
      <c r="A90" s="394" t="s">
        <v>1143</v>
      </c>
      <c r="B90" s="395">
        <v>1607</v>
      </c>
      <c r="C90" s="395">
        <v>1974</v>
      </c>
      <c r="D90" s="396">
        <v>0.22800000000000001</v>
      </c>
      <c r="E90" s="379">
        <v>4.7699999999999996</v>
      </c>
      <c r="F90" s="379">
        <v>5.39</v>
      </c>
      <c r="G90" s="396">
        <v>0.114</v>
      </c>
    </row>
    <row r="91" spans="1:27" ht="15" thickBot="1" x14ac:dyDescent="0.35">
      <c r="A91" s="394" t="s">
        <v>1144</v>
      </c>
      <c r="B91" s="395">
        <v>1813</v>
      </c>
      <c r="C91" s="395">
        <v>2606</v>
      </c>
      <c r="D91" s="396">
        <v>0.437</v>
      </c>
      <c r="E91" s="379">
        <v>4.2300000000000004</v>
      </c>
      <c r="F91" s="379">
        <v>4.08</v>
      </c>
      <c r="G91" s="396">
        <v>-3.5999999999999997E-2</v>
      </c>
    </row>
    <row r="92" spans="1:27" ht="15" thickBot="1" x14ac:dyDescent="0.35">
      <c r="A92" s="394" t="s">
        <v>1145</v>
      </c>
      <c r="B92" s="395">
        <v>1733</v>
      </c>
      <c r="C92" s="395">
        <v>2419</v>
      </c>
      <c r="D92" s="396">
        <v>0.39600000000000002</v>
      </c>
      <c r="E92" s="379">
        <v>4.42</v>
      </c>
      <c r="F92" s="379">
        <v>4.4000000000000004</v>
      </c>
      <c r="G92" s="396">
        <v>-6.0000000000000001E-3</v>
      </c>
    </row>
    <row r="93" spans="1:27" ht="15" thickBot="1" x14ac:dyDescent="0.35">
      <c r="A93" s="394" t="s">
        <v>1146</v>
      </c>
      <c r="B93" s="395">
        <v>1380</v>
      </c>
      <c r="C93" s="395">
        <v>1504</v>
      </c>
      <c r="D93" s="396">
        <v>0.09</v>
      </c>
      <c r="E93" s="379">
        <v>5.56</v>
      </c>
      <c r="F93" s="379">
        <v>7.07</v>
      </c>
      <c r="G93" s="396">
        <v>0.214</v>
      </c>
    </row>
    <row r="94" spans="1:27" ht="15" thickBot="1" x14ac:dyDescent="0.35">
      <c r="A94" s="394" t="s">
        <v>1147</v>
      </c>
      <c r="B94" s="395">
        <v>1268</v>
      </c>
      <c r="C94" s="395">
        <v>1321</v>
      </c>
      <c r="D94" s="396">
        <v>4.2000000000000003E-2</v>
      </c>
      <c r="E94" s="379">
        <v>6.03</v>
      </c>
      <c r="F94" s="379">
        <v>8.06</v>
      </c>
      <c r="G94" s="396">
        <v>0.249</v>
      </c>
    </row>
    <row r="95" spans="1:27" ht="15" thickBot="1" x14ac:dyDescent="0.35">
      <c r="A95" s="394" t="s">
        <v>1148</v>
      </c>
      <c r="B95" s="395">
        <v>1100</v>
      </c>
      <c r="C95" s="395">
        <v>1136</v>
      </c>
      <c r="D95" s="396">
        <v>3.3000000000000002E-2</v>
      </c>
      <c r="E95" s="379">
        <v>6.97</v>
      </c>
      <c r="F95" s="379">
        <v>9.3699999999999992</v>
      </c>
      <c r="G95" s="396">
        <v>0.255</v>
      </c>
    </row>
    <row r="98" spans="1:6" ht="15" thickBot="1" x14ac:dyDescent="0.35"/>
    <row r="99" spans="1:6" ht="15" thickBot="1" x14ac:dyDescent="0.35">
      <c r="A99" s="448" t="s">
        <v>65</v>
      </c>
      <c r="B99" s="450" t="s">
        <v>13</v>
      </c>
      <c r="C99" s="451"/>
      <c r="D99" s="451"/>
      <c r="E99" s="452"/>
    </row>
    <row r="100" spans="1:6" ht="52.8" x14ac:dyDescent="0.3">
      <c r="A100" s="471"/>
      <c r="B100" s="448" t="s">
        <v>922</v>
      </c>
      <c r="C100" s="448" t="s">
        <v>1129</v>
      </c>
      <c r="D100" s="397" t="s">
        <v>1132</v>
      </c>
      <c r="E100" s="397" t="s">
        <v>1134</v>
      </c>
    </row>
    <row r="101" spans="1:6" ht="15" thickBot="1" x14ac:dyDescent="0.35">
      <c r="A101" s="449"/>
      <c r="B101" s="449"/>
      <c r="C101" s="449"/>
      <c r="D101" s="393" t="s">
        <v>1133</v>
      </c>
      <c r="E101" s="398" t="s">
        <v>1135</v>
      </c>
    </row>
    <row r="102" spans="1:6" ht="15" thickBot="1" x14ac:dyDescent="0.35">
      <c r="A102" s="399" t="s">
        <v>1151</v>
      </c>
      <c r="B102" s="400">
        <f>F15</f>
        <v>25</v>
      </c>
      <c r="C102" s="400">
        <f t="shared" ref="C102:E106" si="52">G15</f>
        <v>3747</v>
      </c>
      <c r="D102" s="407">
        <f t="shared" si="52"/>
        <v>9.9722962173681413</v>
      </c>
      <c r="E102" s="406">
        <f t="shared" si="52"/>
        <v>3.4831681779804229</v>
      </c>
    </row>
    <row r="103" spans="1:6" ht="15" thickBot="1" x14ac:dyDescent="0.35">
      <c r="A103" s="399" t="s">
        <v>294</v>
      </c>
      <c r="B103" s="400">
        <f t="shared" ref="B103:B106" si="53">F16</f>
        <v>8</v>
      </c>
      <c r="C103" s="400">
        <f t="shared" si="52"/>
        <v>1380</v>
      </c>
      <c r="D103" s="406">
        <f t="shared" si="52"/>
        <v>9.5007246376811594</v>
      </c>
      <c r="E103" s="406">
        <f t="shared" si="52"/>
        <v>3.9199950566284816</v>
      </c>
    </row>
    <row r="104" spans="1:6" ht="15" thickBot="1" x14ac:dyDescent="0.35">
      <c r="A104" s="399" t="s">
        <v>99</v>
      </c>
      <c r="B104" s="400">
        <f t="shared" si="53"/>
        <v>14</v>
      </c>
      <c r="C104" s="400">
        <f t="shared" si="52"/>
        <v>2358</v>
      </c>
      <c r="D104" s="407">
        <f t="shared" si="52"/>
        <v>10.264270613107822</v>
      </c>
      <c r="E104" s="406">
        <f t="shared" si="52"/>
        <v>3.2254110953943318</v>
      </c>
    </row>
    <row r="105" spans="1:6" ht="15" thickBot="1" x14ac:dyDescent="0.35">
      <c r="A105" s="399" t="s">
        <v>140</v>
      </c>
      <c r="B105" s="400">
        <f t="shared" si="53"/>
        <v>1</v>
      </c>
      <c r="C105" s="400">
        <f t="shared" si="52"/>
        <v>2</v>
      </c>
      <c r="D105" s="407">
        <f t="shared" si="52"/>
        <v>10</v>
      </c>
      <c r="E105" s="406">
        <f t="shared" si="52"/>
        <v>5.3429839496762153</v>
      </c>
      <c r="F105" s="399"/>
    </row>
    <row r="106" spans="1:6" ht="15" thickBot="1" x14ac:dyDescent="0.35">
      <c r="A106" s="399" t="s">
        <v>355</v>
      </c>
      <c r="B106" s="400">
        <f t="shared" si="53"/>
        <v>1</v>
      </c>
      <c r="C106" s="400">
        <f t="shared" si="52"/>
        <v>8</v>
      </c>
      <c r="D106" s="406">
        <f t="shared" si="52"/>
        <v>4.666666666666667</v>
      </c>
      <c r="E106" s="406">
        <f t="shared" si="52"/>
        <v>4.0144593945461162</v>
      </c>
    </row>
    <row r="107" spans="1:6" ht="15" thickBot="1" x14ac:dyDescent="0.35"/>
    <row r="108" spans="1:6" ht="15" thickBot="1" x14ac:dyDescent="0.35">
      <c r="A108" s="448" t="s">
        <v>65</v>
      </c>
      <c r="B108" s="450" t="s">
        <v>249</v>
      </c>
      <c r="C108" s="451"/>
      <c r="D108" s="451"/>
      <c r="E108" s="452"/>
    </row>
    <row r="109" spans="1:6" ht="52.8" x14ac:dyDescent="0.3">
      <c r="A109" s="471"/>
      <c r="B109" s="448" t="s">
        <v>922</v>
      </c>
      <c r="C109" s="448" t="s">
        <v>1129</v>
      </c>
      <c r="D109" s="397" t="s">
        <v>1132</v>
      </c>
      <c r="E109" s="397" t="s">
        <v>1134</v>
      </c>
    </row>
    <row r="110" spans="1:6" ht="15" thickBot="1" x14ac:dyDescent="0.35">
      <c r="A110" s="449"/>
      <c r="B110" s="449"/>
      <c r="C110" s="449"/>
      <c r="D110" s="393" t="s">
        <v>1133</v>
      </c>
      <c r="E110" s="398" t="s">
        <v>1135</v>
      </c>
    </row>
    <row r="111" spans="1:6" ht="15" thickBot="1" x14ac:dyDescent="0.35">
      <c r="A111" s="399" t="s">
        <v>1151</v>
      </c>
      <c r="B111" s="400">
        <f>B15</f>
        <v>18</v>
      </c>
      <c r="C111" s="400">
        <f t="shared" ref="C111:E111" si="54">C15</f>
        <v>2218</v>
      </c>
      <c r="D111" s="406">
        <f t="shared" si="54"/>
        <v>7.6635742811501597</v>
      </c>
      <c r="E111" s="406">
        <f t="shared" si="54"/>
        <v>2.698711674173893</v>
      </c>
    </row>
    <row r="112" spans="1:6" ht="15" thickBot="1" x14ac:dyDescent="0.35">
      <c r="A112" s="399" t="s">
        <v>294</v>
      </c>
      <c r="B112" s="400">
        <f t="shared" ref="B112:E115" si="55">B16</f>
        <v>7</v>
      </c>
      <c r="C112" s="400">
        <f t="shared" si="55"/>
        <v>851</v>
      </c>
      <c r="D112" s="406">
        <f t="shared" si="55"/>
        <v>6.1590265486725659</v>
      </c>
      <c r="E112" s="406">
        <f t="shared" si="55"/>
        <v>2.5447437692848918</v>
      </c>
    </row>
    <row r="113" spans="1:5" ht="15" thickBot="1" x14ac:dyDescent="0.35">
      <c r="A113" s="399" t="s">
        <v>99</v>
      </c>
      <c r="B113" s="400">
        <f t="shared" si="55"/>
        <v>9</v>
      </c>
      <c r="C113" s="400">
        <f t="shared" si="55"/>
        <v>1358</v>
      </c>
      <c r="D113" s="406">
        <f t="shared" si="55"/>
        <v>8.945611721611721</v>
      </c>
      <c r="E113" s="406">
        <f t="shared" si="55"/>
        <v>2.8329200697994148</v>
      </c>
    </row>
    <row r="114" spans="1:5" ht="15" thickBot="1" x14ac:dyDescent="0.35">
      <c r="A114" s="399" t="s">
        <v>140</v>
      </c>
      <c r="B114" s="400">
        <f t="shared" si="55"/>
        <v>1</v>
      </c>
      <c r="C114" s="400">
        <f t="shared" si="55"/>
        <v>2</v>
      </c>
      <c r="D114" s="406">
        <f t="shared" si="55"/>
        <v>2.82</v>
      </c>
      <c r="E114" s="406">
        <f t="shared" si="55"/>
        <v>1.5067214738086929</v>
      </c>
    </row>
    <row r="115" spans="1:5" ht="15" thickBot="1" x14ac:dyDescent="0.35">
      <c r="A115" s="399" t="s">
        <v>355</v>
      </c>
      <c r="B115" s="400">
        <f t="shared" si="55"/>
        <v>1</v>
      </c>
      <c r="C115" s="400">
        <f t="shared" si="55"/>
        <v>8</v>
      </c>
      <c r="D115" s="406">
        <f t="shared" si="55"/>
        <v>1.9866666666666668</v>
      </c>
      <c r="E115" s="406">
        <f t="shared" si="55"/>
        <v>1.7090127136782036</v>
      </c>
    </row>
  </sheetData>
  <mergeCells count="84">
    <mergeCell ref="B2:E2"/>
    <mergeCell ref="F2:I2"/>
    <mergeCell ref="B4:B5"/>
    <mergeCell ref="C4:C5"/>
    <mergeCell ref="D4:D5"/>
    <mergeCell ref="E4:E5"/>
    <mergeCell ref="F4:F5"/>
    <mergeCell ref="G4:G5"/>
    <mergeCell ref="H4:H5"/>
    <mergeCell ref="I4:I5"/>
    <mergeCell ref="H10:H11"/>
    <mergeCell ref="I10:I11"/>
    <mergeCell ref="B10:B11"/>
    <mergeCell ref="C10:C11"/>
    <mergeCell ref="D10:D11"/>
    <mergeCell ref="E10:E11"/>
    <mergeCell ref="F10:F11"/>
    <mergeCell ref="G10:G11"/>
    <mergeCell ref="B22:C22"/>
    <mergeCell ref="D22:E22"/>
    <mergeCell ref="A40:A41"/>
    <mergeCell ref="B40:C40"/>
    <mergeCell ref="D40:E40"/>
    <mergeCell ref="G77:G78"/>
    <mergeCell ref="F40:G40"/>
    <mergeCell ref="B48:E48"/>
    <mergeCell ref="A51:E51"/>
    <mergeCell ref="A56:E56"/>
    <mergeCell ref="B62:E62"/>
    <mergeCell ref="B63:B64"/>
    <mergeCell ref="C63:C64"/>
    <mergeCell ref="B49:B50"/>
    <mergeCell ref="C49:C50"/>
    <mergeCell ref="A65:E65"/>
    <mergeCell ref="A70:E70"/>
    <mergeCell ref="B77:C77"/>
    <mergeCell ref="D77:D78"/>
    <mergeCell ref="E77:F77"/>
    <mergeCell ref="G87:G88"/>
    <mergeCell ref="A99:A101"/>
    <mergeCell ref="B99:E99"/>
    <mergeCell ref="B100:B101"/>
    <mergeCell ref="C100:C101"/>
    <mergeCell ref="A108:A110"/>
    <mergeCell ref="B108:E108"/>
    <mergeCell ref="B109:B110"/>
    <mergeCell ref="C109:C110"/>
    <mergeCell ref="B87:C87"/>
    <mergeCell ref="D87:D88"/>
    <mergeCell ref="E87:F87"/>
    <mergeCell ref="M4:M5"/>
    <mergeCell ref="N4:N5"/>
    <mergeCell ref="O4:O5"/>
    <mergeCell ref="Q4:Q5"/>
    <mergeCell ref="P4:P5"/>
    <mergeCell ref="Y4:Y5"/>
    <mergeCell ref="U10:U11"/>
    <mergeCell ref="V10:V11"/>
    <mergeCell ref="W10:W11"/>
    <mergeCell ref="Y10:Y11"/>
    <mergeCell ref="P10:P11"/>
    <mergeCell ref="X4:X5"/>
    <mergeCell ref="X10:X11"/>
    <mergeCell ref="M2:R2"/>
    <mergeCell ref="U2:Z2"/>
    <mergeCell ref="R4:R5"/>
    <mergeCell ref="R10:R11"/>
    <mergeCell ref="Z4:Z5"/>
    <mergeCell ref="Z10:Z11"/>
    <mergeCell ref="M10:M11"/>
    <mergeCell ref="N10:N11"/>
    <mergeCell ref="O10:O11"/>
    <mergeCell ref="Q10:Q11"/>
    <mergeCell ref="U4:U5"/>
    <mergeCell ref="V4:V5"/>
    <mergeCell ref="W4:W5"/>
    <mergeCell ref="I77:I78"/>
    <mergeCell ref="T77:T78"/>
    <mergeCell ref="S77:S78"/>
    <mergeCell ref="P77:R77"/>
    <mergeCell ref="K77:M77"/>
    <mergeCell ref="J77:J78"/>
    <mergeCell ref="O77:O78"/>
    <mergeCell ref="N77:N7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BE326"/>
  <sheetViews>
    <sheetView tabSelected="1" topLeftCell="H1" zoomScale="70" zoomScaleNormal="70" workbookViewId="0">
      <pane ySplit="2" topLeftCell="A216" activePane="bottomLeft" state="frozen"/>
      <selection pane="bottomLeft" activeCell="S241" sqref="S241"/>
    </sheetView>
  </sheetViews>
  <sheetFormatPr defaultRowHeight="14.4" x14ac:dyDescent="0.3"/>
  <cols>
    <col min="30" max="30" width="14.44140625" customWidth="1"/>
    <col min="39" max="39" width="9.109375" style="98"/>
    <col min="40" max="40" width="9.109375" style="100"/>
  </cols>
  <sheetData>
    <row r="1" spans="1:50" ht="15" x14ac:dyDescent="0.25">
      <c r="A1" s="11"/>
      <c r="B1" s="260"/>
      <c r="C1" s="260"/>
      <c r="D1" s="260"/>
      <c r="E1" s="260"/>
      <c r="F1" s="260"/>
      <c r="G1" s="260"/>
      <c r="H1" s="260"/>
      <c r="I1" s="260"/>
      <c r="J1" s="427" t="s">
        <v>13</v>
      </c>
      <c r="K1" s="427"/>
      <c r="L1" s="427"/>
      <c r="M1" s="281"/>
      <c r="N1" s="281"/>
      <c r="O1" s="428" t="s">
        <v>9</v>
      </c>
      <c r="P1" s="428"/>
      <c r="Q1" s="428"/>
      <c r="R1" s="282"/>
      <c r="S1" s="282"/>
      <c r="T1" s="16"/>
      <c r="U1" s="16"/>
      <c r="V1" s="16"/>
      <c r="W1" s="260"/>
      <c r="X1" s="260"/>
      <c r="Y1" s="260"/>
      <c r="Z1" s="260"/>
      <c r="AA1" s="260"/>
      <c r="AB1" s="260"/>
      <c r="AC1" s="260"/>
      <c r="AD1" s="260"/>
      <c r="AE1" s="260"/>
      <c r="AF1" s="260"/>
      <c r="AG1" s="260"/>
      <c r="AH1" s="260"/>
      <c r="AI1" s="260"/>
      <c r="AJ1" s="260"/>
      <c r="AK1" s="260" t="s">
        <v>782</v>
      </c>
      <c r="AL1" s="260"/>
      <c r="AM1" s="98" t="s">
        <v>331</v>
      </c>
      <c r="AN1" s="100" t="s">
        <v>917</v>
      </c>
      <c r="AO1" s="260" t="s">
        <v>887</v>
      </c>
      <c r="AP1" s="260"/>
      <c r="AQ1" s="260" t="s">
        <v>886</v>
      </c>
      <c r="AR1" s="260"/>
      <c r="AS1" s="260"/>
      <c r="AT1" s="260"/>
      <c r="AU1" s="260"/>
      <c r="AV1" s="260"/>
      <c r="AW1" s="260"/>
      <c r="AX1" s="260"/>
    </row>
    <row r="2" spans="1:50" x14ac:dyDescent="0.3">
      <c r="A2" s="76" t="s">
        <v>0</v>
      </c>
      <c r="B2" s="261" t="s">
        <v>1</v>
      </c>
      <c r="C2" s="261" t="s">
        <v>908</v>
      </c>
      <c r="D2" s="261" t="s">
        <v>2</v>
      </c>
      <c r="E2" s="261" t="s">
        <v>62</v>
      </c>
      <c r="F2" s="261" t="s">
        <v>63</v>
      </c>
      <c r="G2" s="261" t="s">
        <v>5</v>
      </c>
      <c r="H2" s="261" t="s">
        <v>6</v>
      </c>
      <c r="I2" s="261" t="s">
        <v>7</v>
      </c>
      <c r="J2" s="2" t="s">
        <v>10</v>
      </c>
      <c r="K2" s="2" t="s">
        <v>11</v>
      </c>
      <c r="L2" s="2" t="s">
        <v>12</v>
      </c>
      <c r="M2" s="2" t="s">
        <v>965</v>
      </c>
      <c r="N2" s="2" t="s">
        <v>22</v>
      </c>
      <c r="O2" s="3" t="s">
        <v>10</v>
      </c>
      <c r="P2" s="3" t="s">
        <v>11</v>
      </c>
      <c r="Q2" s="3" t="s">
        <v>12</v>
      </c>
      <c r="R2" s="3" t="s">
        <v>966</v>
      </c>
      <c r="S2" s="3" t="s">
        <v>22</v>
      </c>
      <c r="T2" s="17" t="s">
        <v>92</v>
      </c>
      <c r="U2" s="17" t="s">
        <v>329</v>
      </c>
      <c r="V2" s="17" t="s">
        <v>97</v>
      </c>
      <c r="W2" s="7" t="s">
        <v>15</v>
      </c>
      <c r="X2" s="7" t="s">
        <v>16</v>
      </c>
      <c r="Y2" s="7" t="s">
        <v>20</v>
      </c>
      <c r="Z2" s="7" t="s">
        <v>86</v>
      </c>
      <c r="AA2" s="7" t="s">
        <v>93</v>
      </c>
      <c r="AB2" s="7" t="s">
        <v>64</v>
      </c>
      <c r="AC2" s="7" t="s">
        <v>65</v>
      </c>
      <c r="AD2" s="7" t="s">
        <v>68</v>
      </c>
      <c r="AE2" s="7" t="s">
        <v>17</v>
      </c>
      <c r="AF2" s="7" t="s">
        <v>18</v>
      </c>
      <c r="AG2" s="52" t="s">
        <v>251</v>
      </c>
      <c r="AH2" s="52" t="s">
        <v>343</v>
      </c>
      <c r="AI2" s="260" t="s">
        <v>58</v>
      </c>
      <c r="AJ2" s="84" t="s">
        <v>490</v>
      </c>
      <c r="AK2" s="84" t="s">
        <v>763</v>
      </c>
      <c r="AL2" s="84" t="s">
        <v>888</v>
      </c>
      <c r="AM2" s="299" t="s">
        <v>968</v>
      </c>
      <c r="AN2" s="298"/>
      <c r="AO2" s="84" t="s">
        <v>783</v>
      </c>
      <c r="AP2" s="84" t="s">
        <v>784</v>
      </c>
      <c r="AQ2" s="84" t="s">
        <v>783</v>
      </c>
      <c r="AR2" s="84" t="s">
        <v>784</v>
      </c>
      <c r="AS2" s="260"/>
      <c r="AT2" s="260"/>
      <c r="AU2" s="260"/>
      <c r="AV2" s="260"/>
      <c r="AW2" s="260"/>
      <c r="AX2" s="260"/>
    </row>
    <row r="3" spans="1:50" ht="15" x14ac:dyDescent="0.25">
      <c r="A3" s="11" t="s">
        <v>3</v>
      </c>
      <c r="B3" s="260" t="s">
        <v>38</v>
      </c>
      <c r="C3" s="260"/>
      <c r="D3" s="260">
        <v>2008</v>
      </c>
      <c r="E3" s="42">
        <v>446.88</v>
      </c>
      <c r="F3" s="94">
        <v>596</v>
      </c>
      <c r="G3" s="260"/>
      <c r="H3" s="260">
        <v>3136</v>
      </c>
      <c r="I3" s="260" t="s">
        <v>8</v>
      </c>
      <c r="J3" s="260">
        <v>4.91</v>
      </c>
      <c r="K3" s="9">
        <f t="shared" ref="K3:K34" si="0">J3*0.004047</f>
        <v>1.9870770000000003E-2</v>
      </c>
      <c r="L3" s="9">
        <f t="shared" ref="L3:L34" si="1">J3*0.404685642</f>
        <v>1.9870065022200001</v>
      </c>
      <c r="M3" s="1">
        <f t="shared" ref="M3:M34" si="2">J3/(E3/1000)</f>
        <v>10.987289652703186</v>
      </c>
      <c r="N3" s="1">
        <f t="shared" ref="N3:N34" si="3">E3/1000/K3</f>
        <v>22.489314706979144</v>
      </c>
      <c r="O3" s="260">
        <v>4.22</v>
      </c>
      <c r="P3" s="1">
        <f t="shared" ref="P3:P26" si="4">O3*0.004047</f>
        <v>1.7078340000000001E-2</v>
      </c>
      <c r="Q3" s="1">
        <f t="shared" ref="Q3:Q8" si="5">O3*0.404685642</f>
        <v>1.7077734092399999</v>
      </c>
      <c r="R3" s="1">
        <f t="shared" ref="R3:R26" si="6">O3/(E3/1000)</f>
        <v>9.4432509846043668</v>
      </c>
      <c r="S3" s="1">
        <f t="shared" ref="S3:S26" si="7">E3/1000/P3</f>
        <v>26.166477538215069</v>
      </c>
      <c r="T3" s="1">
        <f>(5+11/12)/(17+9/12)</f>
        <v>0.33333333333333337</v>
      </c>
      <c r="U3" s="1">
        <f>1/T3</f>
        <v>2.9999999999999996</v>
      </c>
      <c r="V3" s="1">
        <f>T3*R3</f>
        <v>3.1477503282014561</v>
      </c>
      <c r="W3" s="260">
        <v>37.460360999999999</v>
      </c>
      <c r="X3" s="260">
        <v>-105.852617</v>
      </c>
      <c r="Y3" s="260" t="s">
        <v>21</v>
      </c>
      <c r="Z3" s="260" t="s">
        <v>776</v>
      </c>
      <c r="AA3" s="260" t="s">
        <v>94</v>
      </c>
      <c r="AB3" s="15">
        <v>0.161</v>
      </c>
      <c r="AC3" s="15" t="s">
        <v>66</v>
      </c>
      <c r="AD3" s="15" t="s">
        <v>69</v>
      </c>
      <c r="AE3" s="260" t="s">
        <v>29</v>
      </c>
      <c r="AF3" s="260" t="s">
        <v>39</v>
      </c>
      <c r="AG3" s="15" t="s">
        <v>353</v>
      </c>
      <c r="AH3" s="260"/>
      <c r="AI3" s="260">
        <v>1</v>
      </c>
      <c r="AJ3" s="260"/>
      <c r="AK3" s="260">
        <v>1970</v>
      </c>
      <c r="AL3" s="260">
        <v>2395.42</v>
      </c>
      <c r="AM3" s="98">
        <f>1/(AL3/$M3/1000)</f>
        <v>4.5867904804598716</v>
      </c>
      <c r="AN3" s="100">
        <f t="shared" ref="AN3:AN26" si="8">1/(AL3/$R3/1000)</f>
        <v>3.942210962839237</v>
      </c>
      <c r="AO3" s="260">
        <v>2671.53</v>
      </c>
      <c r="AP3" s="260">
        <f t="shared" ref="AP3:AP34" si="9">1/(AO3/$M3/1000)</f>
        <v>4.1127330229131562</v>
      </c>
      <c r="AQ3" s="260">
        <v>1462.8</v>
      </c>
      <c r="AR3" s="260">
        <f t="shared" ref="AR3:AR34" si="10">1/(AQ3/$M3/1000)</f>
        <v>7.5111359397752171</v>
      </c>
      <c r="AS3" s="260"/>
      <c r="AT3" s="260">
        <v>2057</v>
      </c>
      <c r="AU3" s="260">
        <f>(AT3-AT6)/AT6</f>
        <v>0.25964482547458667</v>
      </c>
      <c r="AV3" s="260"/>
      <c r="AW3" s="260"/>
      <c r="AX3" s="260"/>
    </row>
    <row r="4" spans="1:50" x14ac:dyDescent="0.3">
      <c r="A4" s="11" t="s">
        <v>3</v>
      </c>
      <c r="B4" s="11" t="s">
        <v>45</v>
      </c>
      <c r="C4" s="11"/>
      <c r="D4" s="260">
        <v>2008</v>
      </c>
      <c r="E4" s="42">
        <v>474.81</v>
      </c>
      <c r="F4" s="94">
        <v>633</v>
      </c>
      <c r="G4" s="260">
        <v>4</v>
      </c>
      <c r="H4" s="260">
        <v>3332</v>
      </c>
      <c r="I4" s="260" t="s">
        <v>8</v>
      </c>
      <c r="J4" s="260">
        <v>5.3470000000000004</v>
      </c>
      <c r="K4" s="9">
        <f t="shared" si="0"/>
        <v>2.1639309000000002E-2</v>
      </c>
      <c r="L4" s="9">
        <f t="shared" si="1"/>
        <v>2.1638541277740004</v>
      </c>
      <c r="M4" s="1">
        <f t="shared" si="2"/>
        <v>11.261346643920726</v>
      </c>
      <c r="N4" s="1">
        <f t="shared" si="3"/>
        <v>21.942013028234864</v>
      </c>
      <c r="O4" s="260">
        <v>3.34</v>
      </c>
      <c r="P4" s="1">
        <f t="shared" si="4"/>
        <v>1.351698E-2</v>
      </c>
      <c r="Q4" s="1">
        <f t="shared" si="5"/>
        <v>1.3516500442799999</v>
      </c>
      <c r="R4" s="1">
        <f t="shared" si="6"/>
        <v>7.0343927044502008</v>
      </c>
      <c r="S4" s="1">
        <f t="shared" si="7"/>
        <v>35.12692924011133</v>
      </c>
      <c r="T4" s="1">
        <f>0.20836/(0.33734+0.20836)</f>
        <v>0.38182151365218986</v>
      </c>
      <c r="U4" s="1">
        <f>1/T4</f>
        <v>2.6190247648301015</v>
      </c>
      <c r="V4" s="1">
        <f>T4*R4</f>
        <v>2.6858824700370971</v>
      </c>
      <c r="W4" s="260">
        <v>39.821038000000001</v>
      </c>
      <c r="X4" s="260">
        <v>-105.22041</v>
      </c>
      <c r="Y4" s="260" t="s">
        <v>21</v>
      </c>
      <c r="Z4" s="260" t="s">
        <v>776</v>
      </c>
      <c r="AA4" s="260" t="s">
        <v>96</v>
      </c>
      <c r="AB4" s="15">
        <v>0.16400000000000001</v>
      </c>
      <c r="AC4" s="15" t="s">
        <v>66</v>
      </c>
      <c r="AD4" s="15" t="s">
        <v>75</v>
      </c>
      <c r="AE4" s="260" t="s">
        <v>29</v>
      </c>
      <c r="AF4" s="260" t="s">
        <v>34</v>
      </c>
      <c r="AG4" s="15" t="s">
        <v>353</v>
      </c>
      <c r="AH4" s="260"/>
      <c r="AI4" s="260">
        <v>1</v>
      </c>
      <c r="AJ4" s="260"/>
      <c r="AK4" s="260">
        <v>1660</v>
      </c>
      <c r="AL4" s="260">
        <v>2213.69</v>
      </c>
      <c r="AM4" s="98">
        <f t="shared" ref="AM4:AM29" si="11">1/(AL4/$M4/1000)</f>
        <v>5.0871380563316118</v>
      </c>
      <c r="AN4" s="100">
        <f t="shared" si="8"/>
        <v>3.1776774094160434</v>
      </c>
      <c r="AO4" s="260">
        <v>2671.54</v>
      </c>
      <c r="AP4" s="260">
        <f t="shared" si="9"/>
        <v>4.2153015279279842</v>
      </c>
      <c r="AQ4" s="260">
        <v>1462.82</v>
      </c>
      <c r="AR4" s="260">
        <f t="shared" si="10"/>
        <v>7.6983816490892432</v>
      </c>
      <c r="AS4" s="260"/>
      <c r="AT4" s="260">
        <v>2273</v>
      </c>
      <c r="AU4" s="260">
        <f>(AT4-AT6)/AT6</f>
        <v>0.39191671769748926</v>
      </c>
      <c r="AV4" s="260"/>
      <c r="AW4" s="260"/>
      <c r="AX4" s="260"/>
    </row>
    <row r="5" spans="1:50" x14ac:dyDescent="0.3">
      <c r="A5" s="11" t="s">
        <v>3</v>
      </c>
      <c r="B5" s="11" t="s">
        <v>43</v>
      </c>
      <c r="C5" s="11"/>
      <c r="D5" s="260">
        <v>2008</v>
      </c>
      <c r="E5" s="42">
        <v>503.16</v>
      </c>
      <c r="F5" s="94">
        <v>600</v>
      </c>
      <c r="G5" s="260"/>
      <c r="H5" s="260">
        <v>3531</v>
      </c>
      <c r="I5" s="260" t="s">
        <v>8</v>
      </c>
      <c r="J5" s="260">
        <v>4.42</v>
      </c>
      <c r="K5" s="9">
        <f t="shared" si="0"/>
        <v>1.7887739999999999E-2</v>
      </c>
      <c r="L5" s="9">
        <f t="shared" si="1"/>
        <v>1.7887105376400001</v>
      </c>
      <c r="M5" s="1">
        <f t="shared" si="2"/>
        <v>8.784482073296763</v>
      </c>
      <c r="N5" s="1">
        <f t="shared" si="3"/>
        <v>28.128763052235783</v>
      </c>
      <c r="O5" s="260">
        <v>3.59</v>
      </c>
      <c r="P5" s="1">
        <f t="shared" si="4"/>
        <v>1.452873E-2</v>
      </c>
      <c r="Q5" s="1">
        <f t="shared" si="5"/>
        <v>1.45282145478</v>
      </c>
      <c r="R5" s="1">
        <f t="shared" si="6"/>
        <v>7.1349073853247464</v>
      </c>
      <c r="S5" s="1">
        <f t="shared" si="7"/>
        <v>34.63207038743235</v>
      </c>
      <c r="T5" s="1">
        <f>(15.5-10-(15/4)/12)/(15.5)</f>
        <v>0.33467741935483869</v>
      </c>
      <c r="U5" s="1">
        <f>1/T5</f>
        <v>2.987951807228916</v>
      </c>
      <c r="V5" s="1">
        <f>T5*R5</f>
        <v>2.3878923910562659</v>
      </c>
      <c r="W5" s="260">
        <v>39.531663999999999</v>
      </c>
      <c r="X5" s="260">
        <v>-107.757302</v>
      </c>
      <c r="Y5" s="260" t="s">
        <v>21</v>
      </c>
      <c r="Z5" s="260" t="s">
        <v>776</v>
      </c>
      <c r="AA5" s="260" t="s">
        <v>94</v>
      </c>
      <c r="AB5" s="15">
        <v>0.13320000000000001</v>
      </c>
      <c r="AC5" s="15" t="s">
        <v>391</v>
      </c>
      <c r="AD5" s="15" t="s">
        <v>73</v>
      </c>
      <c r="AE5" s="260" t="s">
        <v>29</v>
      </c>
      <c r="AF5" s="260" t="s">
        <v>34</v>
      </c>
      <c r="AG5" s="15" t="s">
        <v>353</v>
      </c>
      <c r="AH5" s="260"/>
      <c r="AI5" s="260">
        <v>1</v>
      </c>
      <c r="AJ5" s="260"/>
      <c r="AK5" s="260">
        <v>1992</v>
      </c>
      <c r="AL5" s="260">
        <v>2376.5</v>
      </c>
      <c r="AM5" s="98">
        <f t="shared" si="11"/>
        <v>3.6963947289277348</v>
      </c>
      <c r="AN5" s="100">
        <f t="shared" si="8"/>
        <v>3.0022753567535228</v>
      </c>
      <c r="AO5" s="260">
        <v>2672.22</v>
      </c>
      <c r="AP5" s="260">
        <f t="shared" si="9"/>
        <v>3.2873349025517218</v>
      </c>
      <c r="AQ5" s="260">
        <v>1468.75</v>
      </c>
      <c r="AR5" s="260">
        <f t="shared" si="10"/>
        <v>5.9809239647977961</v>
      </c>
      <c r="AS5" s="260"/>
      <c r="AT5" s="260">
        <v>2429</v>
      </c>
      <c r="AU5" s="260">
        <f>(AT5-AT6)/AT6</f>
        <v>0.48744641763625229</v>
      </c>
      <c r="AV5" s="260"/>
      <c r="AW5" s="260"/>
      <c r="AX5" s="260"/>
    </row>
    <row r="6" spans="1:50" x14ac:dyDescent="0.3">
      <c r="A6" s="11" t="s">
        <v>3</v>
      </c>
      <c r="B6" s="260" t="s">
        <v>31</v>
      </c>
      <c r="C6" s="260"/>
      <c r="D6" s="260">
        <v>2008</v>
      </c>
      <c r="E6" s="42">
        <v>657.87</v>
      </c>
      <c r="F6" s="94">
        <v>720.72</v>
      </c>
      <c r="G6" s="260"/>
      <c r="H6" s="260">
        <v>3696</v>
      </c>
      <c r="I6" s="260" t="s">
        <v>8</v>
      </c>
      <c r="J6" s="1">
        <v>5.38</v>
      </c>
      <c r="K6" s="1">
        <f t="shared" si="0"/>
        <v>2.1772860000000002E-2</v>
      </c>
      <c r="L6" s="9">
        <f t="shared" si="1"/>
        <v>2.17720875396</v>
      </c>
      <c r="M6" s="1">
        <f t="shared" si="2"/>
        <v>8.1779074893215995</v>
      </c>
      <c r="N6" s="1">
        <f t="shared" si="3"/>
        <v>30.215139398315145</v>
      </c>
      <c r="O6" s="1">
        <v>3.04</v>
      </c>
      <c r="P6" s="1">
        <f t="shared" si="4"/>
        <v>1.230288E-2</v>
      </c>
      <c r="Q6" s="1">
        <f t="shared" si="5"/>
        <v>1.2302443516800001</v>
      </c>
      <c r="R6" s="1">
        <f t="shared" si="6"/>
        <v>4.6209737486129479</v>
      </c>
      <c r="S6" s="1">
        <f t="shared" si="7"/>
        <v>53.47284538254457</v>
      </c>
      <c r="T6" s="1">
        <f>(5+11/12)/(15)</f>
        <v>0.39444444444444449</v>
      </c>
      <c r="U6" s="1">
        <f>1/T6</f>
        <v>2.5352112676056335</v>
      </c>
      <c r="V6" s="1">
        <f>T6*R6</f>
        <v>1.8227174230639962</v>
      </c>
      <c r="W6" s="260">
        <v>39.744937999999998</v>
      </c>
      <c r="X6" s="260">
        <v>-105.176754</v>
      </c>
      <c r="Y6" s="260" t="s">
        <v>21</v>
      </c>
      <c r="Z6" s="260" t="s">
        <v>776</v>
      </c>
      <c r="AA6" s="260" t="s">
        <v>95</v>
      </c>
      <c r="AB6" s="15">
        <v>0.161</v>
      </c>
      <c r="AC6" s="15" t="s">
        <v>66</v>
      </c>
      <c r="AD6" s="15" t="s">
        <v>69</v>
      </c>
      <c r="AE6" s="260" t="s">
        <v>29</v>
      </c>
      <c r="AF6" s="260" t="s">
        <v>19</v>
      </c>
      <c r="AG6" s="15" t="s">
        <v>353</v>
      </c>
      <c r="AH6" s="260"/>
      <c r="AI6" s="260">
        <v>1</v>
      </c>
      <c r="AJ6" s="260"/>
      <c r="AK6" s="260">
        <v>2036</v>
      </c>
      <c r="AL6" s="260">
        <v>2231.0300000000002</v>
      </c>
      <c r="AM6" s="98">
        <f t="shared" si="11"/>
        <v>3.6655300418737524</v>
      </c>
      <c r="AN6" s="100">
        <f t="shared" si="8"/>
        <v>2.0712288712446481</v>
      </c>
      <c r="AO6" s="260">
        <v>2670.84</v>
      </c>
      <c r="AP6" s="260">
        <f t="shared" si="9"/>
        <v>3.0619233983771394</v>
      </c>
      <c r="AQ6" s="260">
        <v>1471.92</v>
      </c>
      <c r="AR6" s="260">
        <f t="shared" si="10"/>
        <v>5.5559456283776285</v>
      </c>
      <c r="AS6" s="260"/>
      <c r="AT6" s="260">
        <v>1633</v>
      </c>
      <c r="AU6" s="260"/>
      <c r="AV6" s="260"/>
      <c r="AW6" s="260"/>
      <c r="AX6" s="260"/>
    </row>
    <row r="7" spans="1:50" x14ac:dyDescent="0.3">
      <c r="A7" s="11" t="s">
        <v>35</v>
      </c>
      <c r="B7" s="11" t="s">
        <v>537</v>
      </c>
      <c r="C7" s="11"/>
      <c r="D7" s="260">
        <v>2011</v>
      </c>
      <c r="E7" s="42">
        <v>823.1</v>
      </c>
      <c r="F7" s="94">
        <v>1069</v>
      </c>
      <c r="G7" s="260"/>
      <c r="H7" s="260">
        <v>3960</v>
      </c>
      <c r="I7" s="260" t="s">
        <v>539</v>
      </c>
      <c r="J7" s="74">
        <v>6.5</v>
      </c>
      <c r="K7" s="9">
        <f t="shared" si="0"/>
        <v>2.6305500000000002E-2</v>
      </c>
      <c r="L7" s="9">
        <f t="shared" si="1"/>
        <v>2.6304566730000003</v>
      </c>
      <c r="M7" s="1">
        <f t="shared" si="2"/>
        <v>7.8969748511723967</v>
      </c>
      <c r="N7" s="1">
        <f t="shared" si="3"/>
        <v>31.290034403451749</v>
      </c>
      <c r="O7" s="11">
        <v>4.91</v>
      </c>
      <c r="P7" s="1">
        <f t="shared" si="4"/>
        <v>1.9870770000000003E-2</v>
      </c>
      <c r="Q7" s="1">
        <f t="shared" si="5"/>
        <v>1.9870065022200001</v>
      </c>
      <c r="R7" s="1">
        <f t="shared" si="6"/>
        <v>5.9652533106548411</v>
      </c>
      <c r="S7" s="1">
        <f t="shared" si="7"/>
        <v>41.422652468927971</v>
      </c>
      <c r="T7" s="11"/>
      <c r="U7" s="11"/>
      <c r="V7" s="11"/>
      <c r="W7" s="260">
        <v>32.29</v>
      </c>
      <c r="X7" s="260">
        <v>-111.03294</v>
      </c>
      <c r="Y7" s="260" t="s">
        <v>21</v>
      </c>
      <c r="Z7" s="260" t="s">
        <v>540</v>
      </c>
      <c r="AA7" s="11" t="s">
        <v>95</v>
      </c>
      <c r="AB7" s="15">
        <v>0.13769999999999999</v>
      </c>
      <c r="AC7" s="11" t="s">
        <v>399</v>
      </c>
      <c r="AD7" s="260" t="s">
        <v>538</v>
      </c>
      <c r="AE7" s="260" t="s">
        <v>29</v>
      </c>
      <c r="AF7" s="260" t="s">
        <v>475</v>
      </c>
      <c r="AG7" s="15" t="s">
        <v>541</v>
      </c>
      <c r="AH7" s="260"/>
      <c r="AI7" s="260">
        <v>1</v>
      </c>
      <c r="AJ7" s="260"/>
      <c r="AK7" s="260">
        <v>1999</v>
      </c>
      <c r="AL7" s="260">
        <v>2596.71</v>
      </c>
      <c r="AM7" s="98">
        <f t="shared" si="11"/>
        <v>3.0411462393460944</v>
      </c>
      <c r="AN7" s="100">
        <f t="shared" si="8"/>
        <v>2.2972350823368188</v>
      </c>
      <c r="AO7" s="260">
        <v>2672.03</v>
      </c>
      <c r="AP7" s="260">
        <f t="shared" si="9"/>
        <v>2.9554214777425392</v>
      </c>
      <c r="AQ7" s="260">
        <v>1464.43</v>
      </c>
      <c r="AR7" s="260">
        <f t="shared" si="10"/>
        <v>5.3925246349585825</v>
      </c>
      <c r="AS7" s="260"/>
      <c r="AT7" s="260"/>
      <c r="AU7" s="260"/>
      <c r="AV7" s="260"/>
      <c r="AW7" s="260"/>
      <c r="AX7" s="260"/>
    </row>
    <row r="8" spans="1:50" x14ac:dyDescent="0.3">
      <c r="A8" s="11" t="s">
        <v>26</v>
      </c>
      <c r="B8" s="11" t="s">
        <v>166</v>
      </c>
      <c r="C8" s="11"/>
      <c r="D8" s="260">
        <v>2008</v>
      </c>
      <c r="E8" s="18">
        <f>F8*$A$292</f>
        <v>851.40770920487284</v>
      </c>
      <c r="F8" s="18">
        <v>1000</v>
      </c>
      <c r="G8" s="260"/>
      <c r="H8" s="260">
        <v>5445</v>
      </c>
      <c r="I8" s="260" t="s">
        <v>167</v>
      </c>
      <c r="J8" s="260">
        <v>5</v>
      </c>
      <c r="K8" s="9">
        <f t="shared" si="0"/>
        <v>2.0235000000000003E-2</v>
      </c>
      <c r="L8" s="9">
        <f t="shared" si="1"/>
        <v>2.0234282100000001</v>
      </c>
      <c r="M8" s="1">
        <f t="shared" si="2"/>
        <v>5.8726271161785526</v>
      </c>
      <c r="N8" s="1">
        <f t="shared" si="3"/>
        <v>42.075992547806905</v>
      </c>
      <c r="O8" s="260">
        <v>5</v>
      </c>
      <c r="P8" s="1">
        <f t="shared" si="4"/>
        <v>2.0235000000000003E-2</v>
      </c>
      <c r="Q8" s="1">
        <f t="shared" si="5"/>
        <v>2.0234282100000001</v>
      </c>
      <c r="R8" s="1">
        <f t="shared" si="6"/>
        <v>5.8726271161785526</v>
      </c>
      <c r="S8" s="1">
        <f t="shared" si="7"/>
        <v>42.075992547806905</v>
      </c>
      <c r="T8" s="1"/>
      <c r="U8" s="1"/>
      <c r="V8" s="1"/>
      <c r="W8" s="260">
        <v>36.353563999999999</v>
      </c>
      <c r="X8" s="260">
        <v>-119.400734</v>
      </c>
      <c r="Y8" s="260" t="s">
        <v>21</v>
      </c>
      <c r="Z8" s="260" t="s">
        <v>776</v>
      </c>
      <c r="AA8" s="260" t="s">
        <v>94</v>
      </c>
      <c r="AB8" s="15"/>
      <c r="AC8" s="15"/>
      <c r="AD8" s="15" t="s">
        <v>253</v>
      </c>
      <c r="AE8" s="260" t="s">
        <v>29</v>
      </c>
      <c r="AF8" s="260" t="s">
        <v>157</v>
      </c>
      <c r="AG8" s="15" t="s">
        <v>352</v>
      </c>
      <c r="AH8" s="260"/>
      <c r="AI8" s="260">
        <v>1</v>
      </c>
      <c r="AJ8" s="260"/>
      <c r="AK8" s="260">
        <v>1856</v>
      </c>
      <c r="AL8" s="260">
        <v>2243.42</v>
      </c>
      <c r="AM8" s="98">
        <f t="shared" si="11"/>
        <v>2.6177118489531841</v>
      </c>
      <c r="AN8" s="100">
        <f t="shared" si="8"/>
        <v>2.6177118489531841</v>
      </c>
      <c r="AO8" s="260">
        <v>2672.06</v>
      </c>
      <c r="AP8" s="260">
        <f t="shared" si="9"/>
        <v>2.1977901380128264</v>
      </c>
      <c r="AQ8" s="260">
        <v>1469.39</v>
      </c>
      <c r="AR8" s="260">
        <f t="shared" si="10"/>
        <v>3.9966429036393003</v>
      </c>
      <c r="AS8" s="260"/>
      <c r="AT8" s="260"/>
      <c r="AU8" s="260"/>
      <c r="AV8" s="260"/>
      <c r="AW8" s="260"/>
      <c r="AX8" s="260"/>
    </row>
    <row r="9" spans="1:50" x14ac:dyDescent="0.3">
      <c r="A9" s="11" t="s">
        <v>424</v>
      </c>
      <c r="B9" s="11" t="s">
        <v>425</v>
      </c>
      <c r="C9" s="11"/>
      <c r="D9" s="260">
        <v>2009</v>
      </c>
      <c r="E9" s="18">
        <f>F9*$A$292</f>
        <v>851.40770920487284</v>
      </c>
      <c r="F9" s="18">
        <v>1000</v>
      </c>
      <c r="G9" s="260"/>
      <c r="H9" s="260">
        <v>5000</v>
      </c>
      <c r="I9" s="260" t="s">
        <v>389</v>
      </c>
      <c r="J9" s="74">
        <v>9.5</v>
      </c>
      <c r="K9" s="9">
        <f t="shared" si="0"/>
        <v>3.8446500000000002E-2</v>
      </c>
      <c r="L9" s="9">
        <f t="shared" si="1"/>
        <v>3.8445135989999999</v>
      </c>
      <c r="M9" s="1">
        <f t="shared" si="2"/>
        <v>11.15799152073925</v>
      </c>
      <c r="N9" s="1">
        <f t="shared" si="3"/>
        <v>22.145259235687849</v>
      </c>
      <c r="O9" s="260">
        <v>9</v>
      </c>
      <c r="P9" s="1">
        <f t="shared" si="4"/>
        <v>3.6423000000000004E-2</v>
      </c>
      <c r="Q9" s="1">
        <f>O9*0.4047</f>
        <v>3.6423000000000001</v>
      </c>
      <c r="R9" s="1">
        <f t="shared" si="6"/>
        <v>10.570728809121395</v>
      </c>
      <c r="S9" s="1">
        <f t="shared" si="7"/>
        <v>23.375551415448282</v>
      </c>
      <c r="T9" s="105">
        <v>0.19500000000000001</v>
      </c>
      <c r="U9" s="1">
        <f>1/T9</f>
        <v>5.1282051282051277</v>
      </c>
      <c r="V9" s="1">
        <f>T9*R9</f>
        <v>2.0612921177786721</v>
      </c>
      <c r="W9" s="260">
        <v>33.926340000000003</v>
      </c>
      <c r="X9" s="260">
        <v>-117.60604600000001</v>
      </c>
      <c r="Y9" s="260" t="s">
        <v>21</v>
      </c>
      <c r="Z9" s="100" t="s">
        <v>426</v>
      </c>
      <c r="AA9" s="11" t="s">
        <v>95</v>
      </c>
      <c r="AB9" s="15">
        <v>0.19600000000000001</v>
      </c>
      <c r="AC9" s="260" t="s">
        <v>391</v>
      </c>
      <c r="AD9" s="260" t="s">
        <v>421</v>
      </c>
      <c r="AE9" s="260" t="s">
        <v>29</v>
      </c>
      <c r="AF9" s="260" t="s">
        <v>427</v>
      </c>
      <c r="AG9" s="15" t="s">
        <v>385</v>
      </c>
      <c r="AH9" s="260"/>
      <c r="AI9" s="260">
        <v>1</v>
      </c>
      <c r="AJ9" s="260"/>
      <c r="AK9" s="260">
        <v>2084</v>
      </c>
      <c r="AL9" s="260">
        <v>2475.41</v>
      </c>
      <c r="AM9" s="98">
        <f t="shared" si="11"/>
        <v>4.5075326999322334</v>
      </c>
      <c r="AN9" s="100">
        <f t="shared" si="8"/>
        <v>4.2702941367779053</v>
      </c>
      <c r="AO9" s="260">
        <v>2891.1</v>
      </c>
      <c r="AP9" s="260">
        <f t="shared" si="9"/>
        <v>3.8594277336443739</v>
      </c>
      <c r="AQ9" s="260">
        <v>1587.88</v>
      </c>
      <c r="AR9" s="260">
        <f t="shared" si="10"/>
        <v>7.0269740287296587</v>
      </c>
      <c r="AS9" s="260"/>
      <c r="AT9" s="260"/>
      <c r="AU9" s="260"/>
      <c r="AV9" s="260"/>
      <c r="AW9" s="260"/>
      <c r="AX9" s="260"/>
    </row>
    <row r="10" spans="1:50" x14ac:dyDescent="0.3">
      <c r="A10" s="11" t="s">
        <v>26</v>
      </c>
      <c r="B10" s="11" t="s">
        <v>419</v>
      </c>
      <c r="C10" s="11"/>
      <c r="D10" s="260">
        <v>2008</v>
      </c>
      <c r="E10" s="42">
        <f>F10*0.89</f>
        <v>890</v>
      </c>
      <c r="F10" s="94">
        <v>1000</v>
      </c>
      <c r="G10" s="260"/>
      <c r="H10" s="260">
        <v>18210</v>
      </c>
      <c r="I10" s="260" t="s">
        <v>418</v>
      </c>
      <c r="J10" s="74">
        <v>11.2</v>
      </c>
      <c r="K10" s="9">
        <f t="shared" si="0"/>
        <v>4.5326400000000003E-2</v>
      </c>
      <c r="L10" s="9">
        <f t="shared" si="1"/>
        <v>4.5324791904000001</v>
      </c>
      <c r="M10" s="1">
        <f t="shared" si="2"/>
        <v>12.584269662921347</v>
      </c>
      <c r="N10" s="1">
        <f t="shared" si="3"/>
        <v>19.635355995622859</v>
      </c>
      <c r="O10" s="260">
        <v>7.9</v>
      </c>
      <c r="P10" s="1">
        <f t="shared" si="4"/>
        <v>3.1971300000000001E-2</v>
      </c>
      <c r="Q10" s="1">
        <f t="shared" ref="Q10:Q26" si="12">O10*0.404685642</f>
        <v>3.1970165718000003</v>
      </c>
      <c r="R10" s="1">
        <f t="shared" si="6"/>
        <v>8.8764044943820224</v>
      </c>
      <c r="S10" s="1">
        <f t="shared" si="7"/>
        <v>27.837466727971648</v>
      </c>
      <c r="T10" s="105">
        <v>0.20949999999999999</v>
      </c>
      <c r="U10" s="1">
        <f>1/T10</f>
        <v>4.7732696897374707</v>
      </c>
      <c r="V10" s="1">
        <f>T10*R10</f>
        <v>1.8596067415730335</v>
      </c>
      <c r="W10" s="260">
        <v>33.964523</v>
      </c>
      <c r="X10" s="260">
        <v>-117.674453</v>
      </c>
      <c r="Y10" s="260" t="s">
        <v>21</v>
      </c>
      <c r="Z10" s="100" t="s">
        <v>474</v>
      </c>
      <c r="AA10" s="11" t="s">
        <v>95</v>
      </c>
      <c r="AB10" s="111">
        <v>0.19600000000000001</v>
      </c>
      <c r="AC10" s="15" t="s">
        <v>391</v>
      </c>
      <c r="AD10" s="260" t="s">
        <v>421</v>
      </c>
      <c r="AE10" s="260" t="s">
        <v>29</v>
      </c>
      <c r="AF10" s="260" t="s">
        <v>420</v>
      </c>
      <c r="AG10" s="15" t="s">
        <v>385</v>
      </c>
      <c r="AH10" s="260"/>
      <c r="AI10" s="260">
        <v>1</v>
      </c>
      <c r="AJ10" s="260"/>
      <c r="AK10" s="100">
        <v>2220</v>
      </c>
      <c r="AL10" s="260">
        <v>2474.35</v>
      </c>
      <c r="AM10" s="98">
        <f t="shared" si="11"/>
        <v>5.0858890872032445</v>
      </c>
      <c r="AN10" s="100">
        <f t="shared" si="8"/>
        <v>3.5873681954380028</v>
      </c>
      <c r="AO10" s="260">
        <v>2889.44</v>
      </c>
      <c r="AP10" s="260">
        <f t="shared" si="9"/>
        <v>4.3552624947814609</v>
      </c>
      <c r="AQ10" s="260">
        <v>1589.11</v>
      </c>
      <c r="AR10" s="260">
        <f t="shared" si="10"/>
        <v>7.9190676938168831</v>
      </c>
      <c r="AS10" s="260"/>
      <c r="AT10" s="260"/>
      <c r="AU10" s="260"/>
      <c r="AV10" s="260"/>
      <c r="AW10" s="260"/>
      <c r="AX10" s="260"/>
    </row>
    <row r="11" spans="1:50" x14ac:dyDescent="0.3">
      <c r="A11" s="11" t="s">
        <v>26</v>
      </c>
      <c r="B11" s="11" t="s">
        <v>49</v>
      </c>
      <c r="C11" s="11"/>
      <c r="D11" s="260">
        <v>2008</v>
      </c>
      <c r="E11" s="42">
        <v>917.91300000000001</v>
      </c>
      <c r="F11" s="94">
        <v>1088.96</v>
      </c>
      <c r="G11" s="260"/>
      <c r="H11" s="260">
        <v>5312</v>
      </c>
      <c r="I11" s="260" t="s">
        <v>8</v>
      </c>
      <c r="J11" s="260">
        <v>7.95</v>
      </c>
      <c r="K11" s="9">
        <f t="shared" si="0"/>
        <v>3.2173650000000005E-2</v>
      </c>
      <c r="L11" s="9">
        <f t="shared" si="1"/>
        <v>3.2172508539</v>
      </c>
      <c r="M11" s="1">
        <f t="shared" si="2"/>
        <v>8.6609515280859952</v>
      </c>
      <c r="N11" s="1">
        <f t="shared" si="3"/>
        <v>28.529961630091702</v>
      </c>
      <c r="O11" s="260">
        <v>6.08</v>
      </c>
      <c r="P11" s="1">
        <f t="shared" si="4"/>
        <v>2.4605760000000001E-2</v>
      </c>
      <c r="Q11" s="1">
        <f t="shared" si="12"/>
        <v>2.4604887033600003</v>
      </c>
      <c r="R11" s="1">
        <f t="shared" si="6"/>
        <v>6.6237214202217425</v>
      </c>
      <c r="S11" s="1">
        <f t="shared" si="7"/>
        <v>37.304801802504777</v>
      </c>
      <c r="T11" s="1">
        <f>1.62719/4.28625</f>
        <v>0.37963021289005539</v>
      </c>
      <c r="U11" s="1">
        <f>1/T11</f>
        <v>2.6341422943847985</v>
      </c>
      <c r="V11" s="1">
        <f>T11*R11</f>
        <v>2.5145647728832001</v>
      </c>
      <c r="W11" s="260">
        <v>38.231990000000003</v>
      </c>
      <c r="X11" s="260">
        <v>-122.092904</v>
      </c>
      <c r="Y11" s="260" t="s">
        <v>21</v>
      </c>
      <c r="Z11" s="260" t="s">
        <v>776</v>
      </c>
      <c r="AA11" s="260" t="s">
        <v>94</v>
      </c>
      <c r="AB11" s="15">
        <v>0.14799999999999999</v>
      </c>
      <c r="AC11" s="15" t="s">
        <v>399</v>
      </c>
      <c r="AD11" s="15" t="s">
        <v>78</v>
      </c>
      <c r="AE11" s="260" t="s">
        <v>29</v>
      </c>
      <c r="AF11" s="260" t="s">
        <v>34</v>
      </c>
      <c r="AG11" s="15" t="s">
        <v>353</v>
      </c>
      <c r="AH11" s="260"/>
      <c r="AI11" s="260">
        <v>1</v>
      </c>
      <c r="AJ11" s="260"/>
      <c r="AK11" s="260">
        <v>1890</v>
      </c>
      <c r="AL11" s="260">
        <v>2242.61</v>
      </c>
      <c r="AM11" s="98">
        <f t="shared" si="11"/>
        <v>3.8619963025608528</v>
      </c>
      <c r="AN11" s="100">
        <f t="shared" si="8"/>
        <v>2.953577046486791</v>
      </c>
      <c r="AO11" s="260">
        <v>2672.17</v>
      </c>
      <c r="AP11" s="260">
        <f t="shared" si="9"/>
        <v>3.2411678628552805</v>
      </c>
      <c r="AQ11" s="260">
        <v>1468.97</v>
      </c>
      <c r="AR11" s="260">
        <f t="shared" si="10"/>
        <v>5.8959349258909262</v>
      </c>
      <c r="AS11" s="260"/>
      <c r="AT11" s="260"/>
      <c r="AU11" s="260"/>
      <c r="AV11" s="260"/>
      <c r="AW11" s="260"/>
      <c r="AX11" s="260"/>
    </row>
    <row r="12" spans="1:50" x14ac:dyDescent="0.3">
      <c r="A12" s="11" t="s">
        <v>26</v>
      </c>
      <c r="B12" s="11" t="s">
        <v>52</v>
      </c>
      <c r="C12" s="11"/>
      <c r="D12" s="260">
        <v>2009</v>
      </c>
      <c r="E12" s="42">
        <v>924.13400000000001</v>
      </c>
      <c r="F12" s="94">
        <v>1102.08</v>
      </c>
      <c r="G12" s="260"/>
      <c r="H12" s="260">
        <v>5376</v>
      </c>
      <c r="I12" s="260" t="s">
        <v>33</v>
      </c>
      <c r="J12" s="260">
        <v>9</v>
      </c>
      <c r="K12" s="9">
        <f t="shared" si="0"/>
        <v>3.6423000000000004E-2</v>
      </c>
      <c r="L12" s="9">
        <f t="shared" si="1"/>
        <v>3.6421707780000001</v>
      </c>
      <c r="M12" s="1">
        <f t="shared" si="2"/>
        <v>9.7388473965896711</v>
      </c>
      <c r="N12" s="1">
        <f t="shared" si="3"/>
        <v>25.372264777750321</v>
      </c>
      <c r="O12" s="260">
        <v>6.5339999999999998</v>
      </c>
      <c r="P12" s="1">
        <f t="shared" si="4"/>
        <v>2.6443098000000002E-2</v>
      </c>
      <c r="Q12" s="1">
        <f t="shared" si="12"/>
        <v>2.644215984828</v>
      </c>
      <c r="R12" s="1">
        <f t="shared" si="6"/>
        <v>7.0704032099241019</v>
      </c>
      <c r="S12" s="1">
        <f t="shared" si="7"/>
        <v>34.948023109848926</v>
      </c>
      <c r="T12" s="1">
        <f>1.94469/5.67531</f>
        <v>0.34265793410404016</v>
      </c>
      <c r="U12" s="1">
        <f>1/T12</f>
        <v>2.918362309674035</v>
      </c>
      <c r="V12" s="1">
        <f>T12*R12</f>
        <v>2.4227297571951669</v>
      </c>
      <c r="W12" s="260">
        <v>34.594321000000001</v>
      </c>
      <c r="X12" s="260">
        <v>-117.19450999999999</v>
      </c>
      <c r="Y12" s="260" t="s">
        <v>21</v>
      </c>
      <c r="Z12" s="260" t="s">
        <v>776</v>
      </c>
      <c r="AA12" s="260" t="s">
        <v>94</v>
      </c>
      <c r="AB12" s="15">
        <v>0.14799999999999999</v>
      </c>
      <c r="AC12" s="15" t="s">
        <v>399</v>
      </c>
      <c r="AD12" s="15" t="s">
        <v>78</v>
      </c>
      <c r="AE12" s="260" t="s">
        <v>29</v>
      </c>
      <c r="AF12" s="260" t="s">
        <v>53</v>
      </c>
      <c r="AG12" s="15" t="s">
        <v>353</v>
      </c>
      <c r="AH12" s="260"/>
      <c r="AI12" s="260">
        <v>1</v>
      </c>
      <c r="AJ12" s="260"/>
      <c r="AK12" s="260">
        <v>2305</v>
      </c>
      <c r="AL12" s="260">
        <v>2749.51</v>
      </c>
      <c r="AM12" s="98">
        <f t="shared" si="11"/>
        <v>3.5420301786826274</v>
      </c>
      <c r="AN12" s="100">
        <f t="shared" si="8"/>
        <v>2.5715139097235875</v>
      </c>
      <c r="AO12" s="260">
        <v>2672.22</v>
      </c>
      <c r="AP12" s="260">
        <f t="shared" si="9"/>
        <v>3.6444781479779631</v>
      </c>
      <c r="AQ12" s="260">
        <v>1468.74</v>
      </c>
      <c r="AR12" s="260">
        <f t="shared" si="10"/>
        <v>6.6307497559742838</v>
      </c>
      <c r="AS12" s="260"/>
      <c r="AT12" s="260"/>
      <c r="AU12" s="260"/>
      <c r="AV12" s="260"/>
      <c r="AW12" s="260"/>
      <c r="AX12" s="260"/>
    </row>
    <row r="13" spans="1:50" x14ac:dyDescent="0.3">
      <c r="A13" s="11" t="s">
        <v>35</v>
      </c>
      <c r="B13" s="11" t="s">
        <v>165</v>
      </c>
      <c r="C13" s="11"/>
      <c r="D13" s="260">
        <v>2009</v>
      </c>
      <c r="E13" s="18">
        <f>F13*$A$292</f>
        <v>936.54848012536013</v>
      </c>
      <c r="F13" s="18">
        <v>1100</v>
      </c>
      <c r="G13" s="11">
        <v>10</v>
      </c>
      <c r="H13" s="260">
        <v>5400</v>
      </c>
      <c r="I13" s="260" t="s">
        <v>165</v>
      </c>
      <c r="J13" s="260">
        <v>9</v>
      </c>
      <c r="K13" s="9">
        <f t="shared" si="0"/>
        <v>3.6423000000000004E-2</v>
      </c>
      <c r="L13" s="9">
        <f t="shared" si="1"/>
        <v>3.6421707780000001</v>
      </c>
      <c r="M13" s="1">
        <f t="shared" si="2"/>
        <v>9.6097534628376309</v>
      </c>
      <c r="N13" s="1">
        <f t="shared" si="3"/>
        <v>25.713106556993111</v>
      </c>
      <c r="O13" s="260">
        <v>6.4</v>
      </c>
      <c r="P13" s="1">
        <f t="shared" si="4"/>
        <v>2.5900800000000002E-2</v>
      </c>
      <c r="Q13" s="1">
        <f t="shared" si="12"/>
        <v>2.5899881088000001</v>
      </c>
      <c r="R13" s="1">
        <f t="shared" si="6"/>
        <v>6.8336024624623155</v>
      </c>
      <c r="S13" s="1">
        <f t="shared" si="7"/>
        <v>36.159056095771561</v>
      </c>
      <c r="T13" s="1"/>
      <c r="U13" s="1"/>
      <c r="V13" s="1"/>
      <c r="W13" s="260">
        <v>33.052171999999999</v>
      </c>
      <c r="X13" s="260">
        <v>-111.489773</v>
      </c>
      <c r="Y13" s="260" t="s">
        <v>21</v>
      </c>
      <c r="Z13" s="260" t="s">
        <v>776</v>
      </c>
      <c r="AA13" s="69" t="s">
        <v>96</v>
      </c>
      <c r="AB13" s="15"/>
      <c r="AC13" s="15"/>
      <c r="AD13" s="260"/>
      <c r="AE13" s="260" t="s">
        <v>29</v>
      </c>
      <c r="AF13" s="260" t="s">
        <v>157</v>
      </c>
      <c r="AG13" s="15" t="s">
        <v>352</v>
      </c>
      <c r="AH13" s="260"/>
      <c r="AI13" s="260">
        <v>1</v>
      </c>
      <c r="AJ13" s="260"/>
      <c r="AK13" s="260">
        <v>2119</v>
      </c>
      <c r="AL13" s="260">
        <v>2537.4499999999998</v>
      </c>
      <c r="AM13" s="98">
        <f t="shared" si="11"/>
        <v>3.7871695847554165</v>
      </c>
      <c r="AN13" s="100">
        <f t="shared" si="8"/>
        <v>2.6930983713816299</v>
      </c>
      <c r="AO13" s="260">
        <v>2672.06</v>
      </c>
      <c r="AP13" s="260">
        <f t="shared" si="9"/>
        <v>3.5963838622028064</v>
      </c>
      <c r="AQ13" s="260">
        <v>1469.39</v>
      </c>
      <c r="AR13" s="260">
        <f t="shared" si="10"/>
        <v>6.5399611150461272</v>
      </c>
      <c r="AS13" s="260"/>
      <c r="AT13" s="260"/>
      <c r="AU13" s="260"/>
      <c r="AV13" s="260"/>
      <c r="AW13" s="260"/>
      <c r="AX13" s="260"/>
    </row>
    <row r="14" spans="1:50" x14ac:dyDescent="0.3">
      <c r="A14" s="11" t="s">
        <v>527</v>
      </c>
      <c r="B14" s="11" t="s">
        <v>526</v>
      </c>
      <c r="C14" s="11"/>
      <c r="D14" s="260">
        <v>2010</v>
      </c>
      <c r="E14" s="42">
        <v>940</v>
      </c>
      <c r="F14" s="94">
        <v>1000</v>
      </c>
      <c r="G14" s="260"/>
      <c r="H14" s="260">
        <v>4500</v>
      </c>
      <c r="I14" s="260" t="s">
        <v>389</v>
      </c>
      <c r="J14" s="74">
        <v>10</v>
      </c>
      <c r="K14" s="9">
        <f t="shared" si="0"/>
        <v>4.0470000000000006E-2</v>
      </c>
      <c r="L14" s="9">
        <f t="shared" si="1"/>
        <v>4.0468564200000001</v>
      </c>
      <c r="M14" s="1">
        <f t="shared" si="2"/>
        <v>10.638297872340425</v>
      </c>
      <c r="N14" s="1">
        <f t="shared" si="3"/>
        <v>23.227081788979486</v>
      </c>
      <c r="O14" s="11">
        <v>6.1</v>
      </c>
      <c r="P14" s="1">
        <f t="shared" si="4"/>
        <v>2.4686699999999999E-2</v>
      </c>
      <c r="Q14" s="1">
        <f t="shared" si="12"/>
        <v>2.4685824161999999</v>
      </c>
      <c r="R14" s="1">
        <f t="shared" si="6"/>
        <v>6.4893617021276597</v>
      </c>
      <c r="S14" s="1">
        <f t="shared" si="7"/>
        <v>38.077183260622114</v>
      </c>
      <c r="T14" s="11">
        <v>0.38575999999999999</v>
      </c>
      <c r="U14" s="1">
        <f>1/T14</f>
        <v>2.5922853587722936</v>
      </c>
      <c r="V14" s="1">
        <f>T14*R14</f>
        <v>2.5033361702127661</v>
      </c>
      <c r="W14" s="260">
        <v>35.25421</v>
      </c>
      <c r="X14" s="260">
        <v>-81.595889999999997</v>
      </c>
      <c r="Y14" s="260" t="s">
        <v>21</v>
      </c>
      <c r="Z14" s="260" t="s">
        <v>776</v>
      </c>
      <c r="AA14" s="11" t="s">
        <v>96</v>
      </c>
      <c r="AB14" s="15">
        <v>0.19</v>
      </c>
      <c r="AC14" s="11" t="s">
        <v>391</v>
      </c>
      <c r="AD14" s="260" t="s">
        <v>389</v>
      </c>
      <c r="AE14" s="260" t="s">
        <v>29</v>
      </c>
      <c r="AF14" s="260" t="s">
        <v>157</v>
      </c>
      <c r="AG14" s="15" t="s">
        <v>380</v>
      </c>
      <c r="AH14" s="260"/>
      <c r="AI14" s="260">
        <v>1</v>
      </c>
      <c r="AJ14" s="260"/>
      <c r="AK14" s="260">
        <v>1822</v>
      </c>
      <c r="AL14" s="260">
        <v>1938.31</v>
      </c>
      <c r="AM14" s="98">
        <f t="shared" si="11"/>
        <v>5.4884398637681411</v>
      </c>
      <c r="AN14" s="100">
        <f t="shared" si="8"/>
        <v>3.3479483168985662</v>
      </c>
      <c r="AO14" s="260">
        <v>2670.14</v>
      </c>
      <c r="AP14" s="260">
        <f t="shared" si="9"/>
        <v>3.9841723176838766</v>
      </c>
      <c r="AQ14" s="260">
        <v>1472.8</v>
      </c>
      <c r="AR14" s="260">
        <f t="shared" si="10"/>
        <v>7.2231788921377147</v>
      </c>
      <c r="AS14" s="260"/>
      <c r="AT14" s="260"/>
      <c r="AU14" s="260"/>
      <c r="AV14" s="260"/>
      <c r="AW14" s="260"/>
      <c r="AX14" s="260"/>
    </row>
    <row r="15" spans="1:50" x14ac:dyDescent="0.3">
      <c r="A15" s="11" t="s">
        <v>26</v>
      </c>
      <c r="B15" s="11" t="s">
        <v>473</v>
      </c>
      <c r="C15" s="11"/>
      <c r="D15" s="260">
        <v>2008</v>
      </c>
      <c r="E15" s="18">
        <f>F15*$A$292</f>
        <v>953.57663430945763</v>
      </c>
      <c r="F15" s="18">
        <v>1120</v>
      </c>
      <c r="G15" s="260"/>
      <c r="H15" s="260">
        <v>4870</v>
      </c>
      <c r="I15" s="260" t="s">
        <v>389</v>
      </c>
      <c r="J15" s="74">
        <v>11.54</v>
      </c>
      <c r="K15" s="9">
        <f t="shared" si="0"/>
        <v>4.6702380000000002E-2</v>
      </c>
      <c r="L15" s="9">
        <f t="shared" si="1"/>
        <v>4.67007230868</v>
      </c>
      <c r="M15" s="1">
        <f t="shared" si="2"/>
        <v>12.10180659298223</v>
      </c>
      <c r="N15" s="1">
        <f t="shared" si="3"/>
        <v>20.418159295296249</v>
      </c>
      <c r="O15" s="11">
        <v>7.6</v>
      </c>
      <c r="P15" s="1">
        <f t="shared" si="4"/>
        <v>3.0757200000000002E-2</v>
      </c>
      <c r="Q15" s="1">
        <f t="shared" si="12"/>
        <v>3.0756108792000001</v>
      </c>
      <c r="R15" s="1">
        <f t="shared" si="6"/>
        <v>7.9699939433851776</v>
      </c>
      <c r="S15" s="1">
        <f t="shared" si="7"/>
        <v>31.003362929962986</v>
      </c>
      <c r="T15" s="100">
        <v>0.23</v>
      </c>
      <c r="U15" s="1">
        <f>1/T15</f>
        <v>4.3478260869565215</v>
      </c>
      <c r="V15" s="1">
        <f>T15*R15</f>
        <v>1.8330986069785908</v>
      </c>
      <c r="W15" s="260">
        <v>33.536287999999999</v>
      </c>
      <c r="X15" s="260">
        <v>-117.193406</v>
      </c>
      <c r="Y15" s="260" t="s">
        <v>21</v>
      </c>
      <c r="Z15" s="100" t="s">
        <v>474</v>
      </c>
      <c r="AA15" s="100"/>
      <c r="AB15" s="15">
        <v>0.19</v>
      </c>
      <c r="AC15" s="260" t="s">
        <v>391</v>
      </c>
      <c r="AD15" s="260" t="s">
        <v>421</v>
      </c>
      <c r="AE15" s="260" t="s">
        <v>29</v>
      </c>
      <c r="AF15" s="260" t="s">
        <v>475</v>
      </c>
      <c r="AG15" s="15" t="s">
        <v>385</v>
      </c>
      <c r="AH15" s="260"/>
      <c r="AI15" s="260">
        <v>1</v>
      </c>
      <c r="AJ15" s="260"/>
      <c r="AK15" s="100">
        <v>2169</v>
      </c>
      <c r="AL15" s="260">
        <v>2596.79</v>
      </c>
      <c r="AM15" s="98">
        <f t="shared" si="11"/>
        <v>4.6602946687957942</v>
      </c>
      <c r="AN15" s="100">
        <f t="shared" si="8"/>
        <v>3.0691715323091886</v>
      </c>
      <c r="AO15" s="260">
        <v>2891.1</v>
      </c>
      <c r="AP15" s="260">
        <f t="shared" si="9"/>
        <v>4.1858830870541421</v>
      </c>
      <c r="AQ15" s="260">
        <v>1587.88</v>
      </c>
      <c r="AR15" s="260">
        <f t="shared" si="10"/>
        <v>7.6213609296560376</v>
      </c>
      <c r="AS15" s="260"/>
      <c r="AT15" s="260"/>
      <c r="AU15" s="260"/>
      <c r="AV15" s="260"/>
      <c r="AW15" s="260"/>
      <c r="AX15" s="260"/>
    </row>
    <row r="16" spans="1:50" x14ac:dyDescent="0.3">
      <c r="A16" s="11" t="s">
        <v>26</v>
      </c>
      <c r="B16" s="11" t="s">
        <v>46</v>
      </c>
      <c r="C16" s="11"/>
      <c r="D16" s="260">
        <v>2008</v>
      </c>
      <c r="E16" s="42">
        <v>995.51400000000001</v>
      </c>
      <c r="F16" s="94">
        <v>1179.52</v>
      </c>
      <c r="G16" s="260"/>
      <c r="H16" s="260">
        <v>6208</v>
      </c>
      <c r="I16" s="260" t="s">
        <v>33</v>
      </c>
      <c r="J16" s="260">
        <v>12.13</v>
      </c>
      <c r="K16" s="9">
        <f t="shared" si="0"/>
        <v>4.9090110000000006E-2</v>
      </c>
      <c r="L16" s="9">
        <f t="shared" si="1"/>
        <v>4.9088368374600009</v>
      </c>
      <c r="M16" s="1">
        <f t="shared" si="2"/>
        <v>12.184660386493812</v>
      </c>
      <c r="N16" s="1">
        <f t="shared" si="3"/>
        <v>20.279318991136908</v>
      </c>
      <c r="O16" s="260">
        <v>7.6</v>
      </c>
      <c r="P16" s="1">
        <f t="shared" si="4"/>
        <v>3.0757200000000002E-2</v>
      </c>
      <c r="Q16" s="1">
        <f t="shared" si="12"/>
        <v>3.0756108792000001</v>
      </c>
      <c r="R16" s="1">
        <f t="shared" si="6"/>
        <v>7.6342472330876303</v>
      </c>
      <c r="S16" s="1">
        <f t="shared" si="7"/>
        <v>32.366860442432987</v>
      </c>
      <c r="T16" s="1">
        <f>(15 +5/12 -10 - 4/12)/15.5</f>
        <v>0.32795698924731181</v>
      </c>
      <c r="U16" s="1">
        <f>1/T16</f>
        <v>3.0491803278688527</v>
      </c>
      <c r="V16" s="1">
        <f>T16*R16</f>
        <v>2.5037047377330399</v>
      </c>
      <c r="W16" s="260">
        <v>33.563845999999998</v>
      </c>
      <c r="X16" s="260">
        <v>-114.918655</v>
      </c>
      <c r="Y16" s="260" t="s">
        <v>21</v>
      </c>
      <c r="Z16" s="260" t="s">
        <v>776</v>
      </c>
      <c r="AA16" s="260" t="s">
        <v>94</v>
      </c>
      <c r="AB16" s="15">
        <v>0.12720000000000001</v>
      </c>
      <c r="AC16" s="15" t="s">
        <v>67</v>
      </c>
      <c r="AD16" s="15" t="s">
        <v>76</v>
      </c>
      <c r="AE16" s="260" t="s">
        <v>29</v>
      </c>
      <c r="AF16" s="260" t="s">
        <v>34</v>
      </c>
      <c r="AG16" s="15" t="s">
        <v>353</v>
      </c>
      <c r="AH16" s="260"/>
      <c r="AI16" s="260">
        <v>1</v>
      </c>
      <c r="AJ16" s="260"/>
      <c r="AK16" s="260">
        <v>2214</v>
      </c>
      <c r="AL16" s="260">
        <v>2623.37</v>
      </c>
      <c r="AM16" s="98">
        <f t="shared" si="11"/>
        <v>4.6446594977047893</v>
      </c>
      <c r="AN16" s="100">
        <f t="shared" si="8"/>
        <v>2.910091688586677</v>
      </c>
      <c r="AO16" s="260">
        <v>2672.15</v>
      </c>
      <c r="AP16" s="260">
        <f t="shared" si="9"/>
        <v>4.5598714093497037</v>
      </c>
      <c r="AQ16" s="260">
        <v>1469.02</v>
      </c>
      <c r="AR16" s="260">
        <f t="shared" si="10"/>
        <v>8.2944142261465554</v>
      </c>
      <c r="AS16" s="260"/>
      <c r="AT16" s="260"/>
      <c r="AU16" s="260"/>
      <c r="AV16" s="260"/>
      <c r="AW16" s="260"/>
      <c r="AX16" s="260"/>
    </row>
    <row r="17" spans="1:50" x14ac:dyDescent="0.3">
      <c r="A17" s="11" t="s">
        <v>3</v>
      </c>
      <c r="B17" s="260" t="s">
        <v>32</v>
      </c>
      <c r="C17" s="260"/>
      <c r="D17" s="260">
        <v>2009</v>
      </c>
      <c r="E17" s="42">
        <v>1000</v>
      </c>
      <c r="F17" s="94">
        <v>1083</v>
      </c>
      <c r="G17" s="260"/>
      <c r="H17" s="260">
        <v>5670</v>
      </c>
      <c r="I17" s="260" t="s">
        <v>33</v>
      </c>
      <c r="J17" s="260">
        <v>10.66</v>
      </c>
      <c r="K17" s="9">
        <f t="shared" si="0"/>
        <v>4.3141020000000002E-2</v>
      </c>
      <c r="L17" s="9">
        <f t="shared" si="1"/>
        <v>4.3139489437199998</v>
      </c>
      <c r="M17" s="1">
        <f t="shared" si="2"/>
        <v>10.66</v>
      </c>
      <c r="N17" s="1">
        <f t="shared" si="3"/>
        <v>23.179795007164874</v>
      </c>
      <c r="O17" s="260">
        <v>6.6</v>
      </c>
      <c r="P17" s="1">
        <f t="shared" si="4"/>
        <v>2.67102E-2</v>
      </c>
      <c r="Q17" s="1">
        <f t="shared" si="12"/>
        <v>2.6709252372000001</v>
      </c>
      <c r="R17" s="1">
        <f t="shared" si="6"/>
        <v>6.6</v>
      </c>
      <c r="S17" s="1">
        <f t="shared" si="7"/>
        <v>37.438881026723877</v>
      </c>
      <c r="T17" s="1">
        <f>1.78594/3.84969</f>
        <v>0.46391787390673017</v>
      </c>
      <c r="U17" s="1">
        <f>1/T17</f>
        <v>2.1555539379822388</v>
      </c>
      <c r="V17" s="1">
        <f>T17*R17</f>
        <v>3.0618579677844191</v>
      </c>
      <c r="W17" s="260">
        <v>39.909672999999998</v>
      </c>
      <c r="X17" s="260">
        <v>-105.231408</v>
      </c>
      <c r="Y17" s="260" t="s">
        <v>21</v>
      </c>
      <c r="Z17" s="260" t="s">
        <v>776</v>
      </c>
      <c r="AA17" s="260" t="s">
        <v>95</v>
      </c>
      <c r="AB17" s="15">
        <v>0.1305</v>
      </c>
      <c r="AC17" s="15" t="s">
        <v>67</v>
      </c>
      <c r="AD17" s="15" t="s">
        <v>70</v>
      </c>
      <c r="AE17" s="260" t="s">
        <v>29</v>
      </c>
      <c r="AF17" s="260" t="s">
        <v>34</v>
      </c>
      <c r="AG17" s="15" t="s">
        <v>353</v>
      </c>
      <c r="AH17" s="260"/>
      <c r="AI17" s="260">
        <v>1</v>
      </c>
      <c r="AJ17" s="260"/>
      <c r="AK17" s="260">
        <v>2063</v>
      </c>
      <c r="AL17" s="260">
        <v>2233.86</v>
      </c>
      <c r="AM17" s="98">
        <f t="shared" si="11"/>
        <v>4.7720089889249993</v>
      </c>
      <c r="AN17" s="100">
        <f t="shared" si="8"/>
        <v>2.9545271413606935</v>
      </c>
      <c r="AO17" s="260">
        <v>2670.57</v>
      </c>
      <c r="AP17" s="260">
        <f t="shared" si="9"/>
        <v>3.9916572117562916</v>
      </c>
      <c r="AQ17" s="260">
        <v>1472.28</v>
      </c>
      <c r="AR17" s="260">
        <f t="shared" si="10"/>
        <v>7.2404705626647115</v>
      </c>
      <c r="AS17" s="260"/>
      <c r="AT17" s="260"/>
      <c r="AU17" s="260"/>
      <c r="AV17" s="260"/>
      <c r="AW17" s="260"/>
      <c r="AX17" s="260"/>
    </row>
    <row r="18" spans="1:50" x14ac:dyDescent="0.3">
      <c r="A18" s="11" t="s">
        <v>160</v>
      </c>
      <c r="B18" s="11" t="s">
        <v>519</v>
      </c>
      <c r="C18" s="11"/>
      <c r="D18" s="260">
        <v>2011</v>
      </c>
      <c r="E18" s="42">
        <v>1000</v>
      </c>
      <c r="F18" s="94">
        <v>1140.48</v>
      </c>
      <c r="G18" s="260">
        <v>5</v>
      </c>
      <c r="H18" s="260">
        <v>4224</v>
      </c>
      <c r="I18" s="260" t="s">
        <v>8</v>
      </c>
      <c r="J18" s="74">
        <v>9.1539999999999999</v>
      </c>
      <c r="K18" s="9">
        <f t="shared" si="0"/>
        <v>3.7046238000000002E-2</v>
      </c>
      <c r="L18" s="9">
        <f t="shared" si="1"/>
        <v>3.7044923668680001</v>
      </c>
      <c r="M18" s="1">
        <f t="shared" si="2"/>
        <v>9.1539999999999999</v>
      </c>
      <c r="N18" s="1">
        <f t="shared" si="3"/>
        <v>26.993294163904036</v>
      </c>
      <c r="O18" s="11">
        <v>6.91</v>
      </c>
      <c r="P18" s="1">
        <f t="shared" si="4"/>
        <v>2.7964770000000003E-2</v>
      </c>
      <c r="Q18" s="1">
        <f t="shared" si="12"/>
        <v>2.7963777862200003</v>
      </c>
      <c r="R18" s="1">
        <f t="shared" si="6"/>
        <v>6.91</v>
      </c>
      <c r="S18" s="1">
        <f t="shared" si="7"/>
        <v>35.759278549403405</v>
      </c>
      <c r="T18" s="11"/>
      <c r="U18" s="11"/>
      <c r="V18" s="11"/>
      <c r="W18" s="260">
        <v>35.629170000000002</v>
      </c>
      <c r="X18" s="260">
        <v>-106.08602999999999</v>
      </c>
      <c r="Y18" s="260" t="s">
        <v>21</v>
      </c>
      <c r="Z18" s="260" t="s">
        <v>776</v>
      </c>
      <c r="AA18" s="11"/>
      <c r="AB18" s="15">
        <v>0.13900000000000001</v>
      </c>
      <c r="AC18" s="11" t="s">
        <v>399</v>
      </c>
      <c r="AD18" s="260" t="s">
        <v>521</v>
      </c>
      <c r="AE18" s="260" t="s">
        <v>29</v>
      </c>
      <c r="AF18" s="260" t="s">
        <v>475</v>
      </c>
      <c r="AG18" s="15" t="s">
        <v>385</v>
      </c>
      <c r="AH18" s="260"/>
      <c r="AI18" s="260">
        <v>1</v>
      </c>
      <c r="AJ18" s="260"/>
      <c r="AK18" s="260">
        <v>2272</v>
      </c>
      <c r="AL18" s="260">
        <v>2589.9899999999998</v>
      </c>
      <c r="AM18" s="98">
        <f t="shared" si="11"/>
        <v>3.5343765806045586</v>
      </c>
      <c r="AN18" s="100">
        <f t="shared" si="8"/>
        <v>2.6679639689728534</v>
      </c>
      <c r="AO18" s="260">
        <v>2671.63</v>
      </c>
      <c r="AP18" s="260">
        <f t="shared" si="9"/>
        <v>3.4263726638793539</v>
      </c>
      <c r="AQ18" s="260">
        <v>1470.54</v>
      </c>
      <c r="AR18" s="260">
        <f t="shared" si="10"/>
        <v>6.2249241775130226</v>
      </c>
      <c r="AS18" s="260"/>
      <c r="AT18" s="260"/>
      <c r="AU18" s="260"/>
      <c r="AV18" s="260"/>
      <c r="AW18" s="260"/>
      <c r="AX18" s="260"/>
    </row>
    <row r="19" spans="1:50" ht="15.6" x14ac:dyDescent="0.3">
      <c r="A19" s="11" t="s">
        <v>26</v>
      </c>
      <c r="B19" s="11" t="s">
        <v>451</v>
      </c>
      <c r="C19" s="11"/>
      <c r="D19" s="260">
        <v>2011</v>
      </c>
      <c r="E19" s="42">
        <v>1000</v>
      </c>
      <c r="F19" s="94">
        <v>1159.2</v>
      </c>
      <c r="G19" s="260">
        <v>5.7</v>
      </c>
      <c r="H19" s="260">
        <v>5152</v>
      </c>
      <c r="I19" s="260" t="s">
        <v>452</v>
      </c>
      <c r="J19" s="74">
        <v>11.4</v>
      </c>
      <c r="K19" s="9">
        <f t="shared" si="0"/>
        <v>4.6135800000000005E-2</v>
      </c>
      <c r="L19" s="9">
        <f t="shared" si="1"/>
        <v>4.6134163188000006</v>
      </c>
      <c r="M19" s="1">
        <f t="shared" si="2"/>
        <v>11.4</v>
      </c>
      <c r="N19" s="1">
        <f t="shared" si="3"/>
        <v>21.675141647050662</v>
      </c>
      <c r="O19" s="260">
        <v>7.44</v>
      </c>
      <c r="P19" s="1">
        <f t="shared" si="4"/>
        <v>3.0109680000000003E-2</v>
      </c>
      <c r="Q19" s="1">
        <f t="shared" si="12"/>
        <v>3.0108611764800002</v>
      </c>
      <c r="R19" s="1">
        <f t="shared" si="6"/>
        <v>7.44</v>
      </c>
      <c r="S19" s="1">
        <f t="shared" si="7"/>
        <v>33.211910588222786</v>
      </c>
      <c r="T19" s="260"/>
      <c r="U19" s="260"/>
      <c r="V19" s="260"/>
      <c r="W19" s="260">
        <v>37.633339999999997</v>
      </c>
      <c r="X19" s="260">
        <v>-122.139881</v>
      </c>
      <c r="Y19" s="260" t="s">
        <v>21</v>
      </c>
      <c r="Z19" s="260" t="s">
        <v>776</v>
      </c>
      <c r="AA19" s="11" t="s">
        <v>96</v>
      </c>
      <c r="AB19" s="15">
        <v>0.13600000000000001</v>
      </c>
      <c r="AC19" s="260" t="s">
        <v>399</v>
      </c>
      <c r="AD19" s="80" t="s">
        <v>453</v>
      </c>
      <c r="AE19" s="260" t="s">
        <v>29</v>
      </c>
      <c r="AF19" s="260" t="s">
        <v>157</v>
      </c>
      <c r="AG19" s="15" t="s">
        <v>380</v>
      </c>
      <c r="AH19" s="260"/>
      <c r="AI19" s="260">
        <v>1</v>
      </c>
      <c r="AJ19" s="260"/>
      <c r="AK19" s="260"/>
      <c r="AL19" s="260">
        <v>2175.94</v>
      </c>
      <c r="AM19" s="98">
        <f t="shared" si="11"/>
        <v>5.239115049128193</v>
      </c>
      <c r="AN19" s="100">
        <f t="shared" si="8"/>
        <v>3.4192119267994525</v>
      </c>
      <c r="AO19" s="260">
        <v>2671.88</v>
      </c>
      <c r="AP19" s="260">
        <f t="shared" si="9"/>
        <v>4.2666586822761507</v>
      </c>
      <c r="AQ19" s="260">
        <v>1469.92</v>
      </c>
      <c r="AR19" s="260">
        <f t="shared" si="10"/>
        <v>7.7555241101556538</v>
      </c>
      <c r="AS19" s="260"/>
      <c r="AT19" s="260"/>
      <c r="AU19" s="260"/>
      <c r="AV19" s="260"/>
      <c r="AW19" s="260"/>
      <c r="AX19" s="260"/>
    </row>
    <row r="20" spans="1:50" x14ac:dyDescent="0.3">
      <c r="A20" s="11" t="s">
        <v>47</v>
      </c>
      <c r="B20" s="11" t="s">
        <v>48</v>
      </c>
      <c r="C20" s="11"/>
      <c r="D20" s="260">
        <v>2008</v>
      </c>
      <c r="E20" s="42">
        <v>1000</v>
      </c>
      <c r="F20" s="94">
        <v>1189</v>
      </c>
      <c r="G20" s="260"/>
      <c r="H20" s="260">
        <v>5730</v>
      </c>
      <c r="I20" s="260" t="s">
        <v>8</v>
      </c>
      <c r="J20" s="260">
        <v>9.5</v>
      </c>
      <c r="K20" s="9">
        <f t="shared" si="0"/>
        <v>3.8446500000000002E-2</v>
      </c>
      <c r="L20" s="9">
        <f t="shared" si="1"/>
        <v>3.8445135989999999</v>
      </c>
      <c r="M20" s="1">
        <f t="shared" si="2"/>
        <v>9.5</v>
      </c>
      <c r="N20" s="1">
        <f t="shared" si="3"/>
        <v>26.010169976460794</v>
      </c>
      <c r="O20" s="260">
        <v>7.66</v>
      </c>
      <c r="P20" s="1">
        <f t="shared" si="4"/>
        <v>3.1000020000000003E-2</v>
      </c>
      <c r="Q20" s="1">
        <f t="shared" si="12"/>
        <v>3.0998920177200002</v>
      </c>
      <c r="R20" s="1">
        <f t="shared" si="6"/>
        <v>7.66</v>
      </c>
      <c r="S20" s="1">
        <f t="shared" si="7"/>
        <v>32.258043704487932</v>
      </c>
      <c r="T20" s="1">
        <f>6.5/19.5</f>
        <v>0.33333333333333331</v>
      </c>
      <c r="U20" s="1">
        <f>1/T20</f>
        <v>3</v>
      </c>
      <c r="V20" s="1">
        <f>T20*R20</f>
        <v>2.5533333333333332</v>
      </c>
      <c r="W20" s="260">
        <v>34.288353999999998</v>
      </c>
      <c r="X20" s="260">
        <v>-77.981172000000001</v>
      </c>
      <c r="Y20" s="260" t="s">
        <v>21</v>
      </c>
      <c r="Z20" s="260" t="s">
        <v>776</v>
      </c>
      <c r="AA20" s="260" t="s">
        <v>94</v>
      </c>
      <c r="AB20" s="15">
        <v>0.13800000000000001</v>
      </c>
      <c r="AC20" s="15" t="s">
        <v>399</v>
      </c>
      <c r="AD20" s="15" t="s">
        <v>77</v>
      </c>
      <c r="AE20" s="260" t="s">
        <v>29</v>
      </c>
      <c r="AF20" s="260" t="s">
        <v>34</v>
      </c>
      <c r="AG20" s="15" t="s">
        <v>353</v>
      </c>
      <c r="AH20" s="260"/>
      <c r="AI20" s="260">
        <v>1</v>
      </c>
      <c r="AJ20" s="260"/>
      <c r="AK20" s="260"/>
      <c r="AL20" s="260">
        <v>1944.16</v>
      </c>
      <c r="AM20" s="98">
        <f t="shared" si="11"/>
        <v>4.8864291004855565</v>
      </c>
      <c r="AN20" s="100">
        <f t="shared" si="8"/>
        <v>3.9400049378651958</v>
      </c>
      <c r="AO20" s="260">
        <v>2672.19</v>
      </c>
      <c r="AP20" s="260">
        <f t="shared" si="9"/>
        <v>3.5551364236824479</v>
      </c>
      <c r="AQ20" s="260">
        <v>1468.87</v>
      </c>
      <c r="AR20" s="260">
        <f t="shared" si="10"/>
        <v>6.4675566932403825</v>
      </c>
      <c r="AS20" s="260"/>
      <c r="AT20" s="260"/>
      <c r="AU20" s="260"/>
      <c r="AV20" s="260"/>
      <c r="AW20" s="260"/>
      <c r="AX20" s="260"/>
    </row>
    <row r="21" spans="1:50" x14ac:dyDescent="0.3">
      <c r="A21" s="77" t="s">
        <v>3</v>
      </c>
      <c r="B21" s="11" t="s">
        <v>44</v>
      </c>
      <c r="C21" s="11"/>
      <c r="D21" s="260">
        <v>2009</v>
      </c>
      <c r="E21" s="42">
        <v>1329.79</v>
      </c>
      <c r="F21" s="94">
        <v>1727</v>
      </c>
      <c r="G21" s="260"/>
      <c r="H21" s="260">
        <v>6248</v>
      </c>
      <c r="I21" s="260" t="s">
        <v>8</v>
      </c>
      <c r="J21" s="260">
        <v>10.78</v>
      </c>
      <c r="K21" s="9">
        <f t="shared" si="0"/>
        <v>4.3626659999999998E-2</v>
      </c>
      <c r="L21" s="9">
        <f t="shared" si="1"/>
        <v>4.3625112207600001</v>
      </c>
      <c r="M21" s="1">
        <f t="shared" si="2"/>
        <v>8.106543138390272</v>
      </c>
      <c r="N21" s="1">
        <f t="shared" si="3"/>
        <v>30.481132408486005</v>
      </c>
      <c r="O21" s="260">
        <v>7.61</v>
      </c>
      <c r="P21" s="1">
        <f t="shared" si="4"/>
        <v>3.0797670000000003E-2</v>
      </c>
      <c r="Q21" s="1">
        <f t="shared" si="12"/>
        <v>3.0796577356200001</v>
      </c>
      <c r="R21" s="1">
        <f t="shared" si="6"/>
        <v>5.7227080967671586</v>
      </c>
      <c r="S21" s="1">
        <f t="shared" si="7"/>
        <v>43.178266407815912</v>
      </c>
      <c r="T21" s="1">
        <f>0.64823/1.48167</f>
        <v>0.43749957817867674</v>
      </c>
      <c r="U21" s="1">
        <f>1/T21</f>
        <v>2.2857164895176094</v>
      </c>
      <c r="V21" s="1">
        <f>T21*R21</f>
        <v>2.5036823783753297</v>
      </c>
      <c r="W21" s="260">
        <v>39.525114000000002</v>
      </c>
      <c r="X21" s="260">
        <v>-107.814288</v>
      </c>
      <c r="Y21" s="260" t="s">
        <v>21</v>
      </c>
      <c r="Z21" s="260" t="s">
        <v>776</v>
      </c>
      <c r="AA21" s="260" t="s">
        <v>96</v>
      </c>
      <c r="AB21" s="15">
        <v>0.13919999999999999</v>
      </c>
      <c r="AC21" s="15" t="s">
        <v>391</v>
      </c>
      <c r="AD21" s="15" t="s">
        <v>74</v>
      </c>
      <c r="AE21" s="260" t="s">
        <v>29</v>
      </c>
      <c r="AF21" s="260" t="s">
        <v>34</v>
      </c>
      <c r="AG21" s="15" t="s">
        <v>353</v>
      </c>
      <c r="AH21" s="260"/>
      <c r="AI21" s="260">
        <v>1</v>
      </c>
      <c r="AJ21" s="260"/>
      <c r="AK21" s="260"/>
      <c r="AL21" s="260">
        <v>2336.41</v>
      </c>
      <c r="AM21" s="98">
        <f t="shared" si="11"/>
        <v>3.4696577819775949</v>
      </c>
      <c r="AN21" s="100">
        <f t="shared" si="8"/>
        <v>2.4493595288357604</v>
      </c>
      <c r="AO21" s="260">
        <v>2672.03</v>
      </c>
      <c r="AP21" s="260">
        <f t="shared" si="9"/>
        <v>3.0338518423783682</v>
      </c>
      <c r="AQ21" s="260">
        <v>1464.44</v>
      </c>
      <c r="AR21" s="260">
        <f t="shared" si="10"/>
        <v>5.5355925393940835</v>
      </c>
      <c r="AS21" s="260"/>
      <c r="AT21" s="260"/>
      <c r="AU21" s="260"/>
      <c r="AV21" s="260"/>
      <c r="AW21" s="260"/>
      <c r="AX21" s="260"/>
    </row>
    <row r="22" spans="1:50" x14ac:dyDescent="0.3">
      <c r="A22" s="11" t="s">
        <v>3</v>
      </c>
      <c r="B22" s="11" t="s">
        <v>156</v>
      </c>
      <c r="C22" s="11"/>
      <c r="D22" s="260">
        <v>2010</v>
      </c>
      <c r="E22" s="18">
        <f t="shared" ref="E22:E31" si="13">F22*$A$292</f>
        <v>1702.8154184097457</v>
      </c>
      <c r="F22" s="18">
        <v>2000</v>
      </c>
      <c r="G22" s="260"/>
      <c r="H22" s="260">
        <v>8000</v>
      </c>
      <c r="I22" s="260" t="s">
        <v>159</v>
      </c>
      <c r="J22" s="260">
        <v>15</v>
      </c>
      <c r="K22" s="9">
        <f t="shared" si="0"/>
        <v>6.0705000000000002E-2</v>
      </c>
      <c r="L22" s="9">
        <f t="shared" si="1"/>
        <v>6.0702846299999997</v>
      </c>
      <c r="M22" s="1">
        <f t="shared" si="2"/>
        <v>8.8089406742678289</v>
      </c>
      <c r="N22" s="1">
        <f t="shared" si="3"/>
        <v>28.05066169853794</v>
      </c>
      <c r="O22" s="260">
        <v>12.8</v>
      </c>
      <c r="P22" s="1">
        <f t="shared" si="4"/>
        <v>5.1801600000000003E-2</v>
      </c>
      <c r="Q22" s="1">
        <f t="shared" si="12"/>
        <v>5.1799762176000002</v>
      </c>
      <c r="R22" s="1">
        <f t="shared" si="6"/>
        <v>7.5169627087085473</v>
      </c>
      <c r="S22" s="1">
        <f t="shared" si="7"/>
        <v>32.871869177974148</v>
      </c>
      <c r="T22" s="1">
        <v>0.315</v>
      </c>
      <c r="U22" s="1">
        <f>1/T22</f>
        <v>3.1746031746031744</v>
      </c>
      <c r="V22" s="1">
        <f>T22*R22</f>
        <v>2.3678432532431923</v>
      </c>
      <c r="W22" s="260">
        <v>40.592049000000003</v>
      </c>
      <c r="X22" s="260">
        <v>-105.14837</v>
      </c>
      <c r="Y22" s="260" t="s">
        <v>21</v>
      </c>
      <c r="Z22" s="260" t="s">
        <v>776</v>
      </c>
      <c r="AA22" s="260" t="s">
        <v>94</v>
      </c>
      <c r="AB22" s="15"/>
      <c r="AC22" s="15"/>
      <c r="AD22" s="15" t="s">
        <v>254</v>
      </c>
      <c r="AE22" s="260" t="s">
        <v>29</v>
      </c>
      <c r="AF22" s="260" t="s">
        <v>157</v>
      </c>
      <c r="AG22" s="15" t="s">
        <v>352</v>
      </c>
      <c r="AH22" s="260"/>
      <c r="AI22" s="260">
        <v>1</v>
      </c>
      <c r="AJ22" s="260"/>
      <c r="AK22" s="260"/>
      <c r="AL22" s="260">
        <v>2140.46</v>
      </c>
      <c r="AM22" s="98">
        <f t="shared" si="11"/>
        <v>4.1154427899927253</v>
      </c>
      <c r="AN22" s="100">
        <f t="shared" si="8"/>
        <v>3.5118445141271257</v>
      </c>
      <c r="AO22" s="260">
        <v>2672.06</v>
      </c>
      <c r="AP22" s="260">
        <f t="shared" si="9"/>
        <v>3.2966852070192396</v>
      </c>
      <c r="AQ22" s="260">
        <v>1469.39</v>
      </c>
      <c r="AR22" s="260">
        <f t="shared" si="10"/>
        <v>5.9949643554589507</v>
      </c>
      <c r="AS22" s="260"/>
      <c r="AT22" s="260"/>
      <c r="AU22" s="260"/>
      <c r="AV22" s="260"/>
      <c r="AW22" s="260"/>
      <c r="AX22" s="260"/>
    </row>
    <row r="23" spans="1:50" x14ac:dyDescent="0.3">
      <c r="A23" s="11" t="s">
        <v>3</v>
      </c>
      <c r="B23" s="11" t="s">
        <v>142</v>
      </c>
      <c r="C23" s="11"/>
      <c r="D23" s="260">
        <v>2008</v>
      </c>
      <c r="E23" s="18">
        <f t="shared" si="13"/>
        <v>1702.8154184097457</v>
      </c>
      <c r="F23" s="18">
        <v>2000</v>
      </c>
      <c r="G23" s="260"/>
      <c r="H23" s="260">
        <v>9254</v>
      </c>
      <c r="I23" s="260"/>
      <c r="J23" s="260">
        <v>9.9600000000000009</v>
      </c>
      <c r="K23" s="9">
        <f t="shared" si="0"/>
        <v>4.0308120000000003E-2</v>
      </c>
      <c r="L23" s="9">
        <f t="shared" si="1"/>
        <v>4.03066899432</v>
      </c>
      <c r="M23" s="1">
        <f t="shared" si="2"/>
        <v>5.8491366077138389</v>
      </c>
      <c r="N23" s="1">
        <f t="shared" si="3"/>
        <v>42.244972437557138</v>
      </c>
      <c r="O23" s="11">
        <v>9.9600000000000009</v>
      </c>
      <c r="P23" s="25">
        <f t="shared" si="4"/>
        <v>4.0308120000000003E-2</v>
      </c>
      <c r="Q23" s="1">
        <f t="shared" si="12"/>
        <v>4.03066899432</v>
      </c>
      <c r="R23" s="1">
        <f t="shared" si="6"/>
        <v>5.8491366077138389</v>
      </c>
      <c r="S23" s="25">
        <f t="shared" si="7"/>
        <v>42.244972437557138</v>
      </c>
      <c r="T23" s="1">
        <v>0.47</v>
      </c>
      <c r="U23" s="1">
        <f>1/T23</f>
        <v>2.1276595744680851</v>
      </c>
      <c r="V23" s="1">
        <f>T23*R23</f>
        <v>2.7490942056255041</v>
      </c>
      <c r="W23" s="260">
        <v>39.838630000000002</v>
      </c>
      <c r="X23" s="260">
        <v>-104.67359</v>
      </c>
      <c r="Y23" s="260" t="s">
        <v>21</v>
      </c>
      <c r="Z23" s="260" t="s">
        <v>776</v>
      </c>
      <c r="AA23" s="260" t="s">
        <v>95</v>
      </c>
      <c r="AB23" s="15"/>
      <c r="AC23" s="15"/>
      <c r="AD23" s="15"/>
      <c r="AE23" s="260" t="s">
        <v>29</v>
      </c>
      <c r="AF23" s="260" t="s">
        <v>110</v>
      </c>
      <c r="AG23" s="15" t="s">
        <v>252</v>
      </c>
      <c r="AH23" s="260"/>
      <c r="AI23" s="260">
        <v>1</v>
      </c>
      <c r="AJ23" s="260"/>
      <c r="AK23" s="260"/>
      <c r="AL23" s="260">
        <v>2268.8000000000002</v>
      </c>
      <c r="AM23" s="98">
        <f t="shared" si="11"/>
        <v>2.5780750210304295</v>
      </c>
      <c r="AN23" s="100">
        <f t="shared" si="8"/>
        <v>2.5780750210304295</v>
      </c>
      <c r="AO23" s="260">
        <v>2672.06</v>
      </c>
      <c r="AP23" s="260">
        <f t="shared" si="9"/>
        <v>2.1889989774607752</v>
      </c>
      <c r="AQ23" s="260">
        <v>1469.39</v>
      </c>
      <c r="AR23" s="260">
        <f t="shared" si="10"/>
        <v>3.9806563320247448</v>
      </c>
      <c r="AS23" s="260"/>
      <c r="AT23" s="260"/>
      <c r="AU23" s="260"/>
      <c r="AV23" s="260"/>
      <c r="AW23" s="260"/>
      <c r="AX23" s="260"/>
    </row>
    <row r="24" spans="1:50" x14ac:dyDescent="0.3">
      <c r="A24" s="11" t="s">
        <v>413</v>
      </c>
      <c r="B24" s="11" t="s">
        <v>410</v>
      </c>
      <c r="C24" s="11"/>
      <c r="D24" s="260">
        <v>2011</v>
      </c>
      <c r="E24" s="18">
        <f t="shared" si="13"/>
        <v>1702.8154184097457</v>
      </c>
      <c r="F24" s="18">
        <v>2000</v>
      </c>
      <c r="G24" s="260">
        <v>6.6</v>
      </c>
      <c r="H24" s="260">
        <v>7142</v>
      </c>
      <c r="I24" s="260" t="s">
        <v>411</v>
      </c>
      <c r="J24" s="74">
        <v>13</v>
      </c>
      <c r="K24" s="9">
        <f t="shared" si="0"/>
        <v>5.2611000000000005E-2</v>
      </c>
      <c r="L24" s="9">
        <f t="shared" si="1"/>
        <v>5.2609133460000006</v>
      </c>
      <c r="M24" s="1">
        <f t="shared" si="2"/>
        <v>7.6344152510321184</v>
      </c>
      <c r="N24" s="1">
        <f t="shared" si="3"/>
        <v>32.366148113697619</v>
      </c>
      <c r="O24" s="260">
        <v>9</v>
      </c>
      <c r="P24" s="1">
        <f t="shared" si="4"/>
        <v>3.6423000000000004E-2</v>
      </c>
      <c r="Q24" s="1">
        <f t="shared" si="12"/>
        <v>3.6421707780000001</v>
      </c>
      <c r="R24" s="1">
        <f t="shared" si="6"/>
        <v>5.2853644045606973</v>
      </c>
      <c r="S24" s="1">
        <f t="shared" si="7"/>
        <v>46.751102830896563</v>
      </c>
      <c r="T24" s="1"/>
      <c r="U24" s="1"/>
      <c r="V24" s="1"/>
      <c r="W24" s="260">
        <v>37.031095999999998</v>
      </c>
      <c r="X24" s="260">
        <v>-86.333764000000002</v>
      </c>
      <c r="Y24" s="260" t="s">
        <v>21</v>
      </c>
      <c r="Z24" s="260">
        <v>0</v>
      </c>
      <c r="AA24" s="11" t="s">
        <v>95</v>
      </c>
      <c r="AB24" s="111"/>
      <c r="AC24" s="260"/>
      <c r="AD24" s="260" t="s">
        <v>412</v>
      </c>
      <c r="AE24" s="260" t="s">
        <v>29</v>
      </c>
      <c r="AF24" s="260" t="s">
        <v>157</v>
      </c>
      <c r="AG24" s="15" t="s">
        <v>380</v>
      </c>
      <c r="AH24" s="260"/>
      <c r="AI24" s="260">
        <v>1</v>
      </c>
      <c r="AJ24" s="260"/>
      <c r="AK24" s="260"/>
      <c r="AL24" s="260">
        <v>1817.85</v>
      </c>
      <c r="AM24" s="98">
        <f t="shared" si="11"/>
        <v>4.1996948323745737</v>
      </c>
      <c r="AN24" s="100">
        <f t="shared" si="8"/>
        <v>2.907481037797782</v>
      </c>
      <c r="AO24" s="260">
        <v>2672.06</v>
      </c>
      <c r="AP24" s="260">
        <f t="shared" si="9"/>
        <v>2.8571271794166737</v>
      </c>
      <c r="AQ24" s="260">
        <v>1469.39</v>
      </c>
      <c r="AR24" s="260">
        <f t="shared" si="10"/>
        <v>5.1956357747310911</v>
      </c>
      <c r="AS24" s="260"/>
      <c r="AT24" s="260"/>
      <c r="AU24" s="260"/>
      <c r="AV24" s="260"/>
      <c r="AW24" s="260"/>
      <c r="AX24" s="260"/>
    </row>
    <row r="25" spans="1:50" x14ac:dyDescent="0.3">
      <c r="A25" s="11" t="s">
        <v>47</v>
      </c>
      <c r="B25" s="11" t="s">
        <v>414</v>
      </c>
      <c r="C25" s="11"/>
      <c r="D25" s="260">
        <v>2010</v>
      </c>
      <c r="E25" s="18">
        <f t="shared" si="13"/>
        <v>1873.0969602507203</v>
      </c>
      <c r="F25" s="94">
        <v>2200</v>
      </c>
      <c r="G25" s="260"/>
      <c r="H25" s="260">
        <v>10276</v>
      </c>
      <c r="I25" s="260" t="s">
        <v>415</v>
      </c>
      <c r="J25" s="74">
        <v>17</v>
      </c>
      <c r="K25" s="9">
        <f t="shared" si="0"/>
        <v>6.8798999999999999E-2</v>
      </c>
      <c r="L25" s="9">
        <f t="shared" si="1"/>
        <v>6.8796559140000006</v>
      </c>
      <c r="M25" s="1">
        <f t="shared" si="2"/>
        <v>9.0758782704577623</v>
      </c>
      <c r="N25" s="1">
        <f t="shared" si="3"/>
        <v>27.225642236816238</v>
      </c>
      <c r="O25" s="260">
        <v>12</v>
      </c>
      <c r="P25" s="1">
        <f t="shared" si="4"/>
        <v>4.8564000000000003E-2</v>
      </c>
      <c r="Q25" s="1">
        <f t="shared" si="12"/>
        <v>4.8562277040000001</v>
      </c>
      <c r="R25" s="1">
        <f t="shared" si="6"/>
        <v>6.4065023085584203</v>
      </c>
      <c r="S25" s="1">
        <f t="shared" si="7"/>
        <v>38.569659835489666</v>
      </c>
      <c r="T25" s="1">
        <v>0.32400000000000001</v>
      </c>
      <c r="U25" s="1">
        <f>1/T25</f>
        <v>3.0864197530864197</v>
      </c>
      <c r="V25" s="1">
        <f>T25*R25</f>
        <v>2.0757067479729283</v>
      </c>
      <c r="W25" s="260">
        <v>35.813828999999998</v>
      </c>
      <c r="X25" s="260">
        <v>-78.750386000000006</v>
      </c>
      <c r="Y25" s="260" t="s">
        <v>21</v>
      </c>
      <c r="Z25" s="260" t="s">
        <v>776</v>
      </c>
      <c r="AA25" s="11" t="s">
        <v>95</v>
      </c>
      <c r="AB25" s="111">
        <v>0.1547</v>
      </c>
      <c r="AC25" s="260" t="s">
        <v>603</v>
      </c>
      <c r="AD25" s="260" t="s">
        <v>416</v>
      </c>
      <c r="AE25" s="260" t="s">
        <v>29</v>
      </c>
      <c r="AF25" s="260" t="s">
        <v>417</v>
      </c>
      <c r="AG25" s="15" t="s">
        <v>7</v>
      </c>
      <c r="AH25" s="260"/>
      <c r="AI25" s="260">
        <v>1</v>
      </c>
      <c r="AJ25" s="260"/>
      <c r="AK25" s="260"/>
      <c r="AL25" s="260">
        <v>1910.26</v>
      </c>
      <c r="AM25" s="98">
        <f t="shared" si="11"/>
        <v>4.7511219783996745</v>
      </c>
      <c r="AN25" s="100">
        <f t="shared" si="8"/>
        <v>3.3537331612232997</v>
      </c>
      <c r="AO25" s="260">
        <v>2672.06</v>
      </c>
      <c r="AP25" s="260">
        <f t="shared" si="9"/>
        <v>3.3965847587470952</v>
      </c>
      <c r="AQ25" s="260">
        <v>1469.39</v>
      </c>
      <c r="AR25" s="260">
        <f t="shared" si="10"/>
        <v>6.1766299419880095</v>
      </c>
      <c r="AS25" s="260"/>
      <c r="AT25" s="260"/>
      <c r="AU25" s="260"/>
      <c r="AV25" s="260"/>
      <c r="AW25" s="260"/>
      <c r="AX25" s="260"/>
    </row>
    <row r="26" spans="1:50" x14ac:dyDescent="0.3">
      <c r="A26" s="11" t="s">
        <v>35</v>
      </c>
      <c r="B26" s="28" t="s">
        <v>631</v>
      </c>
      <c r="C26" s="28"/>
      <c r="D26" s="260">
        <v>2006</v>
      </c>
      <c r="E26" s="18">
        <f t="shared" si="13"/>
        <v>2409.4838170497901</v>
      </c>
      <c r="F26" s="18">
        <v>2830</v>
      </c>
      <c r="G26" s="260"/>
      <c r="H26" s="260"/>
      <c r="I26" s="260" t="s">
        <v>175</v>
      </c>
      <c r="J26" s="260">
        <v>19.2</v>
      </c>
      <c r="K26" s="9">
        <f t="shared" si="0"/>
        <v>7.7702400000000005E-2</v>
      </c>
      <c r="L26" s="9">
        <f t="shared" si="1"/>
        <v>7.7699643264000002</v>
      </c>
      <c r="M26" s="1">
        <f t="shared" si="2"/>
        <v>7.9685117053447492</v>
      </c>
      <c r="N26" s="1">
        <f t="shared" si="3"/>
        <v>31.009129924555616</v>
      </c>
      <c r="O26" s="260">
        <v>19</v>
      </c>
      <c r="P26" s="1">
        <f t="shared" si="4"/>
        <v>7.6893000000000003E-2</v>
      </c>
      <c r="Q26" s="1">
        <f t="shared" si="12"/>
        <v>7.6890271979999998</v>
      </c>
      <c r="R26" s="1">
        <f t="shared" si="6"/>
        <v>7.885506375080741</v>
      </c>
      <c r="S26" s="1">
        <f t="shared" si="7"/>
        <v>31.335541818498307</v>
      </c>
      <c r="T26" s="1">
        <v>0.51</v>
      </c>
      <c r="U26" s="1">
        <f>1/T26</f>
        <v>1.9607843137254901</v>
      </c>
      <c r="V26" s="1">
        <f>T26*R26</f>
        <v>4.0216082512911777</v>
      </c>
      <c r="W26" s="260">
        <v>34.677352999999997</v>
      </c>
      <c r="X26" s="260">
        <v>-112.405838</v>
      </c>
      <c r="Y26" s="260" t="s">
        <v>21</v>
      </c>
      <c r="Z26" s="260" t="s">
        <v>776</v>
      </c>
      <c r="AA26" s="260" t="s">
        <v>96</v>
      </c>
      <c r="AB26" s="15"/>
      <c r="AC26" s="15"/>
      <c r="AD26" s="15"/>
      <c r="AE26" s="260" t="s">
        <v>29</v>
      </c>
      <c r="AF26" s="260" t="s">
        <v>157</v>
      </c>
      <c r="AG26" s="15" t="s">
        <v>352</v>
      </c>
      <c r="AH26" s="260"/>
      <c r="AI26" s="260">
        <v>1</v>
      </c>
      <c r="AJ26" s="260"/>
      <c r="AK26" s="260"/>
      <c r="AL26" s="260">
        <v>2669.98</v>
      </c>
      <c r="AM26" s="98">
        <f t="shared" si="11"/>
        <v>2.9844836685461118</v>
      </c>
      <c r="AN26" s="100">
        <f t="shared" si="8"/>
        <v>2.9533952969987567</v>
      </c>
      <c r="AO26" s="260">
        <v>2672.06</v>
      </c>
      <c r="AP26" s="260">
        <f t="shared" si="9"/>
        <v>2.9821604699537994</v>
      </c>
      <c r="AQ26" s="260">
        <v>1469.39</v>
      </c>
      <c r="AR26" s="260">
        <f t="shared" si="10"/>
        <v>5.4230066254328317</v>
      </c>
      <c r="AS26" s="260"/>
      <c r="AT26" s="260"/>
      <c r="AU26" s="260"/>
      <c r="AV26" s="260"/>
      <c r="AW26" s="260"/>
      <c r="AX26" s="260"/>
    </row>
    <row r="27" spans="1:50" x14ac:dyDescent="0.3">
      <c r="A27" s="11" t="s">
        <v>26</v>
      </c>
      <c r="B27" s="11" t="s">
        <v>163</v>
      </c>
      <c r="C27" s="11"/>
      <c r="D27" s="260">
        <v>2012</v>
      </c>
      <c r="E27" s="18">
        <f t="shared" si="13"/>
        <v>2554.2231276146185</v>
      </c>
      <c r="F27" s="18">
        <v>3000</v>
      </c>
      <c r="G27" s="260"/>
      <c r="H27" s="260"/>
      <c r="I27" s="260" t="s">
        <v>164</v>
      </c>
      <c r="J27" s="260">
        <v>22</v>
      </c>
      <c r="K27" s="9">
        <f t="shared" si="0"/>
        <v>8.9034000000000002E-2</v>
      </c>
      <c r="L27" s="9">
        <f t="shared" si="1"/>
        <v>8.9030841239999994</v>
      </c>
      <c r="M27" s="1">
        <f t="shared" si="2"/>
        <v>8.6131864370618771</v>
      </c>
      <c r="N27" s="1">
        <f t="shared" si="3"/>
        <v>28.688176737141074</v>
      </c>
      <c r="O27" s="24" t="s">
        <v>598</v>
      </c>
      <c r="P27" s="88"/>
      <c r="Q27" s="88"/>
      <c r="R27" s="88"/>
      <c r="S27" s="88"/>
      <c r="T27" s="1"/>
      <c r="U27" s="1"/>
      <c r="V27" s="1"/>
      <c r="W27" s="260">
        <v>34.852480999999997</v>
      </c>
      <c r="X27" s="260">
        <v>-116.68293</v>
      </c>
      <c r="Y27" s="260" t="s">
        <v>21</v>
      </c>
      <c r="Z27" s="260"/>
      <c r="AA27" s="24"/>
      <c r="AB27" s="15"/>
      <c r="AC27" s="15"/>
      <c r="AD27" s="15"/>
      <c r="AE27" s="260" t="s">
        <v>24</v>
      </c>
      <c r="AF27" s="260" t="s">
        <v>157</v>
      </c>
      <c r="AG27" s="15" t="s">
        <v>352</v>
      </c>
      <c r="AH27" s="260"/>
      <c r="AI27" s="260">
        <v>1</v>
      </c>
      <c r="AJ27" s="260"/>
      <c r="AK27" s="260"/>
      <c r="AL27" s="260">
        <v>2680.54</v>
      </c>
      <c r="AM27" s="98">
        <f t="shared" si="11"/>
        <v>3.2132280947353431</v>
      </c>
      <c r="AO27" s="260">
        <v>2672.06</v>
      </c>
      <c r="AP27" s="260">
        <f t="shared" si="9"/>
        <v>3.2234255357521451</v>
      </c>
      <c r="AQ27" s="260">
        <v>1469.39</v>
      </c>
      <c r="AR27" s="260">
        <f t="shared" si="10"/>
        <v>5.8617429253376407</v>
      </c>
      <c r="AS27" s="260"/>
      <c r="AT27" s="260"/>
      <c r="AU27" s="260"/>
      <c r="AV27" s="260"/>
      <c r="AW27" s="260"/>
      <c r="AX27" s="260"/>
    </row>
    <row r="28" spans="1:50" x14ac:dyDescent="0.3">
      <c r="A28" s="11" t="s">
        <v>171</v>
      </c>
      <c r="B28" s="11" t="s">
        <v>379</v>
      </c>
      <c r="C28" s="11"/>
      <c r="D28" s="260">
        <v>2010</v>
      </c>
      <c r="E28" s="18">
        <f t="shared" si="13"/>
        <v>3490.7716077399787</v>
      </c>
      <c r="F28" s="18">
        <v>4100</v>
      </c>
      <c r="G28" s="260"/>
      <c r="H28" s="260">
        <v>13469</v>
      </c>
      <c r="I28" s="260" t="s">
        <v>381</v>
      </c>
      <c r="J28" s="74">
        <v>25</v>
      </c>
      <c r="K28" s="9">
        <f t="shared" si="0"/>
        <v>0.101175</v>
      </c>
      <c r="L28" s="9">
        <f t="shared" si="1"/>
        <v>10.117141050000001</v>
      </c>
      <c r="M28" s="1">
        <f t="shared" si="2"/>
        <v>7.1617403855836006</v>
      </c>
      <c r="N28" s="1">
        <f t="shared" si="3"/>
        <v>34.502313889201666</v>
      </c>
      <c r="O28" s="260">
        <v>18.649999999999999</v>
      </c>
      <c r="P28" s="1">
        <f>O28*0.004047</f>
        <v>7.5476550000000003E-2</v>
      </c>
      <c r="Q28" s="1">
        <f>O28*0.404685642</f>
        <v>7.5473872232999994</v>
      </c>
      <c r="R28" s="1">
        <f>O28/(E28/1000)</f>
        <v>5.3426583276453652</v>
      </c>
      <c r="S28" s="1">
        <f>E28/1000/P28</f>
        <v>46.249750521718056</v>
      </c>
      <c r="T28" s="1">
        <f>0.51594/1.15094</f>
        <v>0.44827706048968663</v>
      </c>
      <c r="U28" s="1">
        <f>1/T28</f>
        <v>2.230763267046556</v>
      </c>
      <c r="V28" s="1">
        <f>T28*R28</f>
        <v>2.3949911703176094</v>
      </c>
      <c r="W28" s="260">
        <v>40.292326000000003</v>
      </c>
      <c r="X28" s="260">
        <v>-74.855862000000002</v>
      </c>
      <c r="Y28" s="260" t="s">
        <v>21</v>
      </c>
      <c r="Z28" s="260">
        <v>0</v>
      </c>
      <c r="AA28" s="260" t="s">
        <v>96</v>
      </c>
      <c r="AB28" s="15"/>
      <c r="AC28" s="15"/>
      <c r="AD28" s="15"/>
      <c r="AE28" s="260" t="s">
        <v>29</v>
      </c>
      <c r="AF28" s="260" t="s">
        <v>157</v>
      </c>
      <c r="AG28" s="15" t="s">
        <v>380</v>
      </c>
      <c r="AH28" s="260"/>
      <c r="AI28" s="260">
        <v>1</v>
      </c>
      <c r="AJ28" s="260"/>
      <c r="AK28" s="260"/>
      <c r="AL28" s="260">
        <v>1777.04</v>
      </c>
      <c r="AM28" s="98">
        <f t="shared" si="11"/>
        <v>4.0301514797548732</v>
      </c>
      <c r="AN28" s="100">
        <f>1/(AL28/$R28/1000)</f>
        <v>3.0064930038971354</v>
      </c>
      <c r="AO28" s="260">
        <v>2672.06</v>
      </c>
      <c r="AP28" s="260">
        <f t="shared" si="9"/>
        <v>2.680231875625398</v>
      </c>
      <c r="AQ28" s="260">
        <v>1469.39</v>
      </c>
      <c r="AR28" s="260">
        <f t="shared" si="10"/>
        <v>4.8739547605357325</v>
      </c>
      <c r="AS28" s="260"/>
      <c r="AT28" s="260"/>
      <c r="AU28" s="260"/>
      <c r="AV28" s="260"/>
      <c r="AW28" s="260"/>
      <c r="AX28" s="260"/>
    </row>
    <row r="29" spans="1:50" x14ac:dyDescent="0.3">
      <c r="A29" s="260" t="s">
        <v>171</v>
      </c>
      <c r="B29" s="260" t="s">
        <v>710</v>
      </c>
      <c r="C29" s="260"/>
      <c r="D29" s="260">
        <v>2012</v>
      </c>
      <c r="E29" s="18">
        <f t="shared" si="13"/>
        <v>4086.7570041833897</v>
      </c>
      <c r="F29" s="260">
        <v>4800</v>
      </c>
      <c r="G29" s="260"/>
      <c r="H29" s="260">
        <v>18216</v>
      </c>
      <c r="I29" s="260" t="s">
        <v>711</v>
      </c>
      <c r="J29" s="260">
        <v>34</v>
      </c>
      <c r="K29" s="9">
        <f t="shared" si="0"/>
        <v>0.137598</v>
      </c>
      <c r="L29" s="9">
        <f t="shared" si="1"/>
        <v>13.759311828000001</v>
      </c>
      <c r="M29" s="1">
        <f t="shared" si="2"/>
        <v>8.3195550812529486</v>
      </c>
      <c r="N29" s="9">
        <f t="shared" si="3"/>
        <v>29.700700621981351</v>
      </c>
      <c r="O29" s="260">
        <v>16</v>
      </c>
      <c r="P29" s="1">
        <f>O29*0.004047</f>
        <v>6.4752000000000004E-2</v>
      </c>
      <c r="Q29" s="1">
        <f>O29*0.404685642</f>
        <v>6.4749702720000002</v>
      </c>
      <c r="R29" s="1">
        <f>O29/(E29/1000)</f>
        <v>3.9150847441190346</v>
      </c>
      <c r="S29" s="1">
        <f>E29/1000/P29</f>
        <v>63.113988821710372</v>
      </c>
      <c r="T29" s="260"/>
      <c r="U29" s="260"/>
      <c r="V29" s="260"/>
      <c r="W29" s="260">
        <v>40.353589999999997</v>
      </c>
      <c r="X29" s="260">
        <v>-74.185940000000002</v>
      </c>
      <c r="Y29" s="260" t="s">
        <v>21</v>
      </c>
      <c r="Z29" s="260"/>
      <c r="AA29" s="260"/>
      <c r="AB29" s="111"/>
      <c r="AC29" s="260" t="s">
        <v>399</v>
      </c>
      <c r="AD29" s="260"/>
      <c r="AE29" s="260" t="s">
        <v>24</v>
      </c>
      <c r="AF29" s="260" t="s">
        <v>611</v>
      </c>
      <c r="AG29" s="260" t="s">
        <v>380</v>
      </c>
      <c r="AH29" s="260"/>
      <c r="AI29" s="260">
        <v>1</v>
      </c>
      <c r="AJ29" s="260"/>
      <c r="AK29" s="260"/>
      <c r="AL29" s="260">
        <v>1759.17</v>
      </c>
      <c r="AM29" s="98">
        <f t="shared" si="11"/>
        <v>4.7292502039330753</v>
      </c>
      <c r="AN29" s="100">
        <f>1/(AL29/$R29/1000)</f>
        <v>2.2255295077332118</v>
      </c>
      <c r="AO29" s="260">
        <v>2672.06</v>
      </c>
      <c r="AP29" s="260">
        <f t="shared" si="9"/>
        <v>3.1135360288515037</v>
      </c>
      <c r="AQ29" s="260">
        <v>1469.39</v>
      </c>
      <c r="AR29" s="260">
        <f t="shared" si="10"/>
        <v>5.6619107801556758</v>
      </c>
      <c r="AS29" s="260"/>
      <c r="AT29" s="260"/>
      <c r="AU29" s="260"/>
      <c r="AV29" s="260"/>
      <c r="AW29" s="260"/>
      <c r="AX29" s="260"/>
    </row>
    <row r="30" spans="1:50" x14ac:dyDescent="0.3">
      <c r="A30" s="260" t="s">
        <v>476</v>
      </c>
      <c r="B30" s="260" t="s">
        <v>626</v>
      </c>
      <c r="C30" s="260"/>
      <c r="D30" s="260">
        <v>2012</v>
      </c>
      <c r="E30" s="18">
        <f t="shared" si="13"/>
        <v>4257.0385460243642</v>
      </c>
      <c r="F30" s="260">
        <v>5000</v>
      </c>
      <c r="G30" s="260"/>
      <c r="H30" s="260"/>
      <c r="I30" s="260" t="s">
        <v>389</v>
      </c>
      <c r="J30" s="260">
        <v>40</v>
      </c>
      <c r="K30" s="9">
        <f t="shared" si="0"/>
        <v>0.16188000000000002</v>
      </c>
      <c r="L30" s="9">
        <f t="shared" si="1"/>
        <v>16.18742568</v>
      </c>
      <c r="M30" s="1">
        <f t="shared" si="2"/>
        <v>9.3962033858856842</v>
      </c>
      <c r="N30" s="9">
        <f t="shared" si="3"/>
        <v>26.297495342379314</v>
      </c>
      <c r="O30" s="260"/>
      <c r="P30" s="260"/>
      <c r="Q30" s="260"/>
      <c r="R30" s="260"/>
      <c r="S30" s="260"/>
      <c r="T30" s="260"/>
      <c r="U30" s="260"/>
      <c r="V30" s="260"/>
      <c r="W30" s="260">
        <v>21.325299999999999</v>
      </c>
      <c r="X30" s="260">
        <v>-158.0873</v>
      </c>
      <c r="Y30" s="260" t="s">
        <v>21</v>
      </c>
      <c r="Z30" s="260" t="s">
        <v>486</v>
      </c>
      <c r="AA30" s="260"/>
      <c r="AB30" s="15">
        <v>0.19</v>
      </c>
      <c r="AC30" s="260" t="s">
        <v>391</v>
      </c>
      <c r="AD30" s="260" t="s">
        <v>389</v>
      </c>
      <c r="AE30" s="260" t="s">
        <v>109</v>
      </c>
      <c r="AF30" s="260" t="s">
        <v>493</v>
      </c>
      <c r="AG30" s="260" t="s">
        <v>252</v>
      </c>
      <c r="AH30" s="260"/>
      <c r="AI30" s="260">
        <v>1</v>
      </c>
      <c r="AJ30" s="260"/>
      <c r="AK30" s="260"/>
      <c r="AL30" s="260"/>
      <c r="AO30" s="260">
        <v>2672.06</v>
      </c>
      <c r="AP30" s="260">
        <f t="shared" si="9"/>
        <v>3.5164642208205219</v>
      </c>
      <c r="AQ30" s="260">
        <v>1469.39</v>
      </c>
      <c r="AR30" s="260">
        <f t="shared" si="10"/>
        <v>6.3946286458228805</v>
      </c>
      <c r="AS30" s="260"/>
      <c r="AT30" s="260"/>
      <c r="AU30" s="260"/>
      <c r="AV30" s="260"/>
      <c r="AW30" s="260"/>
      <c r="AX30" s="260"/>
    </row>
    <row r="31" spans="1:50" x14ac:dyDescent="0.3">
      <c r="A31" s="11" t="s">
        <v>171</v>
      </c>
      <c r="B31" s="11" t="s">
        <v>565</v>
      </c>
      <c r="C31" s="11"/>
      <c r="D31" s="260">
        <v>2012</v>
      </c>
      <c r="E31" s="18">
        <f t="shared" si="13"/>
        <v>4512.4608587858265</v>
      </c>
      <c r="F31" s="75">
        <v>5300</v>
      </c>
      <c r="G31" s="260"/>
      <c r="H31" s="260">
        <v>16500</v>
      </c>
      <c r="I31" s="260" t="s">
        <v>564</v>
      </c>
      <c r="J31" s="74">
        <v>27</v>
      </c>
      <c r="K31" s="9">
        <f t="shared" si="0"/>
        <v>0.10926900000000001</v>
      </c>
      <c r="L31" s="9">
        <f t="shared" si="1"/>
        <v>10.926512334</v>
      </c>
      <c r="M31" s="1">
        <f t="shared" si="2"/>
        <v>5.9834314013894678</v>
      </c>
      <c r="N31" s="1">
        <f t="shared" si="3"/>
        <v>41.296807500625299</v>
      </c>
      <c r="O31" s="24" t="s">
        <v>598</v>
      </c>
      <c r="P31" s="88"/>
      <c r="Q31" s="88"/>
      <c r="R31" s="88"/>
      <c r="S31" s="88"/>
      <c r="T31" s="11"/>
      <c r="U31" s="11"/>
      <c r="V31" s="11"/>
      <c r="W31" s="260">
        <v>40.336129999999997</v>
      </c>
      <c r="X31" s="260">
        <v>-74.642099999999999</v>
      </c>
      <c r="Y31" s="260" t="s">
        <v>21</v>
      </c>
      <c r="Z31" s="260" t="s">
        <v>486</v>
      </c>
      <c r="AA31" s="11"/>
      <c r="AB31" s="15">
        <v>0.19</v>
      </c>
      <c r="AC31" s="11" t="s">
        <v>391</v>
      </c>
      <c r="AD31" s="11" t="s">
        <v>389</v>
      </c>
      <c r="AE31" s="260" t="s">
        <v>29</v>
      </c>
      <c r="AF31" s="260" t="s">
        <v>157</v>
      </c>
      <c r="AG31" s="15" t="s">
        <v>385</v>
      </c>
      <c r="AH31" s="260"/>
      <c r="AI31" s="260">
        <v>1</v>
      </c>
      <c r="AJ31" s="260"/>
      <c r="AK31" s="260">
        <v>1488</v>
      </c>
      <c r="AL31" s="260">
        <v>1783.08</v>
      </c>
      <c r="AM31" s="98">
        <f t="shared" ref="AM31:AM47" si="14">1/(AL31/$M31/1000)</f>
        <v>3.3556718719235641</v>
      </c>
      <c r="AO31" s="260">
        <v>2672.06</v>
      </c>
      <c r="AP31" s="260">
        <f t="shared" si="9"/>
        <v>2.2392578764658979</v>
      </c>
      <c r="AQ31" s="260">
        <v>1469.39</v>
      </c>
      <c r="AR31" s="260">
        <f t="shared" si="10"/>
        <v>4.0720512603117403</v>
      </c>
      <c r="AS31" s="260"/>
      <c r="AT31" s="260"/>
      <c r="AU31" s="260"/>
      <c r="AV31" s="260"/>
      <c r="AW31" s="260"/>
      <c r="AX31" s="260"/>
    </row>
    <row r="32" spans="1:50" x14ac:dyDescent="0.3">
      <c r="A32" s="260" t="s">
        <v>47</v>
      </c>
      <c r="B32" s="260" t="s">
        <v>727</v>
      </c>
      <c r="C32" s="260"/>
      <c r="D32" s="260">
        <v>2011</v>
      </c>
      <c r="E32" s="108">
        <v>5000</v>
      </c>
      <c r="F32" s="98">
        <v>6400</v>
      </c>
      <c r="G32" s="260"/>
      <c r="H32" s="260"/>
      <c r="I32" s="260" t="s">
        <v>728</v>
      </c>
      <c r="J32" s="260">
        <v>28.7</v>
      </c>
      <c r="K32" s="9">
        <f t="shared" si="0"/>
        <v>0.1161489</v>
      </c>
      <c r="L32" s="9">
        <f t="shared" si="1"/>
        <v>11.614477925399999</v>
      </c>
      <c r="M32" s="1">
        <f t="shared" si="2"/>
        <v>5.74</v>
      </c>
      <c r="N32" s="9">
        <f t="shared" si="3"/>
        <v>43.048190727591908</v>
      </c>
      <c r="O32" s="260">
        <v>23.9</v>
      </c>
      <c r="P32" s="1">
        <f>O32*0.004047</f>
        <v>9.6723299999999998E-2</v>
      </c>
      <c r="Q32" s="1">
        <f>O32*0.404685642</f>
        <v>9.6719868437999992</v>
      </c>
      <c r="R32" s="1">
        <f>O32/(E32/1000)</f>
        <v>4.7799999999999994</v>
      </c>
      <c r="S32" s="1">
        <f>E32/1000/P32</f>
        <v>51.693852463677317</v>
      </c>
      <c r="T32" s="260">
        <v>0.44768999999999998</v>
      </c>
      <c r="U32" s="1">
        <f>1/T32</f>
        <v>2.2336884898032121</v>
      </c>
      <c r="V32" s="1">
        <f>T32*R32</f>
        <v>2.1399581999999997</v>
      </c>
      <c r="W32" s="260">
        <v>36.424790000000002</v>
      </c>
      <c r="X32" s="260">
        <v>-77.06438</v>
      </c>
      <c r="Y32" s="260" t="s">
        <v>21</v>
      </c>
      <c r="Z32" s="260" t="s">
        <v>776</v>
      </c>
      <c r="AA32" s="260"/>
      <c r="AB32" s="15">
        <v>0.19</v>
      </c>
      <c r="AC32" s="260" t="s">
        <v>391</v>
      </c>
      <c r="AD32" s="260" t="s">
        <v>389</v>
      </c>
      <c r="AE32" s="260" t="s">
        <v>29</v>
      </c>
      <c r="AF32" s="260" t="s">
        <v>475</v>
      </c>
      <c r="AG32" s="260" t="s">
        <v>252</v>
      </c>
      <c r="AH32" s="260"/>
      <c r="AI32" s="260">
        <v>1</v>
      </c>
      <c r="AJ32" s="260"/>
      <c r="AK32" s="260">
        <v>1488</v>
      </c>
      <c r="AL32" s="260">
        <v>1904.63</v>
      </c>
      <c r="AM32" s="98">
        <f t="shared" si="14"/>
        <v>3.0137086993274282</v>
      </c>
      <c r="AN32" s="100">
        <f>1/(AL32/$R32/1000)</f>
        <v>2.5096737949102974</v>
      </c>
      <c r="AO32" s="260">
        <v>2672.21</v>
      </c>
      <c r="AP32" s="260">
        <f t="shared" si="9"/>
        <v>2.1480347727162163</v>
      </c>
      <c r="AQ32" s="260">
        <v>1465.27</v>
      </c>
      <c r="AR32" s="260">
        <f t="shared" si="10"/>
        <v>3.9173667651695592</v>
      </c>
      <c r="AS32" s="260"/>
      <c r="AT32" s="260"/>
      <c r="AU32" s="260"/>
      <c r="AV32" s="260"/>
      <c r="AW32" s="260"/>
      <c r="AX32" s="260"/>
    </row>
    <row r="33" spans="1:50" x14ac:dyDescent="0.3">
      <c r="A33" s="11" t="s">
        <v>148</v>
      </c>
      <c r="B33" s="11" t="s">
        <v>480</v>
      </c>
      <c r="C33" s="11"/>
      <c r="D33" s="260">
        <v>2011</v>
      </c>
      <c r="E33" s="18">
        <f t="shared" ref="E33:E43" si="15">F33*$A$292</f>
        <v>5031.8195614007982</v>
      </c>
      <c r="F33" s="94">
        <v>5910</v>
      </c>
      <c r="G33" s="260"/>
      <c r="H33" s="260">
        <v>25172</v>
      </c>
      <c r="I33" s="260" t="s">
        <v>481</v>
      </c>
      <c r="J33" s="74">
        <v>35</v>
      </c>
      <c r="K33" s="9">
        <f t="shared" si="0"/>
        <v>0.14164500000000002</v>
      </c>
      <c r="L33" s="9">
        <f t="shared" si="1"/>
        <v>14.16399747</v>
      </c>
      <c r="M33" s="1">
        <f t="shared" si="2"/>
        <v>6.9557343169627526</v>
      </c>
      <c r="N33" s="1">
        <f t="shared" si="3"/>
        <v>35.524159422505541</v>
      </c>
      <c r="O33" s="11">
        <v>24.748000000000001</v>
      </c>
      <c r="P33" s="1">
        <f>O33*0.004047</f>
        <v>0.10015515600000001</v>
      </c>
      <c r="Q33" s="1">
        <f>O33*0.404685642</f>
        <v>10.015160268216</v>
      </c>
      <c r="R33" s="1">
        <f>O33/(E33/1000)</f>
        <v>4.9183003678912636</v>
      </c>
      <c r="S33" s="1">
        <f>E33/1000/P33</f>
        <v>50.240244859693476</v>
      </c>
      <c r="T33" s="11"/>
      <c r="U33" s="11"/>
      <c r="V33" s="11"/>
      <c r="W33" s="260">
        <v>28.488683999999999</v>
      </c>
      <c r="X33" s="260">
        <v>-81.181970000000007</v>
      </c>
      <c r="Y33" s="260" t="s">
        <v>21</v>
      </c>
      <c r="Z33" s="260" t="s">
        <v>776</v>
      </c>
      <c r="AA33" s="11" t="s">
        <v>95</v>
      </c>
      <c r="AB33" s="15"/>
      <c r="AC33" s="260"/>
      <c r="AD33" s="260"/>
      <c r="AE33" s="260" t="s">
        <v>29</v>
      </c>
      <c r="AF33" s="260" t="s">
        <v>427</v>
      </c>
      <c r="AG33" s="15" t="s">
        <v>385</v>
      </c>
      <c r="AH33" s="260"/>
      <c r="AI33" s="260">
        <v>1</v>
      </c>
      <c r="AJ33" s="260"/>
      <c r="AK33" s="260"/>
      <c r="AL33" s="260">
        <v>2075.5700000000002</v>
      </c>
      <c r="AM33" s="98">
        <f t="shared" si="14"/>
        <v>3.3512405348712657</v>
      </c>
      <c r="AN33" s="100">
        <f>1/(AL33/$R33/1000)</f>
        <v>2.3696143073426881</v>
      </c>
      <c r="AO33" s="260">
        <v>2672.06</v>
      </c>
      <c r="AP33" s="260">
        <f t="shared" si="9"/>
        <v>2.6031355272571548</v>
      </c>
      <c r="AQ33" s="260">
        <v>1469.39</v>
      </c>
      <c r="AR33" s="260">
        <f t="shared" si="10"/>
        <v>4.7337564002495949</v>
      </c>
      <c r="AS33" s="260"/>
      <c r="AT33" s="260"/>
      <c r="AU33" s="260"/>
      <c r="AV33" s="260"/>
      <c r="AW33" s="260"/>
      <c r="AX33" s="260"/>
    </row>
    <row r="34" spans="1:50" x14ac:dyDescent="0.3">
      <c r="A34" s="11" t="s">
        <v>26</v>
      </c>
      <c r="B34" s="11" t="s">
        <v>298</v>
      </c>
      <c r="C34" s="11"/>
      <c r="D34" s="260">
        <v>2010</v>
      </c>
      <c r="E34" s="18">
        <f t="shared" si="15"/>
        <v>5108.4462552292371</v>
      </c>
      <c r="F34" s="18">
        <v>6000</v>
      </c>
      <c r="G34" s="260">
        <v>20</v>
      </c>
      <c r="H34" s="260">
        <v>30000</v>
      </c>
      <c r="I34" s="260"/>
      <c r="J34" s="260">
        <v>40</v>
      </c>
      <c r="K34" s="9">
        <f t="shared" si="0"/>
        <v>0.16188000000000002</v>
      </c>
      <c r="L34" s="9">
        <f t="shared" si="1"/>
        <v>16.18742568</v>
      </c>
      <c r="M34" s="1">
        <f t="shared" si="2"/>
        <v>7.8301694882380701</v>
      </c>
      <c r="N34" s="1">
        <f t="shared" si="3"/>
        <v>31.556994410855175</v>
      </c>
      <c r="O34" s="11">
        <v>27.5</v>
      </c>
      <c r="P34" s="25">
        <f>O34*0.004047</f>
        <v>0.1112925</v>
      </c>
      <c r="Q34" s="1">
        <f>O34*0.404685642</f>
        <v>11.128855155</v>
      </c>
      <c r="R34" s="1">
        <f>O34/(E34/1000)</f>
        <v>5.3832415231636732</v>
      </c>
      <c r="S34" s="25">
        <f>E34/1000/P34</f>
        <v>45.901082779425714</v>
      </c>
      <c r="T34" s="1">
        <v>0.45100000000000001</v>
      </c>
      <c r="U34" s="1">
        <f>1/T34</f>
        <v>2.2172949002217295</v>
      </c>
      <c r="V34" s="1">
        <f>T34*R34</f>
        <v>2.4278419269468166</v>
      </c>
      <c r="W34" s="260">
        <v>38.608604999999997</v>
      </c>
      <c r="X34" s="260">
        <v>-121.16918</v>
      </c>
      <c r="Y34" s="260" t="s">
        <v>21</v>
      </c>
      <c r="Z34" s="260" t="s">
        <v>776</v>
      </c>
      <c r="AA34" s="260" t="s">
        <v>95</v>
      </c>
      <c r="AB34" s="15"/>
      <c r="AC34" s="15" t="s">
        <v>399</v>
      </c>
      <c r="AD34" s="15" t="s">
        <v>299</v>
      </c>
      <c r="AE34" s="260" t="s">
        <v>29</v>
      </c>
      <c r="AF34" s="260" t="s">
        <v>125</v>
      </c>
      <c r="AG34" s="15" t="s">
        <v>252</v>
      </c>
      <c r="AH34" s="260"/>
      <c r="AI34" s="260">
        <v>1</v>
      </c>
      <c r="AJ34" s="260"/>
      <c r="AK34" s="260"/>
      <c r="AL34" s="260">
        <v>2209.9</v>
      </c>
      <c r="AM34" s="98">
        <f t="shared" si="14"/>
        <v>3.5432234437024617</v>
      </c>
      <c r="AN34" s="100">
        <f>1/(AL34/$R34/1000)</f>
        <v>2.4359661175454428</v>
      </c>
      <c r="AO34" s="260">
        <v>2672.06</v>
      </c>
      <c r="AP34" s="260">
        <f t="shared" si="9"/>
        <v>2.9303868506837687</v>
      </c>
      <c r="AQ34" s="260">
        <v>1469.39</v>
      </c>
      <c r="AR34" s="260">
        <f t="shared" si="10"/>
        <v>5.328857204852401</v>
      </c>
      <c r="AS34" s="260"/>
      <c r="AT34" s="260"/>
      <c r="AU34" s="260"/>
      <c r="AV34" s="260"/>
      <c r="AW34" s="260"/>
      <c r="AX34" s="260"/>
    </row>
    <row r="35" spans="1:50" x14ac:dyDescent="0.3">
      <c r="A35" s="11" t="s">
        <v>3</v>
      </c>
      <c r="B35" s="11" t="s">
        <v>422</v>
      </c>
      <c r="C35" s="11"/>
      <c r="D35" s="260">
        <v>2011</v>
      </c>
      <c r="E35" s="18">
        <f t="shared" si="15"/>
        <v>5108.4462552292371</v>
      </c>
      <c r="F35" s="18">
        <v>6000</v>
      </c>
      <c r="G35" s="260"/>
      <c r="H35" s="260">
        <v>18888</v>
      </c>
      <c r="I35" s="260" t="s">
        <v>389</v>
      </c>
      <c r="J35" s="74">
        <v>43</v>
      </c>
      <c r="K35" s="9">
        <f t="shared" ref="K35:K66" si="16">J35*0.004047</f>
        <v>0.17402100000000001</v>
      </c>
      <c r="L35" s="9">
        <f t="shared" ref="L35:L54" si="17">J35*0.404685642</f>
        <v>17.401482606000002</v>
      </c>
      <c r="M35" s="1">
        <f t="shared" ref="M35:M66" si="18">J35/(E35/1000)</f>
        <v>8.4174321998559254</v>
      </c>
      <c r="N35" s="1">
        <f t="shared" ref="N35:N66" si="19">E35/1000/K35</f>
        <v>29.355343638004818</v>
      </c>
      <c r="O35" s="260">
        <v>26.75</v>
      </c>
      <c r="P35" s="1">
        <f>O35*0.004047</f>
        <v>0.10825725000000001</v>
      </c>
      <c r="Q35" s="1">
        <f>O35*0.404685642</f>
        <v>10.825340923500001</v>
      </c>
      <c r="R35" s="1">
        <f>O35/(E35/1000)</f>
        <v>5.2364258452592098</v>
      </c>
      <c r="S35" s="1">
        <f>E35/1000/P35</f>
        <v>47.188029025577833</v>
      </c>
      <c r="T35" s="1">
        <v>0.28499999999999998</v>
      </c>
      <c r="U35" s="1">
        <f>1/T35</f>
        <v>3.5087719298245617</v>
      </c>
      <c r="V35" s="1">
        <f>T35*R35</f>
        <v>1.4923813658988747</v>
      </c>
      <c r="W35" s="260">
        <v>38.956650000000003</v>
      </c>
      <c r="X35" s="260">
        <v>-104.80674</v>
      </c>
      <c r="Y35" s="260" t="s">
        <v>21</v>
      </c>
      <c r="Z35" s="260" t="s">
        <v>776</v>
      </c>
      <c r="AA35" s="11" t="s">
        <v>96</v>
      </c>
      <c r="AB35" s="111"/>
      <c r="AC35" s="260"/>
      <c r="AD35" s="260"/>
      <c r="AE35" s="260" t="s">
        <v>29</v>
      </c>
      <c r="AF35" s="260"/>
      <c r="AG35" s="15"/>
      <c r="AH35" s="260"/>
      <c r="AI35" s="260">
        <v>1</v>
      </c>
      <c r="AJ35" s="260"/>
      <c r="AK35" s="260"/>
      <c r="AL35" s="260">
        <v>2323.52</v>
      </c>
      <c r="AM35" s="98">
        <f t="shared" si="14"/>
        <v>3.6227070134347565</v>
      </c>
      <c r="AN35" s="100">
        <f>1/(AL35/$R35/1000)</f>
        <v>2.2536607583576682</v>
      </c>
      <c r="AO35" s="260">
        <v>2672.06</v>
      </c>
      <c r="AP35" s="260">
        <f t="shared" ref="AP35:AP66" si="20">1/(AO35/$M35/1000)</f>
        <v>3.150165864485051</v>
      </c>
      <c r="AQ35" s="260">
        <v>1469.39</v>
      </c>
      <c r="AR35" s="260">
        <f t="shared" ref="AR35:AR66" si="21">1/(AQ35/$M35/1000)</f>
        <v>5.7285214952163308</v>
      </c>
      <c r="AS35" s="260"/>
      <c r="AT35" s="260"/>
      <c r="AU35" s="260"/>
      <c r="AV35" s="260"/>
      <c r="AW35" s="260"/>
      <c r="AX35" s="260"/>
    </row>
    <row r="36" spans="1:50" x14ac:dyDescent="0.3">
      <c r="A36" s="260" t="s">
        <v>171</v>
      </c>
      <c r="B36" s="260" t="s">
        <v>618</v>
      </c>
      <c r="C36" s="260"/>
      <c r="D36" s="260">
        <v>2012</v>
      </c>
      <c r="E36" s="18">
        <f t="shared" si="15"/>
        <v>5193.5870261497248</v>
      </c>
      <c r="F36" s="260">
        <v>6100</v>
      </c>
      <c r="G36" s="260"/>
      <c r="H36" s="260">
        <v>24000</v>
      </c>
      <c r="I36" s="260" t="s">
        <v>619</v>
      </c>
      <c r="J36" s="260">
        <v>30</v>
      </c>
      <c r="K36" s="9">
        <f t="shared" si="16"/>
        <v>0.12141</v>
      </c>
      <c r="L36" s="9">
        <f t="shared" si="17"/>
        <v>12.140569259999999</v>
      </c>
      <c r="M36" s="1">
        <f t="shared" si="18"/>
        <v>5.7763545405034931</v>
      </c>
      <c r="N36" s="1">
        <f t="shared" si="19"/>
        <v>42.777259090270363</v>
      </c>
      <c r="O36" s="260"/>
      <c r="P36" s="260"/>
      <c r="Q36" s="260"/>
      <c r="R36" s="260"/>
      <c r="S36" s="260"/>
      <c r="T36" s="260"/>
      <c r="U36" s="260"/>
      <c r="V36" s="260"/>
      <c r="W36" s="260">
        <v>40.300800000000002</v>
      </c>
      <c r="X36" s="260">
        <v>-74.719300000000004</v>
      </c>
      <c r="Y36" s="260" t="s">
        <v>21</v>
      </c>
      <c r="Z36" s="260"/>
      <c r="AA36" s="260"/>
      <c r="AB36" s="15">
        <v>0.14610000000000001</v>
      </c>
      <c r="AC36" s="260"/>
      <c r="AD36" s="260" t="s">
        <v>620</v>
      </c>
      <c r="AE36" s="260" t="s">
        <v>29</v>
      </c>
      <c r="AF36" s="260" t="s">
        <v>611</v>
      </c>
      <c r="AG36" s="260" t="s">
        <v>380</v>
      </c>
      <c r="AH36" s="260"/>
      <c r="AI36" s="260">
        <v>1</v>
      </c>
      <c r="AJ36" s="260"/>
      <c r="AK36" s="260"/>
      <c r="AL36" s="260">
        <v>1786.88</v>
      </c>
      <c r="AM36" s="98">
        <f t="shared" si="14"/>
        <v>3.2326482698913708</v>
      </c>
      <c r="AO36" s="260">
        <v>2672.06</v>
      </c>
      <c r="AP36" s="260">
        <f t="shared" si="20"/>
        <v>2.1617607914880255</v>
      </c>
      <c r="AQ36" s="260">
        <v>1469.39</v>
      </c>
      <c r="AR36" s="260">
        <f t="shared" si="21"/>
        <v>3.9311241675140653</v>
      </c>
      <c r="AS36" s="260"/>
      <c r="AT36" s="260"/>
      <c r="AU36" s="260"/>
      <c r="AV36" s="260"/>
      <c r="AW36" s="260"/>
      <c r="AX36" s="260"/>
    </row>
    <row r="37" spans="1:50" x14ac:dyDescent="0.3">
      <c r="A37" s="11" t="s">
        <v>3</v>
      </c>
      <c r="B37" s="10" t="s">
        <v>41</v>
      </c>
      <c r="C37" s="10"/>
      <c r="D37" s="260">
        <v>2007</v>
      </c>
      <c r="E37" s="18">
        <f t="shared" si="15"/>
        <v>5623.5479192981848</v>
      </c>
      <c r="F37" s="18">
        <v>6605</v>
      </c>
      <c r="G37" s="260"/>
      <c r="H37" s="260">
        <v>24384</v>
      </c>
      <c r="I37" s="260" t="s">
        <v>8</v>
      </c>
      <c r="J37" s="260">
        <v>63.1</v>
      </c>
      <c r="K37" s="9">
        <f t="shared" si="16"/>
        <v>0.25536570000000003</v>
      </c>
      <c r="L37" s="9">
        <f t="shared" si="17"/>
        <v>25.535664010200001</v>
      </c>
      <c r="M37" s="1">
        <f t="shared" si="18"/>
        <v>11.22067436883775</v>
      </c>
      <c r="N37" s="1">
        <f t="shared" si="19"/>
        <v>22.02154760525076</v>
      </c>
      <c r="O37" s="260">
        <v>32.770000000000003</v>
      </c>
      <c r="P37" s="1">
        <f>O37*0.004047</f>
        <v>0.13262019000000003</v>
      </c>
      <c r="Q37" s="1">
        <f>O37*0.4047</f>
        <v>13.262019000000002</v>
      </c>
      <c r="R37" s="1">
        <f>O37/(E37/1000)</f>
        <v>5.8272820771285758</v>
      </c>
      <c r="S37" s="1">
        <f>E37/1000/P37</f>
        <v>42.403407198392514</v>
      </c>
      <c r="T37" s="1">
        <f>0.34396/0.88635</f>
        <v>0.38806340610368367</v>
      </c>
      <c r="U37" s="1">
        <f>1/T37</f>
        <v>2.5768984765670426</v>
      </c>
      <c r="V37" s="1">
        <f>T37*R37</f>
        <v>2.2613549311774639</v>
      </c>
      <c r="W37" s="260">
        <v>37.688524000000001</v>
      </c>
      <c r="X37" s="260">
        <v>-105.87646700000001</v>
      </c>
      <c r="Y37" s="260" t="s">
        <v>21</v>
      </c>
      <c r="Z37" s="260" t="s">
        <v>776</v>
      </c>
      <c r="AA37" s="260" t="s">
        <v>96</v>
      </c>
      <c r="AB37" s="15">
        <v>0.13919999999999999</v>
      </c>
      <c r="AC37" s="15" t="s">
        <v>399</v>
      </c>
      <c r="AD37" s="15" t="s">
        <v>71</v>
      </c>
      <c r="AE37" s="260" t="s">
        <v>29</v>
      </c>
      <c r="AF37" s="260" t="s">
        <v>19</v>
      </c>
      <c r="AG37" s="15" t="s">
        <v>353</v>
      </c>
      <c r="AH37" s="260"/>
      <c r="AI37" s="260">
        <v>1</v>
      </c>
      <c r="AJ37" s="260"/>
      <c r="AK37" s="260"/>
      <c r="AL37" s="260">
        <v>2582.9699999999998</v>
      </c>
      <c r="AM37" s="98">
        <f t="shared" si="14"/>
        <v>4.3440978287931147</v>
      </c>
      <c r="AN37" s="100">
        <f>1/(AL37/$R37/1000)</f>
        <v>2.2560393953969951</v>
      </c>
      <c r="AO37" s="260">
        <v>2672.06</v>
      </c>
      <c r="AP37" s="260">
        <f t="shared" si="20"/>
        <v>4.199259885196347</v>
      </c>
      <c r="AQ37" s="260">
        <v>1469.39</v>
      </c>
      <c r="AR37" s="260">
        <f t="shared" si="21"/>
        <v>7.6362806122525342</v>
      </c>
      <c r="AS37" s="260"/>
      <c r="AT37" s="260"/>
      <c r="AU37" s="260"/>
      <c r="AV37" s="260"/>
      <c r="AW37" s="260"/>
      <c r="AX37" s="260"/>
    </row>
    <row r="38" spans="1:50" x14ac:dyDescent="0.3">
      <c r="A38" s="260" t="s">
        <v>26</v>
      </c>
      <c r="B38" s="260" t="s">
        <v>628</v>
      </c>
      <c r="C38" s="260"/>
      <c r="D38" s="260">
        <v>2013</v>
      </c>
      <c r="E38" s="18">
        <f t="shared" si="15"/>
        <v>6811.2616736389828</v>
      </c>
      <c r="F38" s="98">
        <v>8000</v>
      </c>
      <c r="G38" s="260"/>
      <c r="H38" s="260">
        <v>33880</v>
      </c>
      <c r="I38" s="260" t="s">
        <v>629</v>
      </c>
      <c r="J38" s="260">
        <v>36.5</v>
      </c>
      <c r="K38" s="9">
        <f t="shared" si="16"/>
        <v>0.1477155</v>
      </c>
      <c r="L38" s="9">
        <f t="shared" si="17"/>
        <v>14.771025933000001</v>
      </c>
      <c r="M38" s="1">
        <f t="shared" si="18"/>
        <v>5.358772243512929</v>
      </c>
      <c r="N38" s="9">
        <f t="shared" si="19"/>
        <v>46.110676764719905</v>
      </c>
      <c r="O38" s="260"/>
      <c r="P38" s="260"/>
      <c r="Q38" s="260"/>
      <c r="R38" s="260"/>
      <c r="S38" s="260"/>
      <c r="T38" s="260"/>
      <c r="U38" s="260"/>
      <c r="V38" s="260"/>
      <c r="W38" s="260">
        <v>33.885300000000001</v>
      </c>
      <c r="X38" s="260">
        <v>-116.5189</v>
      </c>
      <c r="Y38" s="260" t="s">
        <v>21</v>
      </c>
      <c r="Z38" s="260"/>
      <c r="AA38" s="260"/>
      <c r="AB38" s="15">
        <v>0.14400000000000002</v>
      </c>
      <c r="AC38" s="260"/>
      <c r="AD38" s="260" t="s">
        <v>630</v>
      </c>
      <c r="AE38" s="260" t="s">
        <v>109</v>
      </c>
      <c r="AF38" s="260" t="s">
        <v>611</v>
      </c>
      <c r="AG38" s="260" t="s">
        <v>380</v>
      </c>
      <c r="AH38" s="260"/>
      <c r="AI38" s="260">
        <v>1</v>
      </c>
      <c r="AJ38" s="260"/>
      <c r="AK38" s="260"/>
      <c r="AL38" s="260">
        <v>2570.67</v>
      </c>
      <c r="AM38" s="98">
        <f t="shared" si="14"/>
        <v>2.0845819352592625</v>
      </c>
      <c r="AO38" s="260">
        <v>2672.06</v>
      </c>
      <c r="AP38" s="260">
        <f t="shared" si="20"/>
        <v>2.005483500936704</v>
      </c>
      <c r="AQ38" s="260">
        <v>1469.39</v>
      </c>
      <c r="AR38" s="260">
        <f t="shared" si="21"/>
        <v>3.6469366495708613</v>
      </c>
      <c r="AS38" s="260"/>
      <c r="AT38" s="260"/>
      <c r="AU38" s="260"/>
      <c r="AV38" s="260"/>
      <c r="AW38" s="260"/>
      <c r="AX38" s="260"/>
    </row>
    <row r="39" spans="1:50" x14ac:dyDescent="0.3">
      <c r="A39" s="260" t="s">
        <v>196</v>
      </c>
      <c r="B39" s="260" t="s">
        <v>622</v>
      </c>
      <c r="C39" s="260"/>
      <c r="D39" s="260">
        <v>2012</v>
      </c>
      <c r="E39" s="18">
        <f t="shared" si="15"/>
        <v>8343.7955502077548</v>
      </c>
      <c r="F39" s="260">
        <v>9800</v>
      </c>
      <c r="G39" s="260">
        <v>21.6</v>
      </c>
      <c r="H39" s="260">
        <v>24000</v>
      </c>
      <c r="I39" s="260" t="s">
        <v>623</v>
      </c>
      <c r="J39" s="260">
        <v>60</v>
      </c>
      <c r="K39" s="9">
        <f t="shared" si="16"/>
        <v>0.24282000000000001</v>
      </c>
      <c r="L39" s="9">
        <f t="shared" si="17"/>
        <v>24.281138519999999</v>
      </c>
      <c r="M39" s="1">
        <f t="shared" si="18"/>
        <v>7.1909719789941446</v>
      </c>
      <c r="N39" s="9">
        <f t="shared" si="19"/>
        <v>34.362060580708977</v>
      </c>
      <c r="O39" s="260"/>
      <c r="P39" s="260"/>
      <c r="Q39" s="260"/>
      <c r="R39" s="260"/>
      <c r="S39" s="260"/>
      <c r="T39" s="260"/>
      <c r="U39" s="260"/>
      <c r="V39" s="260"/>
      <c r="W39" s="260">
        <v>41.395600000000002</v>
      </c>
      <c r="X39" s="260">
        <v>-84.108149999999995</v>
      </c>
      <c r="Y39" s="260" t="s">
        <v>21</v>
      </c>
      <c r="Z39" s="100" t="s">
        <v>426</v>
      </c>
      <c r="AA39" s="260"/>
      <c r="AB39" s="15">
        <v>0.185</v>
      </c>
      <c r="AC39" s="260" t="s">
        <v>391</v>
      </c>
      <c r="AD39" s="260" t="s">
        <v>624</v>
      </c>
      <c r="AE39" s="260" t="s">
        <v>109</v>
      </c>
      <c r="AF39" s="260" t="s">
        <v>611</v>
      </c>
      <c r="AG39" s="260" t="s">
        <v>380</v>
      </c>
      <c r="AH39" s="260"/>
      <c r="AI39" s="260">
        <v>1</v>
      </c>
      <c r="AJ39" s="260"/>
      <c r="AK39" s="260">
        <v>1426</v>
      </c>
      <c r="AL39" s="260">
        <v>1842.43</v>
      </c>
      <c r="AM39" s="98">
        <f t="shared" si="14"/>
        <v>3.9029824628312308</v>
      </c>
      <c r="AO39" s="260">
        <v>2891.1</v>
      </c>
      <c r="AP39" s="260">
        <f t="shared" si="20"/>
        <v>2.4872788831220451</v>
      </c>
      <c r="AQ39" s="260">
        <v>1587.88</v>
      </c>
      <c r="AR39" s="260">
        <f t="shared" si="21"/>
        <v>4.5286621022962343</v>
      </c>
      <c r="AS39" s="260"/>
      <c r="AT39" s="260"/>
      <c r="AU39" s="260"/>
      <c r="AV39" s="260"/>
      <c r="AW39" s="260"/>
      <c r="AX39" s="260"/>
    </row>
    <row r="40" spans="1:50" x14ac:dyDescent="0.3">
      <c r="A40" s="11" t="s">
        <v>180</v>
      </c>
      <c r="B40" s="11" t="s">
        <v>181</v>
      </c>
      <c r="C40" s="11"/>
      <c r="D40" s="260">
        <v>2010</v>
      </c>
      <c r="E40" s="18">
        <f t="shared" si="15"/>
        <v>8514.0770920487284</v>
      </c>
      <c r="F40" s="94">
        <v>10000</v>
      </c>
      <c r="G40" s="260">
        <v>62</v>
      </c>
      <c r="H40" s="260">
        <v>32292</v>
      </c>
      <c r="I40" s="260" t="s">
        <v>362</v>
      </c>
      <c r="J40" s="260">
        <v>41</v>
      </c>
      <c r="K40" s="9">
        <f t="shared" si="16"/>
        <v>0.16592700000000002</v>
      </c>
      <c r="L40" s="9">
        <f t="shared" si="17"/>
        <v>16.592111322000001</v>
      </c>
      <c r="M40" s="1">
        <f t="shared" si="18"/>
        <v>4.8155542352664131</v>
      </c>
      <c r="N40" s="1">
        <f t="shared" si="19"/>
        <v>51.312186033910862</v>
      </c>
      <c r="O40" s="260">
        <v>32</v>
      </c>
      <c r="P40" s="1">
        <f>O40*0.004047</f>
        <v>0.12950400000000001</v>
      </c>
      <c r="Q40" s="1">
        <f>O40*0.4047</f>
        <v>12.9504</v>
      </c>
      <c r="R40" s="1">
        <f>O40/(E40/1000)</f>
        <v>3.7584813543542737</v>
      </c>
      <c r="S40" s="1">
        <f>E40/1000/P40</f>
        <v>65.743738355948295</v>
      </c>
      <c r="T40" s="1">
        <v>0.51359999999999995</v>
      </c>
      <c r="U40" s="1">
        <f>1/T40</f>
        <v>1.9470404984423677</v>
      </c>
      <c r="V40" s="1">
        <f>T40*R40</f>
        <v>1.9303560235963548</v>
      </c>
      <c r="W40" s="260">
        <v>41.674954999999997</v>
      </c>
      <c r="X40" s="260">
        <v>-87.650760000000005</v>
      </c>
      <c r="Y40" s="260" t="s">
        <v>21</v>
      </c>
      <c r="Z40" s="260" t="s">
        <v>776</v>
      </c>
      <c r="AA40" s="260" t="s">
        <v>94</v>
      </c>
      <c r="AB40" s="15"/>
      <c r="AC40" s="15"/>
      <c r="AD40" s="15"/>
      <c r="AE40" s="260" t="s">
        <v>29</v>
      </c>
      <c r="AF40" s="260" t="s">
        <v>110</v>
      </c>
      <c r="AG40" s="15" t="s">
        <v>252</v>
      </c>
      <c r="AH40" s="260"/>
      <c r="AI40" s="260">
        <v>1</v>
      </c>
      <c r="AJ40" s="260"/>
      <c r="AK40" s="260"/>
      <c r="AL40" s="260">
        <v>1727.11</v>
      </c>
      <c r="AM40" s="98">
        <f t="shared" si="14"/>
        <v>2.7882151312113379</v>
      </c>
      <c r="AN40" s="100">
        <f>1/(AL40/$R40/1000)</f>
        <v>2.176167907286898</v>
      </c>
      <c r="AO40" s="260">
        <v>2672.06</v>
      </c>
      <c r="AP40" s="260">
        <f t="shared" si="20"/>
        <v>1.8021879131705176</v>
      </c>
      <c r="AQ40" s="260">
        <v>1469.39</v>
      </c>
      <c r="AR40" s="260">
        <f t="shared" si="21"/>
        <v>3.2772471809842272</v>
      </c>
      <c r="AS40" s="260"/>
      <c r="AT40" s="260"/>
      <c r="AU40" s="260"/>
      <c r="AV40" s="260"/>
      <c r="AW40" s="260"/>
      <c r="AX40" s="260"/>
    </row>
    <row r="41" spans="1:50" x14ac:dyDescent="0.3">
      <c r="A41" s="11" t="s">
        <v>35</v>
      </c>
      <c r="B41" s="11" t="s">
        <v>592</v>
      </c>
      <c r="C41" s="11"/>
      <c r="D41" s="260">
        <v>2012</v>
      </c>
      <c r="E41" s="18">
        <f t="shared" si="15"/>
        <v>8514.0770920487284</v>
      </c>
      <c r="F41" s="94">
        <v>10000</v>
      </c>
      <c r="G41" s="260"/>
      <c r="H41" s="260">
        <v>40000</v>
      </c>
      <c r="I41" s="260" t="s">
        <v>593</v>
      </c>
      <c r="J41" s="74">
        <v>60</v>
      </c>
      <c r="K41" s="9">
        <f t="shared" si="16"/>
        <v>0.24282000000000001</v>
      </c>
      <c r="L41" s="9">
        <f t="shared" si="17"/>
        <v>24.281138519999999</v>
      </c>
      <c r="M41" s="1">
        <f t="shared" si="18"/>
        <v>7.0471525394142631</v>
      </c>
      <c r="N41" s="1">
        <f t="shared" si="19"/>
        <v>35.063327123172421</v>
      </c>
      <c r="O41" s="24" t="s">
        <v>598</v>
      </c>
      <c r="P41" s="88"/>
      <c r="Q41" s="88"/>
      <c r="R41" s="88"/>
      <c r="S41" s="88"/>
      <c r="T41" s="11"/>
      <c r="U41" s="11"/>
      <c r="V41" s="11"/>
      <c r="W41" s="260">
        <v>35.177590000000002</v>
      </c>
      <c r="X41" s="260">
        <v>-113.97976</v>
      </c>
      <c r="Y41" s="260" t="s">
        <v>21</v>
      </c>
      <c r="Z41" s="260"/>
      <c r="AA41" s="11"/>
      <c r="AB41" s="15">
        <v>0.14299999999999999</v>
      </c>
      <c r="AC41" s="11" t="s">
        <v>399</v>
      </c>
      <c r="AD41" s="11" t="s">
        <v>593</v>
      </c>
      <c r="AE41" s="260" t="s">
        <v>109</v>
      </c>
      <c r="AF41" s="260"/>
      <c r="AG41" s="260"/>
      <c r="AH41" s="260"/>
      <c r="AI41" s="260">
        <v>1</v>
      </c>
      <c r="AJ41" s="260">
        <v>200</v>
      </c>
      <c r="AK41" s="260"/>
      <c r="AL41" s="260">
        <v>2757.95</v>
      </c>
      <c r="AM41" s="98">
        <f t="shared" si="14"/>
        <v>2.5552140319491881</v>
      </c>
      <c r="AO41" s="260">
        <v>2672.06</v>
      </c>
      <c r="AP41" s="260">
        <f t="shared" si="20"/>
        <v>2.6373481656153919</v>
      </c>
      <c r="AQ41" s="260">
        <v>1469.39</v>
      </c>
      <c r="AR41" s="260">
        <f t="shared" si="21"/>
        <v>4.7959714843671604</v>
      </c>
      <c r="AS41" s="260"/>
      <c r="AT41" s="260"/>
      <c r="AU41" s="260"/>
      <c r="AV41" s="260"/>
      <c r="AW41" s="260"/>
      <c r="AX41" s="260"/>
    </row>
    <row r="42" spans="1:50" ht="15.6" x14ac:dyDescent="0.3">
      <c r="A42" s="11" t="s">
        <v>160</v>
      </c>
      <c r="B42" s="11" t="s">
        <v>458</v>
      </c>
      <c r="C42" s="11"/>
      <c r="D42" s="260">
        <v>2011</v>
      </c>
      <c r="E42" s="18">
        <f t="shared" si="15"/>
        <v>9110.0624884921399</v>
      </c>
      <c r="F42" s="18">
        <v>10700</v>
      </c>
      <c r="G42" s="260"/>
      <c r="H42" s="260">
        <f>192640*F42/53500</f>
        <v>38528</v>
      </c>
      <c r="I42" s="260" t="s">
        <v>8</v>
      </c>
      <c r="J42" s="74">
        <v>100</v>
      </c>
      <c r="K42" s="9">
        <f t="shared" si="16"/>
        <v>0.4047</v>
      </c>
      <c r="L42" s="9">
        <f t="shared" si="17"/>
        <v>40.468564200000003</v>
      </c>
      <c r="M42" s="1">
        <f t="shared" si="18"/>
        <v>10.976873114352433</v>
      </c>
      <c r="N42" s="1">
        <f t="shared" si="19"/>
        <v>22.510656013076698</v>
      </c>
      <c r="O42" s="11">
        <v>73.599999999999994</v>
      </c>
      <c r="P42" s="1">
        <f>O42*0.004047</f>
        <v>0.29785919999999999</v>
      </c>
      <c r="Q42" s="1">
        <f>O42*0.4047</f>
        <v>29.785919999999997</v>
      </c>
      <c r="R42" s="1">
        <f>O42/(E42/1000)</f>
        <v>8.0789786121633913</v>
      </c>
      <c r="S42" s="1">
        <f>E42/1000/P42</f>
        <v>30.585130452549866</v>
      </c>
      <c r="T42" s="260">
        <v>0.32450000000000001</v>
      </c>
      <c r="U42" s="1">
        <f>1/T42</f>
        <v>3.0816640986132509</v>
      </c>
      <c r="V42" s="1">
        <f>T42*R42</f>
        <v>2.6216285596470206</v>
      </c>
      <c r="W42" s="260">
        <v>32.195472717285199</v>
      </c>
      <c r="X42" s="260">
        <v>-103.191032409668</v>
      </c>
      <c r="Y42" s="260" t="s">
        <v>21</v>
      </c>
      <c r="Z42" s="260" t="s">
        <v>776</v>
      </c>
      <c r="AA42" s="11"/>
      <c r="AB42" s="260"/>
      <c r="AC42" s="260"/>
      <c r="AD42" s="80" t="s">
        <v>464</v>
      </c>
      <c r="AE42" s="260" t="s">
        <v>29</v>
      </c>
      <c r="AF42" s="260" t="s">
        <v>157</v>
      </c>
      <c r="AG42" s="15" t="s">
        <v>444</v>
      </c>
      <c r="AH42" s="260"/>
      <c r="AI42" s="260">
        <v>1</v>
      </c>
      <c r="AJ42" s="260"/>
      <c r="AK42" s="260"/>
      <c r="AL42" s="260">
        <v>2457.39</v>
      </c>
      <c r="AM42" s="98">
        <f t="shared" si="14"/>
        <v>4.4668827961180089</v>
      </c>
      <c r="AN42" s="100">
        <f>1/(AL42/$R42/1000)</f>
        <v>3.2876257379428546</v>
      </c>
      <c r="AO42" s="260">
        <v>2672.06</v>
      </c>
      <c r="AP42" s="260">
        <f t="shared" si="20"/>
        <v>4.1080189495566835</v>
      </c>
      <c r="AQ42" s="260">
        <v>1469.39</v>
      </c>
      <c r="AR42" s="260">
        <f t="shared" si="21"/>
        <v>7.4703605675500935</v>
      </c>
      <c r="AS42" s="260"/>
      <c r="AT42" s="260"/>
      <c r="AU42" s="260"/>
      <c r="AV42" s="260"/>
      <c r="AW42" s="260"/>
      <c r="AX42" s="260"/>
    </row>
    <row r="43" spans="1:50" ht="15.6" x14ac:dyDescent="0.3">
      <c r="A43" s="11" t="s">
        <v>160</v>
      </c>
      <c r="B43" s="11" t="s">
        <v>456</v>
      </c>
      <c r="C43" s="11"/>
      <c r="D43" s="260">
        <v>2011</v>
      </c>
      <c r="E43" s="18">
        <f t="shared" si="15"/>
        <v>9195.2032594126267</v>
      </c>
      <c r="F43" s="18">
        <v>10800</v>
      </c>
      <c r="G43" s="260"/>
      <c r="H43" s="260">
        <f>192640*F43/53500</f>
        <v>38888.074766355137</v>
      </c>
      <c r="I43" s="260" t="s">
        <v>8</v>
      </c>
      <c r="J43" s="74">
        <v>85.71</v>
      </c>
      <c r="K43" s="9">
        <f t="shared" si="16"/>
        <v>0.34686836999999998</v>
      </c>
      <c r="L43" s="9">
        <f t="shared" si="17"/>
        <v>34.685606375820001</v>
      </c>
      <c r="M43" s="1">
        <f t="shared" si="18"/>
        <v>9.3211642616234034</v>
      </c>
      <c r="N43" s="1">
        <f t="shared" si="19"/>
        <v>26.50920076515661</v>
      </c>
      <c r="O43" s="11">
        <v>76.900000000000006</v>
      </c>
      <c r="P43" s="1">
        <f>O43*0.004047</f>
        <v>0.31121430000000005</v>
      </c>
      <c r="Q43" s="1">
        <f>O43*0.4047</f>
        <v>31.121430000000004</v>
      </c>
      <c r="R43" s="1">
        <f>O43/(E43/1000)</f>
        <v>8.3630560228542734</v>
      </c>
      <c r="S43" s="1">
        <f>E43/1000/P43</f>
        <v>29.546210631749968</v>
      </c>
      <c r="T43" s="260">
        <v>0.32679999999999998</v>
      </c>
      <c r="U43" s="1">
        <f>1/T43</f>
        <v>3.0599755201958385</v>
      </c>
      <c r="V43" s="1">
        <f>T43*R43</f>
        <v>2.7330467082687764</v>
      </c>
      <c r="W43" s="260">
        <v>32.341262817382798</v>
      </c>
      <c r="X43" s="260">
        <v>-104.23040008544901</v>
      </c>
      <c r="Y43" s="260" t="s">
        <v>21</v>
      </c>
      <c r="Z43" s="260" t="s">
        <v>776</v>
      </c>
      <c r="AA43" s="11"/>
      <c r="AB43" s="111"/>
      <c r="AC43" s="260"/>
      <c r="AD43" s="80" t="s">
        <v>464</v>
      </c>
      <c r="AE43" s="260" t="s">
        <v>29</v>
      </c>
      <c r="AF43" s="260" t="s">
        <v>157</v>
      </c>
      <c r="AG43" s="15" t="s">
        <v>444</v>
      </c>
      <c r="AH43" s="260"/>
      <c r="AI43" s="260">
        <v>1</v>
      </c>
      <c r="AJ43" s="260"/>
      <c r="AK43" s="260"/>
      <c r="AL43" s="260">
        <v>2453.5700000000002</v>
      </c>
      <c r="AM43" s="98">
        <f t="shared" si="14"/>
        <v>3.799021124982537</v>
      </c>
      <c r="AN43" s="100">
        <f>1/(AL43/$R43/1000)</f>
        <v>3.4085255455741112</v>
      </c>
      <c r="AO43" s="260">
        <v>2672.06</v>
      </c>
      <c r="AP43" s="260">
        <f t="shared" si="20"/>
        <v>3.4883813468348026</v>
      </c>
      <c r="AQ43" s="260">
        <v>1469.39</v>
      </c>
      <c r="AR43" s="260">
        <f t="shared" si="21"/>
        <v>6.3435604309430467</v>
      </c>
      <c r="AS43" s="260"/>
      <c r="AT43" s="260"/>
      <c r="AU43" s="260"/>
      <c r="AV43" s="260"/>
      <c r="AW43" s="260"/>
      <c r="AX43" s="260"/>
    </row>
    <row r="44" spans="1:50" x14ac:dyDescent="0.3">
      <c r="A44" s="260" t="s">
        <v>26</v>
      </c>
      <c r="B44" s="260" t="s">
        <v>652</v>
      </c>
      <c r="C44" s="260"/>
      <c r="D44" s="260">
        <v>2011</v>
      </c>
      <c r="E44" s="108">
        <v>9400</v>
      </c>
      <c r="F44" s="98">
        <v>12000</v>
      </c>
      <c r="G44" s="260"/>
      <c r="H44" s="260"/>
      <c r="I44" s="260" t="s">
        <v>167</v>
      </c>
      <c r="J44" s="260">
        <v>73.849999999999994</v>
      </c>
      <c r="K44" s="9">
        <f t="shared" si="16"/>
        <v>0.29887094999999997</v>
      </c>
      <c r="L44" s="9">
        <f t="shared" si="17"/>
        <v>29.886034661699998</v>
      </c>
      <c r="M44" s="1">
        <f t="shared" si="18"/>
        <v>7.8563829787234036</v>
      </c>
      <c r="N44" s="9">
        <f t="shared" si="19"/>
        <v>31.451701813106965</v>
      </c>
      <c r="O44" s="260">
        <v>55.127000000000002</v>
      </c>
      <c r="P44" s="1">
        <f>O44*0.004047</f>
        <v>0.22309896900000004</v>
      </c>
      <c r="Q44" s="1">
        <f>O44*0.4047</f>
        <v>22.309896900000002</v>
      </c>
      <c r="R44" s="1">
        <f>O44/(E44/1000)</f>
        <v>5.8645744680851069</v>
      </c>
      <c r="S44" s="1">
        <f>E44/1000/P44</f>
        <v>42.133767099569155</v>
      </c>
      <c r="T44" s="260">
        <v>0.45944000000000002</v>
      </c>
      <c r="U44" s="1">
        <f>1/T44</f>
        <v>2.1765627720703464</v>
      </c>
      <c r="V44" s="1">
        <f>T44*R44</f>
        <v>2.6944200936170217</v>
      </c>
      <c r="W44" s="260">
        <v>38.464930000000003</v>
      </c>
      <c r="X44" s="260">
        <v>-121.17901000000001</v>
      </c>
      <c r="Y44" s="260" t="s">
        <v>21</v>
      </c>
      <c r="Z44" s="260" t="s">
        <v>776</v>
      </c>
      <c r="AA44" s="260" t="s">
        <v>95</v>
      </c>
      <c r="AB44" s="15">
        <v>0.14699999999999999</v>
      </c>
      <c r="AC44" s="260" t="s">
        <v>399</v>
      </c>
      <c r="AD44" s="260" t="s">
        <v>649</v>
      </c>
      <c r="AE44" s="260" t="s">
        <v>29</v>
      </c>
      <c r="AF44" s="260" t="s">
        <v>475</v>
      </c>
      <c r="AG44" s="260" t="s">
        <v>252</v>
      </c>
      <c r="AH44" s="260"/>
      <c r="AI44" s="260">
        <v>1</v>
      </c>
      <c r="AJ44" s="260"/>
      <c r="AK44" s="260"/>
      <c r="AL44" s="260">
        <v>2210.9699999999998</v>
      </c>
      <c r="AM44" s="98">
        <f t="shared" si="14"/>
        <v>3.5533648031060592</v>
      </c>
      <c r="AN44" s="100">
        <f>1/(AL44/$R44/1000)</f>
        <v>2.6524893906679452</v>
      </c>
      <c r="AO44" s="260">
        <v>2672.23</v>
      </c>
      <c r="AP44" s="260">
        <f t="shared" si="20"/>
        <v>2.9400100211147255</v>
      </c>
      <c r="AQ44" s="260">
        <v>1465.41</v>
      </c>
      <c r="AR44" s="260">
        <f t="shared" si="21"/>
        <v>5.3612183475774042</v>
      </c>
      <c r="AS44" s="260"/>
      <c r="AT44" s="260"/>
      <c r="AU44" s="260"/>
      <c r="AV44" s="260"/>
      <c r="AW44" s="260"/>
      <c r="AX44" s="260"/>
    </row>
    <row r="45" spans="1:50" x14ac:dyDescent="0.3">
      <c r="A45" s="260" t="s">
        <v>35</v>
      </c>
      <c r="B45" s="260" t="s">
        <v>633</v>
      </c>
      <c r="C45" s="260"/>
      <c r="D45" s="260">
        <v>2006</v>
      </c>
      <c r="E45" s="108">
        <v>10000</v>
      </c>
      <c r="F45" s="98">
        <v>11750</v>
      </c>
      <c r="G45" s="260"/>
      <c r="H45" s="260">
        <v>43000</v>
      </c>
      <c r="I45" s="260" t="s">
        <v>639</v>
      </c>
      <c r="J45" s="260">
        <v>80</v>
      </c>
      <c r="K45" s="9">
        <f t="shared" si="16"/>
        <v>0.32376000000000005</v>
      </c>
      <c r="L45" s="9">
        <f t="shared" si="17"/>
        <v>32.374851360000001</v>
      </c>
      <c r="M45" s="1">
        <f t="shared" si="18"/>
        <v>8</v>
      </c>
      <c r="N45" s="9">
        <f t="shared" si="19"/>
        <v>30.88707684704719</v>
      </c>
      <c r="O45" s="260"/>
      <c r="P45" s="260"/>
      <c r="Q45" s="260"/>
      <c r="R45" s="260"/>
      <c r="S45" s="260"/>
      <c r="T45" s="260"/>
      <c r="U45" s="260"/>
      <c r="V45" s="260"/>
      <c r="W45" s="260">
        <v>34.690739999999998</v>
      </c>
      <c r="X45" s="260">
        <v>-112.40475000000001</v>
      </c>
      <c r="Y45" s="260" t="s">
        <v>21</v>
      </c>
      <c r="Z45" s="260"/>
      <c r="AA45" s="260"/>
      <c r="AB45" s="111"/>
      <c r="AC45" s="260"/>
      <c r="AD45" s="260"/>
      <c r="AE45" s="260" t="s">
        <v>109</v>
      </c>
      <c r="AF45" s="260"/>
      <c r="AG45" s="260"/>
      <c r="AH45" s="260"/>
      <c r="AI45" s="260">
        <v>1</v>
      </c>
      <c r="AJ45" s="260"/>
      <c r="AK45" s="260"/>
      <c r="AL45" s="260">
        <v>2669.99</v>
      </c>
      <c r="AM45" s="98">
        <f t="shared" si="14"/>
        <v>2.9962659036176169</v>
      </c>
      <c r="AO45" s="260">
        <v>2672.06</v>
      </c>
      <c r="AP45" s="260">
        <f t="shared" si="20"/>
        <v>2.9939447467496985</v>
      </c>
      <c r="AQ45" s="260">
        <v>1469.37</v>
      </c>
      <c r="AR45" s="260">
        <f t="shared" si="21"/>
        <v>5.4445102322764187</v>
      </c>
      <c r="AS45" s="260"/>
      <c r="AT45" s="260"/>
      <c r="AU45" s="260"/>
      <c r="AV45" s="260"/>
      <c r="AW45" s="260"/>
      <c r="AX45" s="260"/>
    </row>
    <row r="46" spans="1:50" x14ac:dyDescent="0.3">
      <c r="A46" s="11" t="s">
        <v>429</v>
      </c>
      <c r="B46" s="11" t="s">
        <v>430</v>
      </c>
      <c r="C46" s="11"/>
      <c r="D46" s="260">
        <v>2011</v>
      </c>
      <c r="E46" s="94">
        <v>10000</v>
      </c>
      <c r="F46" s="18">
        <f>E46/$A$292</f>
        <v>11745.254232357105</v>
      </c>
      <c r="G46" s="260">
        <v>50</v>
      </c>
      <c r="H46" s="260">
        <v>34258</v>
      </c>
      <c r="I46" s="260" t="s">
        <v>432</v>
      </c>
      <c r="J46" s="74">
        <v>103</v>
      </c>
      <c r="K46" s="9">
        <f t="shared" si="16"/>
        <v>0.41684100000000002</v>
      </c>
      <c r="L46" s="9">
        <f t="shared" si="17"/>
        <v>41.682621126000001</v>
      </c>
      <c r="M46" s="1">
        <f t="shared" si="18"/>
        <v>10.3</v>
      </c>
      <c r="N46" s="1">
        <f t="shared" si="19"/>
        <v>23.989962599648305</v>
      </c>
      <c r="O46" s="260">
        <v>50.33</v>
      </c>
      <c r="P46" s="1">
        <f>O46*0.004047</f>
        <v>0.20368551000000001</v>
      </c>
      <c r="Q46" s="1">
        <f>O46*0.4047</f>
        <v>20.368551</v>
      </c>
      <c r="R46" s="1">
        <f>O46/(E46/1000)</f>
        <v>5.0329999999999995</v>
      </c>
      <c r="S46" s="1">
        <f>E46/1000/P46</f>
        <v>49.095294014777977</v>
      </c>
      <c r="T46" s="260"/>
      <c r="U46" s="260"/>
      <c r="V46" s="260"/>
      <c r="W46" s="260">
        <v>39.184851000000002</v>
      </c>
      <c r="X46" s="260">
        <v>-75.502167</v>
      </c>
      <c r="Y46" s="260" t="s">
        <v>21</v>
      </c>
      <c r="Z46" s="260" t="s">
        <v>776</v>
      </c>
      <c r="AA46" s="11" t="s">
        <v>96</v>
      </c>
      <c r="AB46" s="111">
        <v>0.20100000000000001</v>
      </c>
      <c r="AC46" s="260" t="s">
        <v>391</v>
      </c>
      <c r="AD46" s="260" t="s">
        <v>431</v>
      </c>
      <c r="AE46" s="260" t="s">
        <v>29</v>
      </c>
      <c r="AF46" s="260" t="s">
        <v>433</v>
      </c>
      <c r="AG46" s="15" t="s">
        <v>380</v>
      </c>
      <c r="AH46" s="260"/>
      <c r="AI46" s="260">
        <v>1</v>
      </c>
      <c r="AJ46" s="260"/>
      <c r="AK46" s="260">
        <v>1530</v>
      </c>
      <c r="AL46" s="260">
        <v>1832.59</v>
      </c>
      <c r="AM46" s="98">
        <f t="shared" si="14"/>
        <v>5.6204606595037623</v>
      </c>
      <c r="AN46" s="100">
        <f>1/(AL46/$R46/1000)</f>
        <v>2.7463862620662556</v>
      </c>
      <c r="AO46" s="260">
        <v>2672.06</v>
      </c>
      <c r="AP46" s="260">
        <f t="shared" si="20"/>
        <v>3.854703861440238</v>
      </c>
      <c r="AQ46" s="260">
        <v>1469.39</v>
      </c>
      <c r="AR46" s="260">
        <f t="shared" si="21"/>
        <v>7.0097115129407443</v>
      </c>
      <c r="AS46" s="260"/>
      <c r="AT46" s="260"/>
      <c r="AU46" s="260"/>
      <c r="AV46" s="260"/>
      <c r="AW46" s="260"/>
      <c r="AX46" s="260"/>
    </row>
    <row r="47" spans="1:50" x14ac:dyDescent="0.3">
      <c r="A47" s="260" t="s">
        <v>26</v>
      </c>
      <c r="B47" s="260" t="s">
        <v>704</v>
      </c>
      <c r="C47" s="260"/>
      <c r="D47" s="260">
        <v>2012</v>
      </c>
      <c r="E47" s="18">
        <f>F47*$A$292</f>
        <v>11732.398232843148</v>
      </c>
      <c r="F47" s="98">
        <v>13780</v>
      </c>
      <c r="G47" s="260"/>
      <c r="H47" s="260">
        <v>31680</v>
      </c>
      <c r="I47" s="260" t="s">
        <v>389</v>
      </c>
      <c r="J47" s="260">
        <v>118</v>
      </c>
      <c r="K47" s="9">
        <f t="shared" si="16"/>
        <v>0.47754600000000003</v>
      </c>
      <c r="L47" s="9">
        <f t="shared" si="17"/>
        <v>47.752905756000004</v>
      </c>
      <c r="M47" s="1">
        <f t="shared" si="18"/>
        <v>10.057619734529306</v>
      </c>
      <c r="N47" s="9">
        <f t="shared" si="19"/>
        <v>24.568100733422849</v>
      </c>
      <c r="O47" s="260"/>
      <c r="P47" s="260"/>
      <c r="Q47" s="260"/>
      <c r="R47" s="260"/>
      <c r="S47" s="260"/>
      <c r="T47" s="260"/>
      <c r="U47" s="260"/>
      <c r="V47" s="260"/>
      <c r="W47" s="260">
        <v>35.684399999999997</v>
      </c>
      <c r="X47" s="260">
        <v>-117.6878</v>
      </c>
      <c r="Y47" s="260" t="s">
        <v>21</v>
      </c>
      <c r="Z47" s="260" t="s">
        <v>776</v>
      </c>
      <c r="AA47" s="260"/>
      <c r="AB47" s="15">
        <v>0.20100000000000001</v>
      </c>
      <c r="AC47" s="260" t="s">
        <v>705</v>
      </c>
      <c r="AD47" s="260" t="s">
        <v>706</v>
      </c>
      <c r="AE47" s="260" t="s">
        <v>109</v>
      </c>
      <c r="AF47" s="260" t="s">
        <v>611</v>
      </c>
      <c r="AG47" s="260" t="s">
        <v>380</v>
      </c>
      <c r="AH47" s="260"/>
      <c r="AI47" s="260">
        <v>1</v>
      </c>
      <c r="AJ47" s="260"/>
      <c r="AK47" s="260"/>
      <c r="AL47" s="260">
        <v>2744.65</v>
      </c>
      <c r="AM47" s="98">
        <f t="shared" si="14"/>
        <v>3.6644452788258262</v>
      </c>
      <c r="AO47" s="260">
        <v>2672.06</v>
      </c>
      <c r="AP47" s="260">
        <f t="shared" si="20"/>
        <v>3.7639947211250142</v>
      </c>
      <c r="AQ47" s="260">
        <v>1469.39</v>
      </c>
      <c r="AR47" s="260">
        <f t="shared" si="21"/>
        <v>6.8447585287291357</v>
      </c>
      <c r="AS47" s="260"/>
      <c r="AT47" s="260"/>
      <c r="AU47" s="260"/>
      <c r="AV47" s="260"/>
      <c r="AW47" s="260"/>
      <c r="AX47" s="260"/>
    </row>
    <row r="48" spans="1:50" x14ac:dyDescent="0.3">
      <c r="A48" s="69" t="s">
        <v>171</v>
      </c>
      <c r="B48" s="11" t="s">
        <v>172</v>
      </c>
      <c r="C48" s="11"/>
      <c r="D48" s="260">
        <v>2014</v>
      </c>
      <c r="E48" s="18">
        <f>F48*$A$292</f>
        <v>12260.271012550169</v>
      </c>
      <c r="F48" s="18">
        <v>14400</v>
      </c>
      <c r="G48" s="260"/>
      <c r="H48" s="260"/>
      <c r="I48" s="260" t="s">
        <v>374</v>
      </c>
      <c r="J48" s="260">
        <v>90</v>
      </c>
      <c r="K48" s="9">
        <f t="shared" si="16"/>
        <v>0.36423</v>
      </c>
      <c r="L48" s="9">
        <f t="shared" si="17"/>
        <v>36.421707779999998</v>
      </c>
      <c r="M48" s="1">
        <f t="shared" si="18"/>
        <v>7.3407838952231907</v>
      </c>
      <c r="N48" s="9">
        <f t="shared" si="19"/>
        <v>33.660794038245527</v>
      </c>
      <c r="O48" s="24" t="s">
        <v>598</v>
      </c>
      <c r="P48" s="88"/>
      <c r="Q48" s="88"/>
      <c r="R48" s="88"/>
      <c r="S48" s="88"/>
      <c r="T48" s="1"/>
      <c r="U48" s="1"/>
      <c r="V48" s="1"/>
      <c r="W48" s="260">
        <v>39.605580000000003</v>
      </c>
      <c r="X48" s="260">
        <v>-75.1999</v>
      </c>
      <c r="Y48" s="260" t="s">
        <v>21</v>
      </c>
      <c r="Z48" s="260"/>
      <c r="AA48" s="10" t="s">
        <v>96</v>
      </c>
      <c r="AB48" s="15"/>
      <c r="AC48" s="15"/>
      <c r="AD48" s="15"/>
      <c r="AE48" s="11" t="s">
        <v>24</v>
      </c>
      <c r="AF48" s="260" t="s">
        <v>157</v>
      </c>
      <c r="AG48" s="15" t="s">
        <v>352</v>
      </c>
      <c r="AH48" s="260"/>
      <c r="AI48" s="260">
        <v>1</v>
      </c>
      <c r="AJ48" s="260"/>
      <c r="AK48" s="260"/>
      <c r="AL48" s="260"/>
      <c r="AO48" s="260">
        <v>2672.06</v>
      </c>
      <c r="AP48" s="260">
        <f t="shared" si="20"/>
        <v>2.7472376725160328</v>
      </c>
      <c r="AQ48" s="260">
        <v>1469.39</v>
      </c>
      <c r="AR48" s="260">
        <f t="shared" si="21"/>
        <v>4.9958036295491253</v>
      </c>
      <c r="AS48" s="260"/>
      <c r="AT48" s="260"/>
      <c r="AU48" s="260"/>
      <c r="AV48" s="260"/>
      <c r="AW48" s="260"/>
      <c r="AX48" s="260"/>
    </row>
    <row r="49" spans="1:50" x14ac:dyDescent="0.3">
      <c r="A49" s="11" t="s">
        <v>107</v>
      </c>
      <c r="B49" s="11" t="s">
        <v>141</v>
      </c>
      <c r="C49" s="11"/>
      <c r="D49" s="260">
        <v>2007</v>
      </c>
      <c r="E49" s="42">
        <v>13500</v>
      </c>
      <c r="F49" s="94">
        <v>18000</v>
      </c>
      <c r="G49" s="260"/>
      <c r="H49" s="260">
        <v>72416</v>
      </c>
      <c r="I49" s="260"/>
      <c r="J49" s="260">
        <v>140</v>
      </c>
      <c r="K49" s="9">
        <f t="shared" si="16"/>
        <v>0.56658000000000008</v>
      </c>
      <c r="L49" s="9">
        <f t="shared" si="17"/>
        <v>56.65598988</v>
      </c>
      <c r="M49" s="1">
        <f t="shared" si="18"/>
        <v>10.37037037037037</v>
      </c>
      <c r="N49" s="1">
        <f t="shared" si="19"/>
        <v>23.82717356772212</v>
      </c>
      <c r="O49" s="260">
        <v>111</v>
      </c>
      <c r="P49" s="1">
        <f>O49*0.004047</f>
        <v>0.44921700000000003</v>
      </c>
      <c r="Q49" s="1">
        <f>O49*0.4047</f>
        <v>44.921700000000001</v>
      </c>
      <c r="R49" s="1">
        <f>O49/(E49/1000)</f>
        <v>8.2222222222222214</v>
      </c>
      <c r="S49" s="1">
        <f>E49/1000/P49</f>
        <v>30.052290986316187</v>
      </c>
      <c r="T49" s="105">
        <v>0.20730499999999999</v>
      </c>
      <c r="U49" s="1">
        <f>1/T49</f>
        <v>4.8238103277779123</v>
      </c>
      <c r="V49" s="1">
        <f>T49*R49</f>
        <v>1.7045077777777775</v>
      </c>
      <c r="W49" s="260">
        <v>36.256827000000001</v>
      </c>
      <c r="X49" s="260">
        <v>-115.05431</v>
      </c>
      <c r="Y49" s="260" t="s">
        <v>21</v>
      </c>
      <c r="Z49" s="100" t="s">
        <v>898</v>
      </c>
      <c r="AA49" s="260" t="s">
        <v>95</v>
      </c>
      <c r="AB49" s="15"/>
      <c r="AC49" s="15"/>
      <c r="AD49" s="15"/>
      <c r="AE49" s="260" t="s">
        <v>29</v>
      </c>
      <c r="AF49" s="260" t="s">
        <v>34</v>
      </c>
      <c r="AG49" s="15" t="s">
        <v>353</v>
      </c>
      <c r="AH49" s="260"/>
      <c r="AI49" s="260">
        <v>1</v>
      </c>
      <c r="AJ49" s="260"/>
      <c r="AK49" s="260">
        <v>2064</v>
      </c>
      <c r="AL49" s="260">
        <v>2714.5</v>
      </c>
      <c r="AM49" s="98">
        <f t="shared" ref="AM49:AM89" si="22">1/(AL49/$M49/1000)</f>
        <v>3.8203611605711441</v>
      </c>
      <c r="AN49" s="100">
        <f>1/(AL49/$R49/1000)</f>
        <v>3.0290006344528355</v>
      </c>
      <c r="AO49" s="260">
        <v>2893.82</v>
      </c>
      <c r="AP49" s="260">
        <f t="shared" si="20"/>
        <v>3.5836266147757536</v>
      </c>
      <c r="AQ49" s="260">
        <v>1582.72</v>
      </c>
      <c r="AR49" s="260">
        <f t="shared" si="21"/>
        <v>6.5522457354240613</v>
      </c>
      <c r="AS49" s="260"/>
      <c r="AT49" s="260"/>
      <c r="AU49" s="260"/>
      <c r="AV49" s="260"/>
      <c r="AW49" s="260"/>
      <c r="AX49" s="260"/>
    </row>
    <row r="50" spans="1:50" x14ac:dyDescent="0.3">
      <c r="A50" s="260" t="s">
        <v>35</v>
      </c>
      <c r="B50" s="260" t="s">
        <v>638</v>
      </c>
      <c r="C50" s="260"/>
      <c r="D50" s="260">
        <v>2012</v>
      </c>
      <c r="E50" s="98">
        <v>14000</v>
      </c>
      <c r="F50" s="98">
        <v>15000</v>
      </c>
      <c r="G50" s="260">
        <v>68</v>
      </c>
      <c r="H50" s="260">
        <v>52000</v>
      </c>
      <c r="I50" s="260" t="s">
        <v>389</v>
      </c>
      <c r="J50" s="260">
        <v>100</v>
      </c>
      <c r="K50" s="9">
        <f t="shared" si="16"/>
        <v>0.4047</v>
      </c>
      <c r="L50" s="9">
        <f t="shared" si="17"/>
        <v>40.468564200000003</v>
      </c>
      <c r="M50" s="1">
        <f t="shared" si="18"/>
        <v>7.1428571428571432</v>
      </c>
      <c r="N50" s="9">
        <f t="shared" si="19"/>
        <v>34.59352606869286</v>
      </c>
      <c r="O50" s="260"/>
      <c r="P50" s="260"/>
      <c r="Q50" s="260"/>
      <c r="R50" s="260"/>
      <c r="S50" s="260"/>
      <c r="T50" s="260"/>
      <c r="U50" s="260"/>
      <c r="V50" s="260"/>
      <c r="W50" s="260">
        <v>33.517000000000003</v>
      </c>
      <c r="X50" s="260">
        <v>-112.36750000000001</v>
      </c>
      <c r="Y50" s="260" t="s">
        <v>21</v>
      </c>
      <c r="Z50" s="260"/>
      <c r="AA50" s="260"/>
      <c r="AB50" s="15">
        <v>0.185</v>
      </c>
      <c r="AC50" s="260" t="s">
        <v>391</v>
      </c>
      <c r="AD50" s="260" t="s">
        <v>389</v>
      </c>
      <c r="AE50" s="260" t="s">
        <v>29</v>
      </c>
      <c r="AF50" s="260" t="s">
        <v>645</v>
      </c>
      <c r="AG50" s="260" t="s">
        <v>380</v>
      </c>
      <c r="AH50" s="260"/>
      <c r="AI50" s="260">
        <v>1</v>
      </c>
      <c r="AJ50" s="260"/>
      <c r="AK50" s="260">
        <v>2161</v>
      </c>
      <c r="AL50" s="260">
        <v>2585.8200000000002</v>
      </c>
      <c r="AM50" s="98">
        <f t="shared" si="22"/>
        <v>2.7623180046782618</v>
      </c>
      <c r="AO50" s="260">
        <v>2670.31</v>
      </c>
      <c r="AP50" s="260">
        <f t="shared" si="20"/>
        <v>2.6749168234613747</v>
      </c>
      <c r="AQ50" s="260">
        <v>1472.6</v>
      </c>
      <c r="AR50" s="260">
        <f t="shared" si="21"/>
        <v>4.8505073630701778</v>
      </c>
      <c r="AS50" s="260"/>
      <c r="AT50" s="260"/>
      <c r="AU50" s="260"/>
      <c r="AV50" s="260"/>
      <c r="AW50" s="260"/>
      <c r="AX50" s="260"/>
    </row>
    <row r="51" spans="1:50" x14ac:dyDescent="0.3">
      <c r="A51" s="260" t="s">
        <v>35</v>
      </c>
      <c r="B51" s="260" t="s">
        <v>636</v>
      </c>
      <c r="C51" s="260"/>
      <c r="D51" s="260">
        <v>2013</v>
      </c>
      <c r="E51" s="18">
        <f>F51*$A$292</f>
        <v>14473.931056482839</v>
      </c>
      <c r="F51" s="260">
        <v>17000</v>
      </c>
      <c r="G51" s="260"/>
      <c r="H51" s="260"/>
      <c r="I51" s="260" t="s">
        <v>8</v>
      </c>
      <c r="J51" s="260">
        <v>130</v>
      </c>
      <c r="K51" s="9">
        <f t="shared" si="16"/>
        <v>0.52611000000000008</v>
      </c>
      <c r="L51" s="9">
        <f t="shared" si="17"/>
        <v>52.609133460000002</v>
      </c>
      <c r="M51" s="1">
        <f t="shared" si="18"/>
        <v>8.9816650012142549</v>
      </c>
      <c r="N51" s="9">
        <f t="shared" si="19"/>
        <v>27.51122589664298</v>
      </c>
      <c r="O51" s="260"/>
      <c r="P51" s="260"/>
      <c r="Q51" s="260"/>
      <c r="R51" s="260"/>
      <c r="S51" s="260"/>
      <c r="T51" s="260"/>
      <c r="U51" s="260"/>
      <c r="V51" s="260"/>
      <c r="W51" s="260">
        <v>32.841700000000003</v>
      </c>
      <c r="X51" s="260">
        <v>-113.4362</v>
      </c>
      <c r="Y51" s="260" t="s">
        <v>21</v>
      </c>
      <c r="Z51" s="260"/>
      <c r="AA51" s="260"/>
      <c r="AB51" s="15">
        <v>0.14000000000000001</v>
      </c>
      <c r="AC51" s="260" t="s">
        <v>399</v>
      </c>
      <c r="AD51" s="260" t="s">
        <v>640</v>
      </c>
      <c r="AE51" s="260" t="s">
        <v>109</v>
      </c>
      <c r="AF51" s="260" t="s">
        <v>645</v>
      </c>
      <c r="AG51" s="260" t="s">
        <v>380</v>
      </c>
      <c r="AH51" s="260"/>
      <c r="AI51" s="260">
        <v>1</v>
      </c>
      <c r="AJ51" s="260"/>
      <c r="AK51" s="260"/>
      <c r="AL51" s="260">
        <v>2602.4699999999998</v>
      </c>
      <c r="AM51" s="98">
        <f t="shared" si="22"/>
        <v>3.4512078914316997</v>
      </c>
      <c r="AO51" s="260">
        <v>2672.06</v>
      </c>
      <c r="AP51" s="260">
        <f t="shared" si="20"/>
        <v>3.3613260934313809</v>
      </c>
      <c r="AQ51" s="260">
        <v>1469.39</v>
      </c>
      <c r="AR51" s="260">
        <f t="shared" si="21"/>
        <v>6.112512676154223</v>
      </c>
      <c r="AS51" s="260"/>
      <c r="AT51" s="260"/>
      <c r="AU51" s="260"/>
      <c r="AV51" s="260"/>
      <c r="AW51" s="260"/>
      <c r="AX51" s="260"/>
    </row>
    <row r="52" spans="1:50" x14ac:dyDescent="0.3">
      <c r="A52" s="260" t="s">
        <v>26</v>
      </c>
      <c r="B52" s="260" t="s">
        <v>646</v>
      </c>
      <c r="C52" s="260"/>
      <c r="D52" s="260">
        <v>2011</v>
      </c>
      <c r="E52" s="108">
        <v>15000</v>
      </c>
      <c r="F52" s="98">
        <v>16438.8</v>
      </c>
      <c r="G52" s="260"/>
      <c r="H52" s="260">
        <v>58710</v>
      </c>
      <c r="I52" s="260" t="s">
        <v>167</v>
      </c>
      <c r="J52" s="260">
        <v>119.67</v>
      </c>
      <c r="K52" s="260">
        <f t="shared" si="16"/>
        <v>0.48430449000000003</v>
      </c>
      <c r="L52" s="9">
        <f t="shared" si="17"/>
        <v>48.42873077814</v>
      </c>
      <c r="M52" s="1">
        <f t="shared" si="18"/>
        <v>7.9779999999999998</v>
      </c>
      <c r="N52" s="260">
        <f t="shared" si="19"/>
        <v>30.972250536021253</v>
      </c>
      <c r="O52" s="260">
        <v>84.744</v>
      </c>
      <c r="P52" s="1">
        <f>O52*0.004047</f>
        <v>0.34295896800000003</v>
      </c>
      <c r="Q52" s="1">
        <f>O52*0.4047</f>
        <v>34.295896800000001</v>
      </c>
      <c r="R52" s="1">
        <f>O52/(E52/1000)</f>
        <v>5.6496000000000004</v>
      </c>
      <c r="S52" s="1">
        <f>E52/1000/P52</f>
        <v>43.737010545238164</v>
      </c>
      <c r="T52" s="260">
        <v>0.35339999999999999</v>
      </c>
      <c r="U52" s="1">
        <f>1/T52</f>
        <v>2.8296547821165818</v>
      </c>
      <c r="V52" s="1">
        <f>T52*R52</f>
        <v>1.99656864</v>
      </c>
      <c r="W52" s="260">
        <v>38.347709999999999</v>
      </c>
      <c r="X52" s="260">
        <v>-121.41285000000001</v>
      </c>
      <c r="Y52" s="260" t="s">
        <v>21</v>
      </c>
      <c r="Z52" s="260" t="s">
        <v>776</v>
      </c>
      <c r="AA52" s="260" t="s">
        <v>94</v>
      </c>
      <c r="AB52" s="15">
        <v>0.14699999999999999</v>
      </c>
      <c r="AC52" s="260" t="s">
        <v>399</v>
      </c>
      <c r="AD52" s="260" t="s">
        <v>649</v>
      </c>
      <c r="AE52" s="260" t="s">
        <v>29</v>
      </c>
      <c r="AF52" s="260" t="s">
        <v>641</v>
      </c>
      <c r="AG52" s="260" t="s">
        <v>647</v>
      </c>
      <c r="AH52" s="260"/>
      <c r="AI52" s="260">
        <v>1</v>
      </c>
      <c r="AJ52" s="260"/>
      <c r="AK52" s="260"/>
      <c r="AL52" s="260">
        <v>2229.83</v>
      </c>
      <c r="AM52" s="98">
        <f t="shared" si="22"/>
        <v>3.5778512263266706</v>
      </c>
      <c r="AN52" s="100">
        <f>1/(AL52/$R52/1000)</f>
        <v>2.533646062704332</v>
      </c>
      <c r="AO52" s="260">
        <v>2670.84</v>
      </c>
      <c r="AP52" s="260">
        <f t="shared" si="20"/>
        <v>2.9870752272693228</v>
      </c>
      <c r="AQ52" s="260">
        <v>1471.91</v>
      </c>
      <c r="AR52" s="260">
        <f t="shared" si="21"/>
        <v>5.4201683526846063</v>
      </c>
      <c r="AS52" s="260"/>
      <c r="AT52" s="260"/>
      <c r="AU52" s="260"/>
      <c r="AV52" s="260"/>
      <c r="AW52" s="260"/>
      <c r="AX52" s="260"/>
    </row>
    <row r="53" spans="1:50" x14ac:dyDescent="0.3">
      <c r="A53" s="260" t="s">
        <v>26</v>
      </c>
      <c r="B53" s="260" t="s">
        <v>651</v>
      </c>
      <c r="C53" s="260"/>
      <c r="D53" s="260">
        <v>2011</v>
      </c>
      <c r="E53" s="108">
        <v>15000</v>
      </c>
      <c r="F53" s="98">
        <v>16609</v>
      </c>
      <c r="G53" s="260"/>
      <c r="H53" s="260">
        <v>59318</v>
      </c>
      <c r="I53" s="260" t="s">
        <v>167</v>
      </c>
      <c r="J53" s="260">
        <v>116.61</v>
      </c>
      <c r="K53" s="9">
        <f t="shared" si="16"/>
        <v>0.47192067000000004</v>
      </c>
      <c r="L53" s="9">
        <f t="shared" si="17"/>
        <v>47.19039271362</v>
      </c>
      <c r="M53" s="1">
        <f t="shared" si="18"/>
        <v>7.774</v>
      </c>
      <c r="N53" s="9">
        <f t="shared" si="19"/>
        <v>31.785003187082268</v>
      </c>
      <c r="O53" s="260">
        <v>100.38</v>
      </c>
      <c r="P53" s="1">
        <f>O53*0.004047</f>
        <v>0.40623786000000001</v>
      </c>
      <c r="Q53" s="1">
        <f>O53*0.4047</f>
        <v>40.623785999999996</v>
      </c>
      <c r="R53" s="1">
        <f>O53/(E53/1000)</f>
        <v>6.6919999999999993</v>
      </c>
      <c r="S53" s="1">
        <f>E53/1000/P53</f>
        <v>36.92418033119808</v>
      </c>
      <c r="T53" s="260">
        <v>0.50570000000000004</v>
      </c>
      <c r="U53" s="1">
        <f>1/T53</f>
        <v>1.9774569903104606</v>
      </c>
      <c r="V53" s="1">
        <f>T53*R53</f>
        <v>3.3841443999999998</v>
      </c>
      <c r="W53" s="260">
        <v>38.365569999999998</v>
      </c>
      <c r="X53" s="260">
        <v>-121.41294000000001</v>
      </c>
      <c r="Y53" s="260" t="s">
        <v>21</v>
      </c>
      <c r="Z53" s="260" t="s">
        <v>899</v>
      </c>
      <c r="AA53" s="260" t="s">
        <v>96</v>
      </c>
      <c r="AB53" s="15">
        <v>0.14699999999999999</v>
      </c>
      <c r="AC53" s="260" t="s">
        <v>399</v>
      </c>
      <c r="AD53" s="260" t="s">
        <v>649</v>
      </c>
      <c r="AE53" s="260" t="s">
        <v>29</v>
      </c>
      <c r="AF53" s="260" t="s">
        <v>641</v>
      </c>
      <c r="AG53" s="260" t="s">
        <v>647</v>
      </c>
      <c r="AH53" s="260"/>
      <c r="AI53" s="260">
        <v>1</v>
      </c>
      <c r="AJ53" s="260"/>
      <c r="AK53" s="260"/>
      <c r="AL53" s="260">
        <v>2229.89</v>
      </c>
      <c r="AM53" s="98">
        <f t="shared" si="22"/>
        <v>3.4862706232145988</v>
      </c>
      <c r="AN53" s="100">
        <f>1/(AL53/$R53/1000)</f>
        <v>3.0010448945912129</v>
      </c>
      <c r="AO53" s="260">
        <v>2671.07</v>
      </c>
      <c r="AP53" s="260">
        <f t="shared" si="20"/>
        <v>2.9104441291317706</v>
      </c>
      <c r="AQ53" s="260">
        <v>1471.58</v>
      </c>
      <c r="AR53" s="260">
        <f t="shared" si="21"/>
        <v>5.282757308471167</v>
      </c>
      <c r="AS53" s="260"/>
      <c r="AT53" s="260"/>
      <c r="AU53" s="260"/>
      <c r="AV53" s="260"/>
      <c r="AW53" s="260"/>
      <c r="AX53" s="260"/>
    </row>
    <row r="54" spans="1:50" x14ac:dyDescent="0.3">
      <c r="A54" s="69" t="s">
        <v>47</v>
      </c>
      <c r="B54" s="11" t="s">
        <v>188</v>
      </c>
      <c r="C54" s="11"/>
      <c r="D54" s="260">
        <v>2011</v>
      </c>
      <c r="E54" s="28">
        <v>15500</v>
      </c>
      <c r="F54" s="94">
        <v>17200</v>
      </c>
      <c r="G54" s="260">
        <v>173</v>
      </c>
      <c r="H54" s="260">
        <v>64000</v>
      </c>
      <c r="I54" s="260" t="s">
        <v>189</v>
      </c>
      <c r="J54" s="260">
        <v>200</v>
      </c>
      <c r="K54" s="9">
        <f t="shared" si="16"/>
        <v>0.80940000000000001</v>
      </c>
      <c r="L54" s="9">
        <f t="shared" si="17"/>
        <v>80.937128400000006</v>
      </c>
      <c r="M54" s="1">
        <f t="shared" si="18"/>
        <v>12.903225806451612</v>
      </c>
      <c r="N54" s="9">
        <f t="shared" si="19"/>
        <v>19.149987645169261</v>
      </c>
      <c r="O54" s="260">
        <v>116.5</v>
      </c>
      <c r="P54" s="1">
        <f>O54*0.004047</f>
        <v>0.47147550000000005</v>
      </c>
      <c r="Q54" s="1">
        <f>O54*0.4047</f>
        <v>47.147550000000003</v>
      </c>
      <c r="R54" s="1">
        <f>O54/(E54/1000)</f>
        <v>7.5161290322580649</v>
      </c>
      <c r="S54" s="1">
        <f>E54/1000/P54</f>
        <v>32.875515270676843</v>
      </c>
      <c r="T54" s="260">
        <v>0.34799999999999998</v>
      </c>
      <c r="U54" s="1">
        <f>1/T54</f>
        <v>2.8735632183908049</v>
      </c>
      <c r="V54" s="1">
        <f>T54*R54</f>
        <v>2.6156129032258066</v>
      </c>
      <c r="W54" s="260">
        <v>35.749160000000003</v>
      </c>
      <c r="X54" s="260">
        <v>-80.292460000000005</v>
      </c>
      <c r="Y54" s="260" t="s">
        <v>21</v>
      </c>
      <c r="Z54" s="260" t="s">
        <v>777</v>
      </c>
      <c r="AA54" s="11" t="s">
        <v>96</v>
      </c>
      <c r="AB54" s="15"/>
      <c r="AC54" s="15"/>
      <c r="AD54" s="15"/>
      <c r="AE54" s="260" t="s">
        <v>29</v>
      </c>
      <c r="AF54" s="260" t="s">
        <v>110</v>
      </c>
      <c r="AG54" s="15" t="s">
        <v>252</v>
      </c>
      <c r="AH54" s="260"/>
      <c r="AI54" s="260">
        <v>1</v>
      </c>
      <c r="AJ54" s="260"/>
      <c r="AK54" s="260"/>
      <c r="AL54" s="260">
        <v>1952.83</v>
      </c>
      <c r="AM54" s="98">
        <f t="shared" si="22"/>
        <v>6.6074496020911253</v>
      </c>
      <c r="AN54" s="100">
        <f>1/(AL54/$R54/1000)</f>
        <v>3.8488393932180811</v>
      </c>
      <c r="AO54" s="260">
        <v>2671.11</v>
      </c>
      <c r="AP54" s="260">
        <f t="shared" si="20"/>
        <v>4.8306605892125791</v>
      </c>
      <c r="AQ54" s="260">
        <v>1471.5</v>
      </c>
      <c r="AR54" s="260">
        <f t="shared" si="21"/>
        <v>8.768756919097255</v>
      </c>
      <c r="AS54" s="260"/>
      <c r="AT54" s="260"/>
      <c r="AU54" s="260"/>
      <c r="AV54" s="260"/>
      <c r="AW54" s="260"/>
      <c r="AX54" s="260"/>
    </row>
    <row r="55" spans="1:50" ht="16.2" x14ac:dyDescent="0.3">
      <c r="A55" s="11" t="s">
        <v>3</v>
      </c>
      <c r="B55" s="11" t="s">
        <v>388</v>
      </c>
      <c r="C55" s="11"/>
      <c r="D55" s="260">
        <v>2010</v>
      </c>
      <c r="E55" s="94">
        <v>17000</v>
      </c>
      <c r="F55" s="94">
        <v>20000</v>
      </c>
      <c r="G55" s="260"/>
      <c r="H55" s="260">
        <v>50000</v>
      </c>
      <c r="I55" s="260" t="s">
        <v>389</v>
      </c>
      <c r="J55" s="74">
        <v>175.63</v>
      </c>
      <c r="K55" s="9">
        <f t="shared" si="16"/>
        <v>0.71077460999999997</v>
      </c>
      <c r="L55" s="9">
        <f>J55*0.4047</f>
        <v>71.077461</v>
      </c>
      <c r="M55" s="1">
        <f t="shared" si="18"/>
        <v>10.331176470588234</v>
      </c>
      <c r="N55" s="1">
        <f t="shared" si="19"/>
        <v>23.917567905246361</v>
      </c>
      <c r="O55" s="24">
        <v>112.7</v>
      </c>
      <c r="P55" s="105">
        <f>O55*0.004047</f>
        <v>0.45609690000000003</v>
      </c>
      <c r="Q55" s="105">
        <f>O55*0.4047</f>
        <v>45.609690000000001</v>
      </c>
      <c r="R55" s="105">
        <f>O55/(E55/1000)</f>
        <v>6.6294117647058828</v>
      </c>
      <c r="S55" s="105">
        <f>E55/1000/P55</f>
        <v>37.272781288362182</v>
      </c>
      <c r="T55" s="1">
        <v>0.223</v>
      </c>
      <c r="U55" s="1">
        <f>1/T55</f>
        <v>4.4843049327354256</v>
      </c>
      <c r="V55" s="1">
        <f>T55*R55</f>
        <v>1.4783588235294118</v>
      </c>
      <c r="W55" s="260">
        <v>37.688209999999998</v>
      </c>
      <c r="X55" s="260">
        <v>-105.88741</v>
      </c>
      <c r="Y55" s="260" t="s">
        <v>21</v>
      </c>
      <c r="Z55" s="260">
        <v>20</v>
      </c>
      <c r="AA55" s="11"/>
      <c r="AB55" s="15">
        <v>0.19600000000000001</v>
      </c>
      <c r="AC55" s="260" t="s">
        <v>391</v>
      </c>
      <c r="AD55" s="260" t="s">
        <v>390</v>
      </c>
      <c r="AE55" s="260" t="s">
        <v>29</v>
      </c>
      <c r="AF55" s="260" t="s">
        <v>157</v>
      </c>
      <c r="AG55" s="15" t="s">
        <v>252</v>
      </c>
      <c r="AH55" s="260"/>
      <c r="AI55" s="260">
        <v>1</v>
      </c>
      <c r="AJ55" s="260"/>
      <c r="AK55" s="260"/>
      <c r="AL55" s="260">
        <v>2850.54</v>
      </c>
      <c r="AM55" s="98">
        <f t="shared" si="22"/>
        <v>3.6242874931024418</v>
      </c>
      <c r="AN55" s="100">
        <f>1/(AL55/$R55/1000)</f>
        <v>2.3256687381008097</v>
      </c>
      <c r="AO55" s="260">
        <v>2891.16</v>
      </c>
      <c r="AP55" s="260">
        <f t="shared" si="20"/>
        <v>3.5733672541776436</v>
      </c>
      <c r="AQ55" s="260">
        <v>1587.82</v>
      </c>
      <c r="AR55" s="260">
        <f t="shared" si="21"/>
        <v>6.5065161482965532</v>
      </c>
      <c r="AS55" s="260"/>
      <c r="AT55" s="260"/>
      <c r="AU55" s="260"/>
      <c r="AV55" s="260"/>
      <c r="AW55" s="260"/>
      <c r="AX55" s="260"/>
    </row>
    <row r="56" spans="1:50" x14ac:dyDescent="0.3">
      <c r="A56" s="260" t="s">
        <v>107</v>
      </c>
      <c r="B56" s="260" t="s">
        <v>654</v>
      </c>
      <c r="C56" s="260"/>
      <c r="D56" s="260">
        <v>2012</v>
      </c>
      <c r="E56" s="108">
        <v>17500</v>
      </c>
      <c r="F56" s="98">
        <v>20000</v>
      </c>
      <c r="G56" s="260"/>
      <c r="H56" s="260"/>
      <c r="I56" s="260" t="s">
        <v>655</v>
      </c>
      <c r="J56" s="260">
        <v>212</v>
      </c>
      <c r="K56" s="9">
        <f t="shared" si="16"/>
        <v>0.85796400000000006</v>
      </c>
      <c r="L56" s="9">
        <f>J56*0.404685642</f>
        <v>85.793356103999997</v>
      </c>
      <c r="M56" s="1">
        <f t="shared" si="18"/>
        <v>12.114285714285714</v>
      </c>
      <c r="N56" s="9">
        <f t="shared" si="19"/>
        <v>20.397126219748145</v>
      </c>
      <c r="O56" s="260"/>
      <c r="P56" s="260"/>
      <c r="Q56" s="260"/>
      <c r="R56" s="260"/>
      <c r="S56" s="260"/>
      <c r="T56" s="260"/>
      <c r="U56" s="260"/>
      <c r="V56" s="260"/>
      <c r="W56" s="260">
        <v>35.484279999999998</v>
      </c>
      <c r="X56" s="260">
        <v>-114.93731</v>
      </c>
      <c r="Y56" s="260" t="s">
        <v>21</v>
      </c>
      <c r="Z56" s="260"/>
      <c r="AA56" s="260"/>
      <c r="AB56" s="111"/>
      <c r="AC56" s="260"/>
      <c r="AD56" s="260"/>
      <c r="AE56" s="260" t="s">
        <v>29</v>
      </c>
      <c r="AF56" s="260" t="s">
        <v>611</v>
      </c>
      <c r="AG56" s="260" t="s">
        <v>380</v>
      </c>
      <c r="AH56" s="260"/>
      <c r="AI56" s="260">
        <v>1</v>
      </c>
      <c r="AJ56" s="260"/>
      <c r="AK56" s="260"/>
      <c r="AL56" s="260">
        <v>2693.61</v>
      </c>
      <c r="AM56" s="98">
        <f t="shared" si="22"/>
        <v>4.4974163721866613</v>
      </c>
      <c r="AO56" s="260">
        <v>2671.66</v>
      </c>
      <c r="AP56" s="260">
        <f t="shared" si="20"/>
        <v>4.5343665415081684</v>
      </c>
      <c r="AQ56" s="260">
        <v>1470.46</v>
      </c>
      <c r="AR56" s="260">
        <f t="shared" si="21"/>
        <v>8.2384326770437237</v>
      </c>
      <c r="AS56" s="260"/>
      <c r="AT56" s="260"/>
      <c r="AU56" s="260"/>
      <c r="AV56" s="260"/>
      <c r="AW56" s="260"/>
      <c r="AX56" s="260"/>
    </row>
    <row r="57" spans="1:50" x14ac:dyDescent="0.3">
      <c r="A57" s="260" t="s">
        <v>35</v>
      </c>
      <c r="B57" s="260" t="s">
        <v>637</v>
      </c>
      <c r="C57" s="260"/>
      <c r="D57" s="260">
        <v>2011</v>
      </c>
      <c r="E57" s="108">
        <v>18000</v>
      </c>
      <c r="F57" s="98">
        <v>21000</v>
      </c>
      <c r="G57" s="260"/>
      <c r="H57" s="260">
        <v>75168</v>
      </c>
      <c r="I57" s="260" t="s">
        <v>643</v>
      </c>
      <c r="J57" s="260">
        <v>145</v>
      </c>
      <c r="K57" s="9">
        <f t="shared" si="16"/>
        <v>0.58681500000000009</v>
      </c>
      <c r="L57" s="9">
        <f>J57*0.404685642</f>
        <v>58.679418089999999</v>
      </c>
      <c r="M57" s="1">
        <f t="shared" si="18"/>
        <v>8.0555555555555554</v>
      </c>
      <c r="N57" s="9">
        <f t="shared" si="19"/>
        <v>30.674062523964107</v>
      </c>
      <c r="O57" s="260"/>
      <c r="P57" s="260"/>
      <c r="Q57" s="260"/>
      <c r="R57" s="260"/>
      <c r="S57" s="260"/>
      <c r="T57" s="260"/>
      <c r="U57" s="260"/>
      <c r="V57" s="260"/>
      <c r="W57" s="260">
        <v>33.031500000000001</v>
      </c>
      <c r="X57" s="260">
        <v>-112.6606</v>
      </c>
      <c r="Y57" s="260" t="s">
        <v>21</v>
      </c>
      <c r="Z57" s="260"/>
      <c r="AA57" s="260"/>
      <c r="AB57" s="15"/>
      <c r="AC57" s="260"/>
      <c r="AD57" s="260" t="s">
        <v>593</v>
      </c>
      <c r="AE57" s="260" t="s">
        <v>29</v>
      </c>
      <c r="AF57" s="260" t="s">
        <v>645</v>
      </c>
      <c r="AG57" s="260" t="s">
        <v>380</v>
      </c>
      <c r="AH57" s="260"/>
      <c r="AI57" s="260">
        <v>1</v>
      </c>
      <c r="AJ57" s="260"/>
      <c r="AK57" s="260"/>
      <c r="AL57" s="260">
        <v>2591.2800000000002</v>
      </c>
      <c r="AM57" s="98">
        <f t="shared" si="22"/>
        <v>3.108716756026193</v>
      </c>
      <c r="AO57" s="260">
        <v>2671.97</v>
      </c>
      <c r="AP57" s="260">
        <f t="shared" si="20"/>
        <v>3.0148375751058416</v>
      </c>
      <c r="AQ57" s="260">
        <v>1469.66</v>
      </c>
      <c r="AR57" s="260">
        <f t="shared" si="21"/>
        <v>5.4812375349098126</v>
      </c>
      <c r="AS57" s="260"/>
      <c r="AT57" s="260"/>
      <c r="AU57" s="260"/>
      <c r="AV57" s="260"/>
      <c r="AW57" s="260"/>
      <c r="AX57" s="260"/>
    </row>
    <row r="58" spans="1:50" x14ac:dyDescent="0.3">
      <c r="A58" s="11" t="s">
        <v>35</v>
      </c>
      <c r="B58" s="11" t="s">
        <v>485</v>
      </c>
      <c r="C58" s="11"/>
      <c r="D58" s="260">
        <v>2011</v>
      </c>
      <c r="E58" s="94">
        <v>20000</v>
      </c>
      <c r="F58" s="18">
        <f>E58/$A$292</f>
        <v>23490.50846471421</v>
      </c>
      <c r="G58" s="260"/>
      <c r="H58" s="260">
        <v>66384</v>
      </c>
      <c r="I58" s="260" t="s">
        <v>403</v>
      </c>
      <c r="J58" s="74">
        <v>144</v>
      </c>
      <c r="K58" s="9">
        <f t="shared" si="16"/>
        <v>0.58276800000000006</v>
      </c>
      <c r="L58" s="9">
        <f t="shared" ref="L58:L72" si="23">J58*0.4047</f>
        <v>58.276800000000001</v>
      </c>
      <c r="M58" s="1">
        <f t="shared" si="18"/>
        <v>7.2</v>
      </c>
      <c r="N58" s="1">
        <f t="shared" si="19"/>
        <v>34.318974274496881</v>
      </c>
      <c r="O58" s="100">
        <v>118.4</v>
      </c>
      <c r="P58" s="105">
        <f>O58*0.004047</f>
        <v>0.47916480000000006</v>
      </c>
      <c r="Q58" s="105">
        <f>O58*0.4047</f>
        <v>47.91648</v>
      </c>
      <c r="R58" s="105">
        <f>O58/(E58/1000)</f>
        <v>5.92</v>
      </c>
      <c r="S58" s="105">
        <f>E58/1000/P58</f>
        <v>41.739293036550258</v>
      </c>
      <c r="T58" s="11">
        <v>0.28508600000000001</v>
      </c>
      <c r="U58" s="1">
        <f>1/T58</f>
        <v>3.5077134619027239</v>
      </c>
      <c r="V58" s="1">
        <f>T58*R58</f>
        <v>1.6877091200000001</v>
      </c>
      <c r="W58" s="11">
        <v>33.159303000000001</v>
      </c>
      <c r="X58" s="11">
        <v>-111.48230599999999</v>
      </c>
      <c r="Y58" s="260" t="s">
        <v>21</v>
      </c>
      <c r="Z58" s="260" t="s">
        <v>780</v>
      </c>
      <c r="AA58" s="11"/>
      <c r="AB58" s="15">
        <v>0.19</v>
      </c>
      <c r="AC58" s="260" t="s">
        <v>391</v>
      </c>
      <c r="AD58" s="260" t="s">
        <v>487</v>
      </c>
      <c r="AE58" s="260" t="s">
        <v>29</v>
      </c>
      <c r="AF58" s="260" t="s">
        <v>475</v>
      </c>
      <c r="AG58" s="15" t="s">
        <v>385</v>
      </c>
      <c r="AH58" s="260"/>
      <c r="AI58" s="260">
        <v>1</v>
      </c>
      <c r="AJ58" s="260"/>
      <c r="AK58" s="260"/>
      <c r="AL58" s="260">
        <v>2521.86</v>
      </c>
      <c r="AM58" s="98">
        <f t="shared" si="22"/>
        <v>2.855035568984797</v>
      </c>
      <c r="AN58" s="100">
        <f>1/(AL58/$R58/1000)</f>
        <v>2.3474736900541662</v>
      </c>
      <c r="AO58" s="260">
        <v>2672.06</v>
      </c>
      <c r="AP58" s="260">
        <f t="shared" si="20"/>
        <v>2.6945502720747294</v>
      </c>
      <c r="AQ58" s="260">
        <v>1469.39</v>
      </c>
      <c r="AR58" s="260">
        <f t="shared" si="21"/>
        <v>4.899992513900326</v>
      </c>
      <c r="AS58" s="260"/>
      <c r="AT58" s="260"/>
      <c r="AU58" s="260"/>
      <c r="AV58" s="260"/>
      <c r="AW58" s="260"/>
      <c r="AX58" s="260"/>
    </row>
    <row r="59" spans="1:50" x14ac:dyDescent="0.3">
      <c r="A59" s="11" t="s">
        <v>160</v>
      </c>
      <c r="B59" s="11" t="s">
        <v>522</v>
      </c>
      <c r="C59" s="11"/>
      <c r="D59" s="260">
        <v>2011</v>
      </c>
      <c r="E59" s="94">
        <v>20000</v>
      </c>
      <c r="F59" s="18">
        <f>E59/$A$292</f>
        <v>23490.50846471421</v>
      </c>
      <c r="G59" s="260"/>
      <c r="H59" s="260">
        <v>190000</v>
      </c>
      <c r="I59" s="260" t="s">
        <v>102</v>
      </c>
      <c r="J59" s="74">
        <v>210</v>
      </c>
      <c r="K59" s="9">
        <f t="shared" si="16"/>
        <v>0.84987000000000001</v>
      </c>
      <c r="L59" s="9">
        <f t="shared" si="23"/>
        <v>84.986999999999995</v>
      </c>
      <c r="M59" s="1">
        <f t="shared" si="18"/>
        <v>10.5</v>
      </c>
      <c r="N59" s="1">
        <f t="shared" si="19"/>
        <v>23.533010931083577</v>
      </c>
      <c r="O59" s="11">
        <v>169.3</v>
      </c>
      <c r="P59" s="25">
        <f>O59*0.004047</f>
        <v>0.68515710000000007</v>
      </c>
      <c r="Q59" s="25">
        <f>O59*0.4047</f>
        <v>68.515709999999999</v>
      </c>
      <c r="R59" s="105">
        <f>O59/(E59/1000)</f>
        <v>8.4649999999999999</v>
      </c>
      <c r="S59" s="25">
        <f>E59/1000/P59</f>
        <v>29.190385679430307</v>
      </c>
      <c r="T59" s="11">
        <v>0.33400000000000002</v>
      </c>
      <c r="U59" s="1">
        <f>1/T59</f>
        <v>2.9940119760479038</v>
      </c>
      <c r="V59" s="1">
        <f>T59*R59</f>
        <v>2.8273100000000002</v>
      </c>
      <c r="W59" s="11">
        <v>31.80245</v>
      </c>
      <c r="X59" s="11">
        <v>-106.67148</v>
      </c>
      <c r="Y59" s="260" t="s">
        <v>21</v>
      </c>
      <c r="Z59" s="260" t="s">
        <v>776</v>
      </c>
      <c r="AA59" s="11"/>
      <c r="AB59" s="15">
        <v>0.107</v>
      </c>
      <c r="AC59" s="11" t="s">
        <v>366</v>
      </c>
      <c r="AD59" s="260" t="s">
        <v>102</v>
      </c>
      <c r="AE59" s="260" t="s">
        <v>29</v>
      </c>
      <c r="AF59" s="260" t="s">
        <v>475</v>
      </c>
      <c r="AG59" s="15" t="s">
        <v>385</v>
      </c>
      <c r="AH59" s="260"/>
      <c r="AI59" s="260">
        <v>1</v>
      </c>
      <c r="AJ59" s="260"/>
      <c r="AK59" s="260"/>
      <c r="AL59" s="260">
        <v>2651.02</v>
      </c>
      <c r="AM59" s="98">
        <f t="shared" si="22"/>
        <v>3.9607396398367425</v>
      </c>
      <c r="AN59" s="100">
        <f>1/(AL59/$R59/1000)</f>
        <v>3.1931105763064784</v>
      </c>
      <c r="AO59" s="260">
        <v>2672.06</v>
      </c>
      <c r="AP59" s="260">
        <f t="shared" si="20"/>
        <v>3.9295524801089798</v>
      </c>
      <c r="AQ59" s="260">
        <v>1469.39</v>
      </c>
      <c r="AR59" s="260">
        <f t="shared" si="21"/>
        <v>7.1458224161046422</v>
      </c>
      <c r="AS59" s="260"/>
      <c r="AT59" s="260"/>
      <c r="AU59" s="260"/>
      <c r="AV59" s="260"/>
      <c r="AW59" s="260"/>
      <c r="AX59" s="260"/>
    </row>
    <row r="60" spans="1:50" x14ac:dyDescent="0.3">
      <c r="A60" s="260" t="s">
        <v>35</v>
      </c>
      <c r="B60" s="260" t="s">
        <v>634</v>
      </c>
      <c r="C60" s="260"/>
      <c r="D60" s="260">
        <v>2012</v>
      </c>
      <c r="E60" s="98">
        <v>20000</v>
      </c>
      <c r="F60" s="18">
        <f>E60/$A$292</f>
        <v>23490.50846471421</v>
      </c>
      <c r="G60" s="260"/>
      <c r="H60" s="260"/>
      <c r="I60" s="260" t="s">
        <v>8</v>
      </c>
      <c r="J60" s="260">
        <v>160</v>
      </c>
      <c r="K60" s="9">
        <f t="shared" si="16"/>
        <v>0.6475200000000001</v>
      </c>
      <c r="L60" s="9">
        <f t="shared" si="23"/>
        <v>64.751999999999995</v>
      </c>
      <c r="M60" s="1">
        <f t="shared" si="18"/>
        <v>8</v>
      </c>
      <c r="N60" s="9">
        <f t="shared" si="19"/>
        <v>30.88707684704719</v>
      </c>
      <c r="O60" s="260">
        <v>140</v>
      </c>
      <c r="P60" s="1">
        <f>O60*0.004047</f>
        <v>0.56658000000000008</v>
      </c>
      <c r="Q60" s="1">
        <f>O60*0.4047</f>
        <v>56.658000000000001</v>
      </c>
      <c r="R60" s="105">
        <f>O60/(E60/1000)</f>
        <v>7</v>
      </c>
      <c r="S60" s="1">
        <f>E60/1000/P60</f>
        <v>35.299516396625364</v>
      </c>
      <c r="T60" s="260"/>
      <c r="U60" s="260"/>
      <c r="V60" s="260"/>
      <c r="W60" s="260">
        <v>34.72484</v>
      </c>
      <c r="X60" s="260">
        <v>-112.43303</v>
      </c>
      <c r="Y60" s="260" t="s">
        <v>21</v>
      </c>
      <c r="Z60" s="260"/>
      <c r="AA60" s="260"/>
      <c r="AB60" s="15">
        <v>0.14000000000000001</v>
      </c>
      <c r="AC60" s="260" t="s">
        <v>399</v>
      </c>
      <c r="AD60" s="260" t="s">
        <v>640</v>
      </c>
      <c r="AE60" s="260" t="s">
        <v>109</v>
      </c>
      <c r="AF60" s="260" t="s">
        <v>641</v>
      </c>
      <c r="AG60" s="260" t="s">
        <v>647</v>
      </c>
      <c r="AH60" s="260"/>
      <c r="AI60" s="260">
        <v>1</v>
      </c>
      <c r="AJ60" s="260"/>
      <c r="AK60" s="260"/>
      <c r="AL60" s="260">
        <v>2619.0300000000002</v>
      </c>
      <c r="AM60" s="98">
        <f t="shared" si="22"/>
        <v>3.0545660034440227</v>
      </c>
      <c r="AN60" s="100">
        <f>1/(AL60/$R60/1000)</f>
        <v>2.6727452530135198</v>
      </c>
      <c r="AO60" s="260">
        <v>2672.06</v>
      </c>
      <c r="AP60" s="260">
        <f t="shared" si="20"/>
        <v>2.9939447467496985</v>
      </c>
      <c r="AQ60" s="260">
        <v>1469.39</v>
      </c>
      <c r="AR60" s="260">
        <f t="shared" si="21"/>
        <v>5.4444361265559174</v>
      </c>
      <c r="AS60" s="260"/>
      <c r="AT60" s="260"/>
      <c r="AU60" s="260"/>
      <c r="AV60" s="260"/>
      <c r="AW60" s="260"/>
      <c r="AX60" s="260"/>
    </row>
    <row r="61" spans="1:50" x14ac:dyDescent="0.3">
      <c r="A61" s="260" t="s">
        <v>35</v>
      </c>
      <c r="B61" s="260" t="s">
        <v>667</v>
      </c>
      <c r="C61" s="260"/>
      <c r="D61" s="260">
        <v>2012</v>
      </c>
      <c r="E61" s="18">
        <f>F61*$A$292</f>
        <v>21285.19273012182</v>
      </c>
      <c r="F61" s="98">
        <v>25000</v>
      </c>
      <c r="G61" s="260"/>
      <c r="H61" s="260"/>
      <c r="I61" s="260" t="s">
        <v>8</v>
      </c>
      <c r="J61" s="260">
        <v>199</v>
      </c>
      <c r="K61" s="9">
        <f t="shared" si="16"/>
        <v>0.8053530000000001</v>
      </c>
      <c r="L61" s="9">
        <f t="shared" si="23"/>
        <v>80.535300000000007</v>
      </c>
      <c r="M61" s="1">
        <f t="shared" si="18"/>
        <v>9.349222368956255</v>
      </c>
      <c r="N61" s="9">
        <f t="shared" si="19"/>
        <v>26.429643560180217</v>
      </c>
      <c r="O61" s="260"/>
      <c r="P61" s="260"/>
      <c r="Q61" s="260"/>
      <c r="R61" s="260"/>
      <c r="S61" s="260"/>
      <c r="T61" s="260"/>
      <c r="U61" s="260"/>
      <c r="V61" s="260"/>
      <c r="W61" s="260">
        <v>32.369999999999997</v>
      </c>
      <c r="X61" s="260">
        <v>-111.24250000000001</v>
      </c>
      <c r="Y61" s="260" t="s">
        <v>21</v>
      </c>
      <c r="Z61" s="260"/>
      <c r="AA61" s="260"/>
      <c r="AB61" s="111"/>
      <c r="AC61" s="260"/>
      <c r="AD61" s="260"/>
      <c r="AE61" s="260" t="s">
        <v>109</v>
      </c>
      <c r="AF61" s="260" t="s">
        <v>475</v>
      </c>
      <c r="AG61" s="260" t="s">
        <v>252</v>
      </c>
      <c r="AH61" s="260"/>
      <c r="AI61" s="260">
        <v>1</v>
      </c>
      <c r="AJ61" s="260"/>
      <c r="AK61" s="260"/>
      <c r="AL61" s="260">
        <v>2623.19</v>
      </c>
      <c r="AM61" s="98">
        <f t="shared" si="22"/>
        <v>3.5640660298934717</v>
      </c>
      <c r="AO61" s="260">
        <v>2672.06</v>
      </c>
      <c r="AP61" s="260">
        <f t="shared" si="20"/>
        <v>3.4988818997164191</v>
      </c>
      <c r="AQ61" s="260">
        <v>1469.39</v>
      </c>
      <c r="AR61" s="260">
        <f t="shared" si="21"/>
        <v>6.3626555025937659</v>
      </c>
      <c r="AS61" s="260"/>
      <c r="AT61" s="260"/>
      <c r="AU61" s="260"/>
      <c r="AV61" s="260"/>
      <c r="AW61" s="260"/>
      <c r="AX61" s="260"/>
    </row>
    <row r="62" spans="1:50" x14ac:dyDescent="0.3">
      <c r="A62" s="260" t="s">
        <v>26</v>
      </c>
      <c r="B62" s="260" t="s">
        <v>621</v>
      </c>
      <c r="C62" s="260"/>
      <c r="D62" s="260">
        <v>2012</v>
      </c>
      <c r="E62" s="106">
        <v>25000</v>
      </c>
      <c r="F62" s="18">
        <f>E62/$A$292</f>
        <v>29363.135580892762</v>
      </c>
      <c r="G62" s="260">
        <v>150</v>
      </c>
      <c r="H62" s="260"/>
      <c r="I62" s="260" t="s">
        <v>389</v>
      </c>
      <c r="J62" s="260">
        <v>154</v>
      </c>
      <c r="K62" s="9">
        <f t="shared" si="16"/>
        <v>0.62323800000000007</v>
      </c>
      <c r="L62" s="9">
        <f t="shared" si="23"/>
        <v>62.323799999999999</v>
      </c>
      <c r="M62" s="1">
        <f t="shared" si="18"/>
        <v>6.16</v>
      </c>
      <c r="N62" s="9">
        <f t="shared" si="19"/>
        <v>40.113086814347</v>
      </c>
      <c r="O62" s="260"/>
      <c r="P62" s="260"/>
      <c r="Q62" s="260"/>
      <c r="R62" s="260"/>
      <c r="S62" s="260"/>
      <c r="T62" s="260"/>
      <c r="U62" s="260"/>
      <c r="V62" s="260"/>
      <c r="W62" s="260">
        <v>37.736260000000001</v>
      </c>
      <c r="X62" s="260">
        <v>-120.99099</v>
      </c>
      <c r="Y62" s="260" t="s">
        <v>21</v>
      </c>
      <c r="Z62" s="260" t="s">
        <v>426</v>
      </c>
      <c r="AA62" s="260" t="s">
        <v>94</v>
      </c>
      <c r="AB62" s="112">
        <v>0.185</v>
      </c>
      <c r="AC62" s="260" t="s">
        <v>391</v>
      </c>
      <c r="AD62" s="260" t="s">
        <v>625</v>
      </c>
      <c r="AE62" s="260" t="s">
        <v>109</v>
      </c>
      <c r="AF62" s="260" t="s">
        <v>475</v>
      </c>
      <c r="AG62" s="260" t="s">
        <v>252</v>
      </c>
      <c r="AH62" s="260"/>
      <c r="AI62" s="260">
        <v>1</v>
      </c>
      <c r="AJ62" s="260"/>
      <c r="AK62" s="260"/>
      <c r="AL62" s="260">
        <v>2393.31</v>
      </c>
      <c r="AM62" s="98">
        <f t="shared" si="22"/>
        <v>2.5738412491486686</v>
      </c>
      <c r="AO62" s="260">
        <v>2891.1</v>
      </c>
      <c r="AP62" s="260">
        <f t="shared" si="20"/>
        <v>2.130676904984262</v>
      </c>
      <c r="AQ62" s="260">
        <v>1587.88</v>
      </c>
      <c r="AR62" s="260">
        <f t="shared" si="21"/>
        <v>3.8793863516134715</v>
      </c>
      <c r="AS62" s="260"/>
      <c r="AT62" s="260"/>
      <c r="AU62" s="260"/>
      <c r="AV62" s="260"/>
      <c r="AW62" s="260"/>
      <c r="AX62" s="260"/>
    </row>
    <row r="63" spans="1:50" x14ac:dyDescent="0.3">
      <c r="A63" s="69" t="s">
        <v>148</v>
      </c>
      <c r="B63" s="11" t="s">
        <v>149</v>
      </c>
      <c r="C63" s="11"/>
      <c r="D63" s="260">
        <v>2009</v>
      </c>
      <c r="E63" s="42">
        <v>25000</v>
      </c>
      <c r="F63" s="18">
        <v>28000</v>
      </c>
      <c r="G63" s="260"/>
      <c r="H63" s="260">
        <v>90000</v>
      </c>
      <c r="I63" s="260" t="s">
        <v>151</v>
      </c>
      <c r="J63" s="260">
        <v>235</v>
      </c>
      <c r="K63" s="9">
        <f t="shared" si="16"/>
        <v>0.95104500000000003</v>
      </c>
      <c r="L63" s="9">
        <f t="shared" si="23"/>
        <v>95.104500000000002</v>
      </c>
      <c r="M63" s="1">
        <f t="shared" si="18"/>
        <v>9.4</v>
      </c>
      <c r="N63" s="9">
        <f t="shared" si="19"/>
        <v>26.286873912380592</v>
      </c>
      <c r="O63" s="260">
        <v>180</v>
      </c>
      <c r="P63" s="1">
        <f>O63*0.004047</f>
        <v>0.72846</v>
      </c>
      <c r="Q63" s="1">
        <f>O63*0.4047</f>
        <v>72.846000000000004</v>
      </c>
      <c r="R63" s="1">
        <f>O63/(E63/1000)</f>
        <v>7.2</v>
      </c>
      <c r="S63" s="1">
        <f>E63/1000/P63</f>
        <v>34.318974274496881</v>
      </c>
      <c r="T63" s="1">
        <v>0.25222</v>
      </c>
      <c r="U63" s="1">
        <f>1/T63</f>
        <v>3.9647926413448578</v>
      </c>
      <c r="V63" s="1">
        <f>T63*R63</f>
        <v>1.815984</v>
      </c>
      <c r="W63" s="71">
        <v>27.316666666666698</v>
      </c>
      <c r="X63" s="71">
        <v>-81.8</v>
      </c>
      <c r="Y63" s="260" t="s">
        <v>21</v>
      </c>
      <c r="Z63" s="260" t="s">
        <v>776</v>
      </c>
      <c r="AA63" s="11" t="s">
        <v>96</v>
      </c>
      <c r="AB63" s="15">
        <v>0.19</v>
      </c>
      <c r="AC63" s="15" t="s">
        <v>391</v>
      </c>
      <c r="AD63" s="15" t="s">
        <v>150</v>
      </c>
      <c r="AE63" s="260" t="s">
        <v>29</v>
      </c>
      <c r="AF63" s="260" t="s">
        <v>110</v>
      </c>
      <c r="AG63" s="15" t="s">
        <v>252</v>
      </c>
      <c r="AH63" s="260"/>
      <c r="AI63" s="260">
        <v>1</v>
      </c>
      <c r="AJ63" s="260"/>
      <c r="AK63" s="260"/>
      <c r="AL63" s="260">
        <v>2108.98</v>
      </c>
      <c r="AM63" s="98">
        <f t="shared" si="22"/>
        <v>4.4571309353336686</v>
      </c>
      <c r="AN63" s="100">
        <f>1/(AL63/$R63/1000)</f>
        <v>3.4139726313194054</v>
      </c>
      <c r="AO63" s="260">
        <v>2671.3</v>
      </c>
      <c r="AP63" s="260">
        <f t="shared" si="20"/>
        <v>3.5188859356867441</v>
      </c>
      <c r="AQ63" s="260">
        <v>1471.19</v>
      </c>
      <c r="AR63" s="260">
        <f t="shared" si="21"/>
        <v>6.3893854634683489</v>
      </c>
      <c r="AS63" s="260"/>
      <c r="AT63" s="260"/>
      <c r="AU63" s="260"/>
      <c r="AV63" s="260"/>
      <c r="AW63" s="260"/>
      <c r="AX63" s="260"/>
    </row>
    <row r="64" spans="1:50" x14ac:dyDescent="0.3">
      <c r="A64" s="260" t="s">
        <v>35</v>
      </c>
      <c r="B64" s="260" t="s">
        <v>668</v>
      </c>
      <c r="C64" s="260"/>
      <c r="D64" s="260">
        <v>2012</v>
      </c>
      <c r="E64" s="98">
        <v>26000</v>
      </c>
      <c r="F64" s="18">
        <f>E64/$A$292</f>
        <v>30537.661004128473</v>
      </c>
      <c r="G64" s="260"/>
      <c r="H64" s="260"/>
      <c r="I64" s="260" t="s">
        <v>659</v>
      </c>
      <c r="J64" s="260">
        <v>300</v>
      </c>
      <c r="K64" s="9">
        <f t="shared" si="16"/>
        <v>1.2141000000000002</v>
      </c>
      <c r="L64" s="9">
        <f t="shared" si="23"/>
        <v>121.41</v>
      </c>
      <c r="M64" s="1">
        <f t="shared" si="18"/>
        <v>11.538461538461538</v>
      </c>
      <c r="N64" s="9">
        <f t="shared" si="19"/>
        <v>21.415039947286051</v>
      </c>
      <c r="O64" s="260"/>
      <c r="P64" s="260"/>
      <c r="Q64" s="260"/>
      <c r="R64" s="1"/>
      <c r="S64" s="260"/>
      <c r="T64" s="260"/>
      <c r="U64" s="260"/>
      <c r="V64" s="260"/>
      <c r="W64" s="260">
        <v>32.371899999999997</v>
      </c>
      <c r="X64" s="260">
        <v>-111.2818</v>
      </c>
      <c r="Y64" s="260" t="s">
        <v>21</v>
      </c>
      <c r="Z64" s="260"/>
      <c r="AA64" s="260"/>
      <c r="AB64" s="15">
        <v>0.107</v>
      </c>
      <c r="AC64" s="260" t="s">
        <v>366</v>
      </c>
      <c r="AD64" s="260" t="s">
        <v>146</v>
      </c>
      <c r="AE64" s="260" t="s">
        <v>109</v>
      </c>
      <c r="AF64" s="260" t="s">
        <v>669</v>
      </c>
      <c r="AG64" s="260" t="s">
        <v>385</v>
      </c>
      <c r="AH64" s="260"/>
      <c r="AI64" s="260">
        <v>1</v>
      </c>
      <c r="AJ64" s="260"/>
      <c r="AK64" s="260"/>
      <c r="AL64" s="260">
        <v>2623.19</v>
      </c>
      <c r="AM64" s="98">
        <f t="shared" si="22"/>
        <v>4.3986373607941243</v>
      </c>
      <c r="AO64" s="260">
        <v>2672.06</v>
      </c>
      <c r="AP64" s="260">
        <f t="shared" si="20"/>
        <v>4.3181895385812963</v>
      </c>
      <c r="AQ64" s="260">
        <v>1469.39</v>
      </c>
      <c r="AR64" s="260">
        <f t="shared" si="21"/>
        <v>7.8525521056094965</v>
      </c>
      <c r="AS64" s="260"/>
      <c r="AT64" s="260"/>
      <c r="AU64" s="260"/>
      <c r="AV64" s="260"/>
      <c r="AW64" s="260"/>
      <c r="AX64" s="260"/>
    </row>
    <row r="65" spans="1:50" x14ac:dyDescent="0.3">
      <c r="A65" s="11" t="s">
        <v>3</v>
      </c>
      <c r="B65" s="11" t="s">
        <v>392</v>
      </c>
      <c r="C65" s="11"/>
      <c r="D65" s="260">
        <v>2012</v>
      </c>
      <c r="E65" s="109">
        <v>30000</v>
      </c>
      <c r="F65" s="94">
        <v>35200</v>
      </c>
      <c r="G65" s="260"/>
      <c r="H65" s="260">
        <v>110000</v>
      </c>
      <c r="I65" s="260" t="s">
        <v>403</v>
      </c>
      <c r="J65" s="74">
        <v>220</v>
      </c>
      <c r="K65" s="9">
        <f t="shared" si="16"/>
        <v>0.89034000000000002</v>
      </c>
      <c r="L65" s="9">
        <f t="shared" si="23"/>
        <v>89.034000000000006</v>
      </c>
      <c r="M65" s="1">
        <f t="shared" si="18"/>
        <v>7.333333333333333</v>
      </c>
      <c r="N65" s="1">
        <f t="shared" si="19"/>
        <v>33.694992924051483</v>
      </c>
      <c r="O65" s="24" t="s">
        <v>598</v>
      </c>
      <c r="P65" s="1"/>
      <c r="Q65" s="1"/>
      <c r="R65" s="1"/>
      <c r="S65" s="1"/>
      <c r="T65" s="1"/>
      <c r="U65" s="1"/>
      <c r="V65" s="1"/>
      <c r="W65" s="260"/>
      <c r="X65" s="260"/>
      <c r="Y65" s="260" t="s">
        <v>21</v>
      </c>
      <c r="Z65" s="260"/>
      <c r="AA65" s="11" t="s">
        <v>94</v>
      </c>
      <c r="AB65" s="15">
        <v>0.19600000000000001</v>
      </c>
      <c r="AC65" s="260" t="s">
        <v>391</v>
      </c>
      <c r="AD65" s="260" t="s">
        <v>393</v>
      </c>
      <c r="AE65" s="260" t="s">
        <v>29</v>
      </c>
      <c r="AF65" s="260" t="s">
        <v>394</v>
      </c>
      <c r="AG65" s="15" t="s">
        <v>7</v>
      </c>
      <c r="AH65" s="260"/>
      <c r="AI65" s="260">
        <v>1</v>
      </c>
      <c r="AJ65" s="260"/>
      <c r="AK65" s="260"/>
      <c r="AL65" s="260">
        <v>2637.97</v>
      </c>
      <c r="AM65" s="98">
        <f t="shared" si="22"/>
        <v>2.7799153642131387</v>
      </c>
      <c r="AO65" s="260">
        <v>2672.05</v>
      </c>
      <c r="AP65" s="260">
        <f t="shared" si="20"/>
        <v>2.7444596221378093</v>
      </c>
      <c r="AQ65" s="260">
        <v>1469.43</v>
      </c>
      <c r="AR65" s="260">
        <f t="shared" si="21"/>
        <v>4.9905972610694844</v>
      </c>
      <c r="AS65" s="260"/>
      <c r="AT65" s="260"/>
      <c r="AU65" s="260"/>
      <c r="AV65" s="260"/>
      <c r="AW65" s="260"/>
      <c r="AX65" s="260"/>
    </row>
    <row r="66" spans="1:50" x14ac:dyDescent="0.3">
      <c r="A66" s="260" t="s">
        <v>26</v>
      </c>
      <c r="B66" s="260" t="s">
        <v>721</v>
      </c>
      <c r="C66" s="260"/>
      <c r="D66" s="260">
        <v>2014</v>
      </c>
      <c r="E66" s="18">
        <f>F66*$A$292</f>
        <v>93654.848012536007</v>
      </c>
      <c r="F66" s="260">
        <v>110000</v>
      </c>
      <c r="G66" s="260"/>
      <c r="H66" s="260"/>
      <c r="I66" s="260" t="s">
        <v>725</v>
      </c>
      <c r="J66" s="260">
        <v>1014</v>
      </c>
      <c r="K66" s="9">
        <f t="shared" si="16"/>
        <v>4.1036580000000002</v>
      </c>
      <c r="L66" s="9">
        <f t="shared" si="23"/>
        <v>410.36579999999998</v>
      </c>
      <c r="M66" s="1">
        <f t="shared" si="18"/>
        <v>10.826988901463732</v>
      </c>
      <c r="N66" s="9">
        <f t="shared" si="19"/>
        <v>22.822283926325245</v>
      </c>
      <c r="O66" s="260"/>
      <c r="P66" s="260"/>
      <c r="Q66" s="260"/>
      <c r="R66" s="1"/>
      <c r="S66" s="260"/>
      <c r="T66" s="260"/>
      <c r="U66" s="260"/>
      <c r="V66" s="260"/>
      <c r="W66" s="260">
        <v>37.119799999999998</v>
      </c>
      <c r="X66" s="260">
        <v>-121.0553</v>
      </c>
      <c r="Y66" s="260" t="s">
        <v>21</v>
      </c>
      <c r="Z66" s="260"/>
      <c r="AA66" s="260"/>
      <c r="AB66" s="15">
        <v>0.20100000000000001</v>
      </c>
      <c r="AC66" s="260" t="s">
        <v>391</v>
      </c>
      <c r="AD66" s="260" t="s">
        <v>726</v>
      </c>
      <c r="AE66" s="260" t="s">
        <v>24</v>
      </c>
      <c r="AF66" s="260" t="s">
        <v>694</v>
      </c>
      <c r="AG66" s="260" t="s">
        <v>709</v>
      </c>
      <c r="AH66" s="260"/>
      <c r="AI66" s="260">
        <v>1</v>
      </c>
      <c r="AJ66" s="260"/>
      <c r="AK66" s="260"/>
      <c r="AL66" s="260">
        <v>2227.23</v>
      </c>
      <c r="AM66" s="98">
        <f t="shared" si="22"/>
        <v>4.8611903132876852</v>
      </c>
      <c r="AO66" s="260">
        <v>2672.06</v>
      </c>
      <c r="AP66" s="260">
        <f t="shared" si="20"/>
        <v>4.0519258180818287</v>
      </c>
      <c r="AQ66" s="260">
        <v>1469.39</v>
      </c>
      <c r="AR66" s="260">
        <f t="shared" si="21"/>
        <v>7.3683561896186376</v>
      </c>
      <c r="AS66" s="260"/>
      <c r="AT66" s="260"/>
      <c r="AU66" s="260"/>
      <c r="AV66" s="260"/>
      <c r="AW66" s="260"/>
      <c r="AX66" s="260"/>
    </row>
    <row r="67" spans="1:50" x14ac:dyDescent="0.3">
      <c r="A67" s="260" t="s">
        <v>26</v>
      </c>
      <c r="B67" s="260" t="s">
        <v>729</v>
      </c>
      <c r="C67" s="260"/>
      <c r="D67" s="260">
        <v>2014</v>
      </c>
      <c r="E67" s="18">
        <f>F67*$A$292</f>
        <v>110683.00219663348</v>
      </c>
      <c r="F67" s="260">
        <v>130000</v>
      </c>
      <c r="G67" s="260"/>
      <c r="H67" s="260"/>
      <c r="I67" s="260" t="s">
        <v>730</v>
      </c>
      <c r="J67" s="260">
        <v>946</v>
      </c>
      <c r="K67" s="9">
        <f t="shared" ref="K67:K98" si="24">J67*0.004047</f>
        <v>3.828462</v>
      </c>
      <c r="L67" s="9">
        <f t="shared" si="23"/>
        <v>382.84620000000001</v>
      </c>
      <c r="M67" s="1">
        <f t="shared" ref="M67:M98" si="25">J67/(E67/1000)</f>
        <v>8.5469311567767843</v>
      </c>
      <c r="N67" s="9">
        <f t="shared" ref="N67:N98" si="26">E67/1000/K67</f>
        <v>28.91056570409566</v>
      </c>
      <c r="O67" s="260"/>
      <c r="P67" s="260"/>
      <c r="Q67" s="260"/>
      <c r="R67" s="1"/>
      <c r="S67" s="260"/>
      <c r="T67" s="260"/>
      <c r="U67" s="260"/>
      <c r="V67" s="260"/>
      <c r="W67" s="260">
        <v>32.664499999999997</v>
      </c>
      <c r="X67" s="260">
        <v>-115.7118</v>
      </c>
      <c r="Y67" s="260" t="s">
        <v>21</v>
      </c>
      <c r="Z67" s="260"/>
      <c r="AA67" s="260"/>
      <c r="AB67" s="15">
        <v>0.107</v>
      </c>
      <c r="AC67" s="260" t="s">
        <v>366</v>
      </c>
      <c r="AD67" s="260" t="s">
        <v>102</v>
      </c>
      <c r="AE67" s="260" t="s">
        <v>24</v>
      </c>
      <c r="AF67" s="260" t="s">
        <v>475</v>
      </c>
      <c r="AG67" s="260" t="s">
        <v>252</v>
      </c>
      <c r="AH67" s="260"/>
      <c r="AI67" s="260">
        <v>1</v>
      </c>
      <c r="AJ67" s="260"/>
      <c r="AK67" s="260"/>
      <c r="AL67" s="260">
        <v>2585.38</v>
      </c>
      <c r="AM67" s="98">
        <f t="shared" si="22"/>
        <v>3.3058703775757468</v>
      </c>
      <c r="AO67" s="260">
        <v>2672.06</v>
      </c>
      <c r="AP67" s="260">
        <f t="shared" ref="AP67:AP76" si="27">1/(AO67/$M67/1000)</f>
        <v>3.198629954707898</v>
      </c>
      <c r="AQ67" s="260">
        <v>1469.39</v>
      </c>
      <c r="AR67" s="260">
        <f t="shared" ref="AR67:AR98" si="28">1/(AQ67/$M67/1000)</f>
        <v>5.8166525951427355</v>
      </c>
      <c r="AS67" s="260"/>
      <c r="AT67" s="260"/>
      <c r="AU67" s="260"/>
      <c r="AV67" s="260"/>
      <c r="AW67" s="260"/>
      <c r="AX67" s="260"/>
    </row>
    <row r="68" spans="1:50" x14ac:dyDescent="0.3">
      <c r="A68" s="69" t="s">
        <v>107</v>
      </c>
      <c r="B68" s="11" t="s">
        <v>108</v>
      </c>
      <c r="C68" s="11"/>
      <c r="D68" s="260">
        <v>2015</v>
      </c>
      <c r="E68" s="94">
        <v>150000</v>
      </c>
      <c r="F68" s="18">
        <f>E68/$A$292</f>
        <v>176178.81348535657</v>
      </c>
      <c r="G68" s="260"/>
      <c r="H68" s="260"/>
      <c r="I68" s="260" t="s">
        <v>102</v>
      </c>
      <c r="J68" s="260">
        <v>1110</v>
      </c>
      <c r="K68" s="9">
        <f t="shared" si="24"/>
        <v>4.4921700000000007</v>
      </c>
      <c r="L68" s="9">
        <f t="shared" si="23"/>
        <v>449.21699999999998</v>
      </c>
      <c r="M68" s="1">
        <f t="shared" si="25"/>
        <v>7.4</v>
      </c>
      <c r="N68" s="9">
        <f t="shared" si="26"/>
        <v>33.391434429240206</v>
      </c>
      <c r="O68" s="260"/>
      <c r="P68" s="1"/>
      <c r="Q68" s="1"/>
      <c r="R68" s="1"/>
      <c r="S68" s="1"/>
      <c r="T68" s="1"/>
      <c r="U68" s="1"/>
      <c r="V68" s="1"/>
      <c r="W68" s="24"/>
      <c r="X68" s="24"/>
      <c r="Y68" s="260" t="s">
        <v>21</v>
      </c>
      <c r="Z68" s="260"/>
      <c r="AA68" s="24"/>
      <c r="AB68" s="15">
        <v>0.1</v>
      </c>
      <c r="AC68" s="15"/>
      <c r="AD68" s="15" t="s">
        <v>102</v>
      </c>
      <c r="AE68" s="260" t="s">
        <v>109</v>
      </c>
      <c r="AF68" s="260" t="s">
        <v>110</v>
      </c>
      <c r="AG68" s="15" t="s">
        <v>252</v>
      </c>
      <c r="AH68" s="260"/>
      <c r="AI68" s="260">
        <v>1</v>
      </c>
      <c r="AJ68" s="260"/>
      <c r="AK68" s="260"/>
      <c r="AL68" s="260">
        <v>2583.9499999999998</v>
      </c>
      <c r="AM68" s="98">
        <f t="shared" si="22"/>
        <v>2.8638325044989261</v>
      </c>
      <c r="AO68" s="260">
        <v>2672.06</v>
      </c>
      <c r="AP68" s="260">
        <f t="shared" si="27"/>
        <v>2.7693988907434717</v>
      </c>
      <c r="AQ68" s="260">
        <v>1469.39</v>
      </c>
      <c r="AR68" s="260">
        <f t="shared" si="28"/>
        <v>5.0361034170642238</v>
      </c>
      <c r="AS68" s="260"/>
      <c r="AT68" s="260"/>
      <c r="AU68" s="260"/>
      <c r="AV68" s="260"/>
      <c r="AW68" s="260"/>
      <c r="AX68" s="260"/>
    </row>
    <row r="69" spans="1:50" x14ac:dyDescent="0.3">
      <c r="A69" s="69" t="s">
        <v>26</v>
      </c>
      <c r="B69" s="11" t="s">
        <v>117</v>
      </c>
      <c r="C69" s="11"/>
      <c r="D69" s="260">
        <v>2013</v>
      </c>
      <c r="E69" s="42">
        <v>230000</v>
      </c>
      <c r="F69" s="94">
        <v>284000</v>
      </c>
      <c r="G69" s="260">
        <v>713</v>
      </c>
      <c r="H69" s="260">
        <v>3800000</v>
      </c>
      <c r="I69" s="260" t="s">
        <v>362</v>
      </c>
      <c r="J69" s="260">
        <v>2100</v>
      </c>
      <c r="K69" s="9">
        <f t="shared" si="24"/>
        <v>8.4987000000000013</v>
      </c>
      <c r="L69" s="9">
        <f t="shared" si="23"/>
        <v>849.87</v>
      </c>
      <c r="M69" s="1">
        <f t="shared" si="25"/>
        <v>9.1304347826086953</v>
      </c>
      <c r="N69" s="9">
        <f t="shared" si="26"/>
        <v>27.062962570746109</v>
      </c>
      <c r="O69" s="260">
        <v>1955</v>
      </c>
      <c r="P69" s="1">
        <f>O69*0.004047</f>
        <v>7.9118850000000007</v>
      </c>
      <c r="Q69" s="1">
        <f>O69*0.4047</f>
        <v>791.18849999999998</v>
      </c>
      <c r="R69" s="1">
        <f>O69/(E69/1000)</f>
        <v>8.5</v>
      </c>
      <c r="S69" s="1">
        <f>E69/1000/P69</f>
        <v>29.070189973691477</v>
      </c>
      <c r="T69" s="1"/>
      <c r="U69" s="1"/>
      <c r="V69" s="1"/>
      <c r="W69" s="53">
        <v>34.7879</v>
      </c>
      <c r="X69" s="54">
        <v>-118.4203</v>
      </c>
      <c r="Y69" s="260" t="s">
        <v>21</v>
      </c>
      <c r="Z69" s="260"/>
      <c r="AA69" s="11" t="s">
        <v>96</v>
      </c>
      <c r="AB69" s="15">
        <v>0.1076</v>
      </c>
      <c r="AC69" s="15" t="s">
        <v>366</v>
      </c>
      <c r="AD69" s="15" t="s">
        <v>373</v>
      </c>
      <c r="AE69" s="260" t="s">
        <v>24</v>
      </c>
      <c r="AF69" s="260" t="s">
        <v>110</v>
      </c>
      <c r="AG69" s="15" t="s">
        <v>252</v>
      </c>
      <c r="AH69" s="260"/>
      <c r="AI69" s="260">
        <v>1</v>
      </c>
      <c r="AJ69" s="260"/>
      <c r="AK69" s="260"/>
      <c r="AL69" s="260">
        <v>2630.84</v>
      </c>
      <c r="AM69" s="98">
        <f t="shared" si="22"/>
        <v>3.4705397449516862</v>
      </c>
      <c r="AN69" s="100">
        <f>1/(AL69/$R69/1000)</f>
        <v>3.2309072387526419</v>
      </c>
      <c r="AO69" s="260">
        <v>2672.38</v>
      </c>
      <c r="AP69" s="260">
        <f t="shared" si="27"/>
        <v>3.4165929929907781</v>
      </c>
      <c r="AQ69" s="260">
        <v>1467.15</v>
      </c>
      <c r="AR69" s="260">
        <f t="shared" si="28"/>
        <v>6.2232456003876182</v>
      </c>
      <c r="AS69" s="260"/>
      <c r="AT69" s="260"/>
      <c r="AU69" s="260"/>
      <c r="AV69" s="260"/>
      <c r="AW69" s="260"/>
      <c r="AX69" s="260"/>
    </row>
    <row r="70" spans="1:50" x14ac:dyDescent="0.3">
      <c r="A70" s="69" t="s">
        <v>26</v>
      </c>
      <c r="B70" s="11" t="s">
        <v>361</v>
      </c>
      <c r="C70" s="11"/>
      <c r="D70" s="260">
        <v>2015</v>
      </c>
      <c r="E70" s="94">
        <v>250000</v>
      </c>
      <c r="F70" s="18">
        <f>E70/$A$292</f>
        <v>293631.35580892762</v>
      </c>
      <c r="G70" s="260"/>
      <c r="H70" s="260">
        <v>811000</v>
      </c>
      <c r="I70" s="260" t="s">
        <v>372</v>
      </c>
      <c r="J70" s="260">
        <v>1735</v>
      </c>
      <c r="K70" s="9">
        <f t="shared" si="24"/>
        <v>7.0215450000000006</v>
      </c>
      <c r="L70" s="9">
        <f t="shared" si="23"/>
        <v>702.15449999999998</v>
      </c>
      <c r="M70" s="1">
        <f t="shared" si="25"/>
        <v>6.94</v>
      </c>
      <c r="N70" s="9">
        <f t="shared" si="26"/>
        <v>35.604699535501084</v>
      </c>
      <c r="O70" s="260"/>
      <c r="P70" s="1"/>
      <c r="Q70" s="1"/>
      <c r="R70" s="1"/>
      <c r="S70" s="1"/>
      <c r="T70" s="1"/>
      <c r="U70" s="1"/>
      <c r="V70" s="1"/>
      <c r="W70" s="71">
        <v>35.3074997663498</v>
      </c>
      <c r="X70" s="71">
        <v>-119.91612017154701</v>
      </c>
      <c r="Y70" s="260" t="s">
        <v>21</v>
      </c>
      <c r="Z70" s="260"/>
      <c r="AA70" s="69" t="s">
        <v>371</v>
      </c>
      <c r="AB70" s="15"/>
      <c r="AC70" s="15"/>
      <c r="AD70" s="15"/>
      <c r="AE70" s="260" t="s">
        <v>109</v>
      </c>
      <c r="AF70" s="260" t="s">
        <v>110</v>
      </c>
      <c r="AG70" s="15" t="s">
        <v>7</v>
      </c>
      <c r="AH70" s="260">
        <v>1</v>
      </c>
      <c r="AI70" s="260">
        <v>1</v>
      </c>
      <c r="AJ70" s="260"/>
      <c r="AK70" s="260"/>
      <c r="AL70" s="260">
        <v>2526.87</v>
      </c>
      <c r="AM70" s="98">
        <f t="shared" si="22"/>
        <v>2.7464808241025458</v>
      </c>
      <c r="AO70" s="260">
        <v>2672.06</v>
      </c>
      <c r="AP70" s="260">
        <f t="shared" si="27"/>
        <v>2.5972470678053639</v>
      </c>
      <c r="AQ70" s="260">
        <v>1469.39</v>
      </c>
      <c r="AR70" s="260">
        <f t="shared" si="28"/>
        <v>4.7230483397872582</v>
      </c>
      <c r="AS70" s="260"/>
      <c r="AT70" s="260"/>
      <c r="AU70" s="260"/>
      <c r="AV70" s="260"/>
      <c r="AW70" s="260"/>
      <c r="AX70" s="260"/>
    </row>
    <row r="71" spans="1:50" x14ac:dyDescent="0.3">
      <c r="A71" s="69" t="s">
        <v>107</v>
      </c>
      <c r="B71" s="11" t="s">
        <v>369</v>
      </c>
      <c r="C71" s="11"/>
      <c r="D71" s="260">
        <v>2014</v>
      </c>
      <c r="E71" s="18">
        <f>F71*$A$292</f>
        <v>297992.6982217055</v>
      </c>
      <c r="F71" s="18">
        <v>350000</v>
      </c>
      <c r="G71" s="260"/>
      <c r="H71" s="260">
        <v>1686000</v>
      </c>
      <c r="I71" s="260" t="s">
        <v>102</v>
      </c>
      <c r="J71" s="260">
        <v>2900</v>
      </c>
      <c r="K71" s="9">
        <f t="shared" si="24"/>
        <v>11.7363</v>
      </c>
      <c r="L71" s="9">
        <f t="shared" si="23"/>
        <v>1173.6300000000001</v>
      </c>
      <c r="M71" s="1">
        <f t="shared" si="25"/>
        <v>9.7317820782387443</v>
      </c>
      <c r="N71" s="9">
        <f t="shared" si="26"/>
        <v>25.390685158159343</v>
      </c>
      <c r="O71" s="260">
        <v>2967</v>
      </c>
      <c r="P71" s="1">
        <f>O71*0.004047</f>
        <v>12.007449000000001</v>
      </c>
      <c r="Q71" s="1">
        <f>O71*0.4047</f>
        <v>1200.7448999999999</v>
      </c>
      <c r="R71" s="1">
        <f>O71/(E71/1000)</f>
        <v>9.956619802115295</v>
      </c>
      <c r="S71" s="1">
        <f>E71/1000/P71</f>
        <v>24.817319500728711</v>
      </c>
      <c r="T71" s="1"/>
      <c r="U71" s="1"/>
      <c r="V71" s="1"/>
      <c r="W71" s="260">
        <v>35.59751</v>
      </c>
      <c r="X71" s="260">
        <f>-115.33087</f>
        <v>-115.33087</v>
      </c>
      <c r="Y71" s="260" t="s">
        <v>21</v>
      </c>
      <c r="Z71" s="260"/>
      <c r="AA71" s="260" t="s">
        <v>106</v>
      </c>
      <c r="AB71" s="15">
        <v>0.1</v>
      </c>
      <c r="AC71" s="15" t="s">
        <v>366</v>
      </c>
      <c r="AD71" s="15" t="s">
        <v>102</v>
      </c>
      <c r="AE71" s="260" t="s">
        <v>24</v>
      </c>
      <c r="AF71" s="260" t="s">
        <v>34</v>
      </c>
      <c r="AG71" s="15" t="s">
        <v>353</v>
      </c>
      <c r="AH71" s="260"/>
      <c r="AI71" s="260">
        <v>1</v>
      </c>
      <c r="AJ71" s="22"/>
      <c r="AK71" s="260"/>
      <c r="AL71" s="260">
        <v>2583.9499999999998</v>
      </c>
      <c r="AM71" s="98">
        <f t="shared" si="22"/>
        <v>3.766242411129761</v>
      </c>
      <c r="AN71" s="100">
        <f>1/(AL71/$R71/1000)</f>
        <v>3.853255597869655</v>
      </c>
      <c r="AO71" s="260">
        <v>2672.06</v>
      </c>
      <c r="AP71" s="260">
        <f t="shared" si="27"/>
        <v>3.642052228706969</v>
      </c>
      <c r="AQ71" s="260">
        <v>1469.39</v>
      </c>
      <c r="AR71" s="260">
        <f t="shared" si="28"/>
        <v>6.6230082403165556</v>
      </c>
      <c r="AS71" s="260"/>
      <c r="AT71" s="260"/>
      <c r="AU71" s="260"/>
      <c r="AV71" s="260"/>
      <c r="AW71" s="260"/>
      <c r="AX71" s="260"/>
    </row>
    <row r="72" spans="1:50" ht="17.25" customHeight="1" x14ac:dyDescent="0.3">
      <c r="A72" s="260" t="s">
        <v>35</v>
      </c>
      <c r="B72" s="260" t="s">
        <v>697</v>
      </c>
      <c r="C72" s="260"/>
      <c r="D72" s="260">
        <v>2016</v>
      </c>
      <c r="E72" s="98">
        <v>300000</v>
      </c>
      <c r="F72" s="18">
        <f>E72/$A$292</f>
        <v>352357.62697071314</v>
      </c>
      <c r="G72" s="260"/>
      <c r="H72" s="260"/>
      <c r="I72" s="260" t="s">
        <v>698</v>
      </c>
      <c r="J72" s="260">
        <v>2013</v>
      </c>
      <c r="K72" s="9">
        <f t="shared" si="24"/>
        <v>8.146611</v>
      </c>
      <c r="L72" s="9">
        <f t="shared" si="23"/>
        <v>814.66110000000003</v>
      </c>
      <c r="M72" s="1">
        <f t="shared" si="25"/>
        <v>6.71</v>
      </c>
      <c r="N72" s="9">
        <f t="shared" si="26"/>
        <v>36.825128878744792</v>
      </c>
      <c r="O72" s="260"/>
      <c r="P72" s="260"/>
      <c r="Q72" s="260"/>
      <c r="R72" s="1"/>
      <c r="S72" s="260"/>
      <c r="T72" s="260"/>
      <c r="U72" s="260"/>
      <c r="V72" s="260"/>
      <c r="W72" s="260">
        <v>33.2393</v>
      </c>
      <c r="X72" s="260">
        <v>-112.6202</v>
      </c>
      <c r="Y72" s="260" t="s">
        <v>21</v>
      </c>
      <c r="Z72" s="260"/>
      <c r="AA72" s="260"/>
      <c r="AB72" s="111"/>
      <c r="AC72" s="260"/>
      <c r="AD72" s="260"/>
      <c r="AE72" s="260" t="s">
        <v>24</v>
      </c>
      <c r="AF72" s="260" t="s">
        <v>694</v>
      </c>
      <c r="AG72" s="260" t="s">
        <v>699</v>
      </c>
      <c r="AH72" s="260"/>
      <c r="AI72" s="260">
        <v>1</v>
      </c>
      <c r="AJ72" s="260"/>
      <c r="AK72" s="260"/>
      <c r="AL72" s="260">
        <v>2584.4299999999998</v>
      </c>
      <c r="AM72" s="98">
        <f t="shared" si="22"/>
        <v>2.596317176321278</v>
      </c>
      <c r="AO72" s="260">
        <v>2672.06</v>
      </c>
      <c r="AP72" s="260">
        <f t="shared" si="27"/>
        <v>2.5111711563363102</v>
      </c>
      <c r="AQ72" s="260">
        <v>1469.39</v>
      </c>
      <c r="AR72" s="260">
        <f t="shared" si="28"/>
        <v>4.5665208011487755</v>
      </c>
      <c r="AS72" s="260"/>
      <c r="AT72" s="260"/>
      <c r="AU72" s="260"/>
      <c r="AV72" s="260"/>
      <c r="AW72" s="260"/>
      <c r="AX72" s="260"/>
    </row>
    <row r="73" spans="1:50" x14ac:dyDescent="0.3">
      <c r="A73" s="11" t="s">
        <v>160</v>
      </c>
      <c r="B73" s="11" t="s">
        <v>467</v>
      </c>
      <c r="C73" s="11"/>
      <c r="D73" s="260">
        <v>2010</v>
      </c>
      <c r="E73" s="18">
        <f>F73*$A$292</f>
        <v>986.78153496844766</v>
      </c>
      <c r="F73" s="18">
        <v>1159</v>
      </c>
      <c r="G73" s="260"/>
      <c r="H73" s="260">
        <v>5367</v>
      </c>
      <c r="I73" s="260" t="s">
        <v>8</v>
      </c>
      <c r="J73" s="260">
        <v>9.5</v>
      </c>
      <c r="K73" s="9">
        <f t="shared" si="24"/>
        <v>3.8446500000000002E-2</v>
      </c>
      <c r="L73" s="9">
        <f t="shared" ref="L73:L78" si="29">J73*0.404685642</f>
        <v>3.8445135989999999</v>
      </c>
      <c r="M73" s="1">
        <f t="shared" si="25"/>
        <v>9.6272575675058238</v>
      </c>
      <c r="N73" s="1">
        <f t="shared" si="26"/>
        <v>25.666355454162215</v>
      </c>
      <c r="O73" s="11">
        <v>9</v>
      </c>
      <c r="P73" s="1">
        <f t="shared" ref="P73:P78" si="30">O73*0.004047</f>
        <v>3.6423000000000004E-2</v>
      </c>
      <c r="Q73" s="1">
        <f t="shared" ref="Q73:Q78" si="31">O73*0.4047</f>
        <v>3.6423000000000001</v>
      </c>
      <c r="R73" s="1">
        <f t="shared" ref="R73:R78" si="32">O73/(E73/1000)</f>
        <v>9.1205598007949913</v>
      </c>
      <c r="S73" s="1">
        <f t="shared" ref="S73:S78" si="33">E73/1000/P73</f>
        <v>27.09226409050456</v>
      </c>
      <c r="T73" s="260">
        <v>0.21</v>
      </c>
      <c r="U73" s="1">
        <f t="shared" ref="U73:U78" si="34">1/T73</f>
        <v>4.7619047619047619</v>
      </c>
      <c r="V73" s="1">
        <f t="shared" ref="V73:V78" si="35">T73*R73</f>
        <v>1.9153175581669482</v>
      </c>
      <c r="W73" s="260">
        <v>36.942748999999999</v>
      </c>
      <c r="X73" s="260">
        <v>-120.158908</v>
      </c>
      <c r="Y73" s="260" t="s">
        <v>139</v>
      </c>
      <c r="Z73" s="260"/>
      <c r="AA73" s="11" t="s">
        <v>95</v>
      </c>
      <c r="AB73" s="15">
        <v>0.14000000000000001</v>
      </c>
      <c r="AC73" s="260" t="s">
        <v>399</v>
      </c>
      <c r="AD73" s="260" t="s">
        <v>468</v>
      </c>
      <c r="AE73" s="260" t="s">
        <v>29</v>
      </c>
      <c r="AF73" s="260" t="s">
        <v>157</v>
      </c>
      <c r="AG73" s="15" t="s">
        <v>385</v>
      </c>
      <c r="AH73" s="260"/>
      <c r="AI73" s="260">
        <v>1</v>
      </c>
      <c r="AJ73" s="260"/>
      <c r="AK73" s="260">
        <v>2117</v>
      </c>
      <c r="AL73" s="260">
        <v>2534.3200000000002</v>
      </c>
      <c r="AM73" s="98">
        <f t="shared" si="22"/>
        <v>3.7987537357183871</v>
      </c>
      <c r="AN73" s="100">
        <f t="shared" ref="AN73:AN78" si="36">1/(AL73/$R73/1000)</f>
        <v>3.5988193285753147</v>
      </c>
      <c r="AO73" s="260">
        <v>3150.65</v>
      </c>
      <c r="AP73" s="260">
        <f t="shared" si="27"/>
        <v>3.0556417144099863</v>
      </c>
      <c r="AQ73" s="260">
        <v>1682.24</v>
      </c>
      <c r="AR73" s="260">
        <f t="shared" si="28"/>
        <v>5.722879950248374</v>
      </c>
      <c r="AS73" s="260"/>
      <c r="AT73" s="260"/>
      <c r="AU73" s="260"/>
      <c r="AV73" s="260"/>
      <c r="AW73" s="260"/>
      <c r="AX73" s="260"/>
    </row>
    <row r="74" spans="1:50" x14ac:dyDescent="0.3">
      <c r="A74" s="11" t="s">
        <v>529</v>
      </c>
      <c r="B74" s="11" t="s">
        <v>528</v>
      </c>
      <c r="C74" s="11"/>
      <c r="D74" s="260">
        <v>2011</v>
      </c>
      <c r="E74" s="18">
        <f>F74*$A$292</f>
        <v>1873.0969602507203</v>
      </c>
      <c r="F74" s="75">
        <v>2200</v>
      </c>
      <c r="G74" s="260">
        <v>12</v>
      </c>
      <c r="H74" s="260">
        <v>9000</v>
      </c>
      <c r="I74" s="260" t="s">
        <v>530</v>
      </c>
      <c r="J74" s="74">
        <v>27</v>
      </c>
      <c r="K74" s="9">
        <f t="shared" si="24"/>
        <v>0.10926900000000001</v>
      </c>
      <c r="L74" s="9">
        <f t="shared" si="29"/>
        <v>10.926512334</v>
      </c>
      <c r="M74" s="1">
        <f t="shared" si="25"/>
        <v>14.414630194256446</v>
      </c>
      <c r="N74" s="1">
        <f t="shared" si="26"/>
        <v>17.142071037995407</v>
      </c>
      <c r="O74" s="11">
        <v>22</v>
      </c>
      <c r="P74" s="1">
        <f t="shared" si="30"/>
        <v>8.9034000000000002E-2</v>
      </c>
      <c r="Q74" s="1">
        <f t="shared" si="31"/>
        <v>8.9033999999999995</v>
      </c>
      <c r="R74" s="1">
        <f t="shared" si="32"/>
        <v>11.745254232357103</v>
      </c>
      <c r="S74" s="1">
        <f t="shared" si="33"/>
        <v>21.037996273903456</v>
      </c>
      <c r="T74" s="260">
        <v>0.22450000000000001</v>
      </c>
      <c r="U74" s="25">
        <f t="shared" si="34"/>
        <v>4.4543429844097995</v>
      </c>
      <c r="V74" s="25">
        <f t="shared" si="35"/>
        <v>2.6368095751641696</v>
      </c>
      <c r="W74" s="260">
        <v>44.435600000000001</v>
      </c>
      <c r="X74" s="260">
        <v>-73.146010000000004</v>
      </c>
      <c r="Y74" s="260" t="s">
        <v>139</v>
      </c>
      <c r="Z74" s="260" t="s">
        <v>531</v>
      </c>
      <c r="AA74" s="11" t="s">
        <v>96</v>
      </c>
      <c r="AB74" s="15"/>
      <c r="AC74" s="11"/>
      <c r="AD74" s="260" t="s">
        <v>532</v>
      </c>
      <c r="AE74" s="260" t="s">
        <v>29</v>
      </c>
      <c r="AF74" s="260" t="s">
        <v>157</v>
      </c>
      <c r="AG74" s="15" t="s">
        <v>385</v>
      </c>
      <c r="AH74" s="260"/>
      <c r="AI74" s="260">
        <v>1</v>
      </c>
      <c r="AJ74" s="260"/>
      <c r="AK74" s="260">
        <v>1694</v>
      </c>
      <c r="AL74" s="260">
        <v>2028.24</v>
      </c>
      <c r="AM74" s="98">
        <f t="shared" si="22"/>
        <v>7.106964754790579</v>
      </c>
      <c r="AN74" s="100">
        <f t="shared" si="36"/>
        <v>5.7908601705701015</v>
      </c>
      <c r="AO74" s="260">
        <v>3150.65</v>
      </c>
      <c r="AP74" s="260">
        <f t="shared" si="27"/>
        <v>4.5751290033029521</v>
      </c>
      <c r="AQ74" s="260">
        <v>1682.24</v>
      </c>
      <c r="AR74" s="260">
        <f t="shared" si="28"/>
        <v>8.5687120709627909</v>
      </c>
      <c r="AS74" s="260"/>
      <c r="AT74" s="260"/>
      <c r="AU74" s="260"/>
      <c r="AV74" s="260"/>
      <c r="AW74" s="260"/>
      <c r="AX74" s="260"/>
    </row>
    <row r="75" spans="1:50" x14ac:dyDescent="0.3">
      <c r="A75" s="11" t="s">
        <v>3</v>
      </c>
      <c r="B75" s="10" t="s">
        <v>42</v>
      </c>
      <c r="C75" s="10"/>
      <c r="D75" s="260">
        <v>2007</v>
      </c>
      <c r="E75" s="18">
        <f>F75*$A$292</f>
        <v>882.90979444545314</v>
      </c>
      <c r="F75" s="18">
        <v>1037</v>
      </c>
      <c r="G75" s="260"/>
      <c r="H75" s="260">
        <v>72</v>
      </c>
      <c r="I75" s="260" t="s">
        <v>8</v>
      </c>
      <c r="J75" s="260">
        <f>O75*1.926</f>
        <v>11.920014</v>
      </c>
      <c r="K75" s="9">
        <f t="shared" si="24"/>
        <v>4.8240296658000004E-2</v>
      </c>
      <c r="L75" s="9">
        <f t="shared" si="29"/>
        <v>4.8238585182389881</v>
      </c>
      <c r="M75" s="1">
        <f t="shared" si="25"/>
        <v>13.500828821914748</v>
      </c>
      <c r="N75" s="1">
        <f t="shared" si="26"/>
        <v>18.302329289242348</v>
      </c>
      <c r="O75" s="260">
        <v>6.1890000000000001</v>
      </c>
      <c r="P75" s="1">
        <f t="shared" si="30"/>
        <v>2.5046883000000002E-2</v>
      </c>
      <c r="Q75" s="1">
        <f t="shared" si="31"/>
        <v>2.5046883000000002</v>
      </c>
      <c r="R75" s="1">
        <f t="shared" si="32"/>
        <v>7.0097761276815929</v>
      </c>
      <c r="S75" s="1">
        <f t="shared" si="33"/>
        <v>35.250286211080756</v>
      </c>
      <c r="T75" s="260">
        <v>0.22</v>
      </c>
      <c r="U75" s="1">
        <f t="shared" si="34"/>
        <v>4.5454545454545459</v>
      </c>
      <c r="V75" s="1">
        <f t="shared" si="35"/>
        <v>1.5421507480899503</v>
      </c>
      <c r="W75" s="260">
        <v>37.688524000000001</v>
      </c>
      <c r="X75" s="260">
        <v>-105.87646700000001</v>
      </c>
      <c r="Y75" s="260" t="s">
        <v>139</v>
      </c>
      <c r="Z75" s="260"/>
      <c r="AA75" s="260" t="s">
        <v>96</v>
      </c>
      <c r="AB75" s="15">
        <v>0.14280000000000001</v>
      </c>
      <c r="AC75" s="15" t="s">
        <v>391</v>
      </c>
      <c r="AD75" s="15" t="s">
        <v>72</v>
      </c>
      <c r="AE75" s="260" t="s">
        <v>29</v>
      </c>
      <c r="AF75" s="260" t="s">
        <v>19</v>
      </c>
      <c r="AG75" s="15" t="s">
        <v>353</v>
      </c>
      <c r="AH75" s="260"/>
      <c r="AI75" s="260">
        <v>1</v>
      </c>
      <c r="AJ75" s="260"/>
      <c r="AK75" s="260">
        <v>2528</v>
      </c>
      <c r="AL75" s="260">
        <v>3026.33</v>
      </c>
      <c r="AM75" s="98">
        <f t="shared" si="22"/>
        <v>4.4611224889270993</v>
      </c>
      <c r="AN75" s="100">
        <f t="shared" si="36"/>
        <v>2.3162629745208201</v>
      </c>
      <c r="AO75" s="260">
        <v>3150.65</v>
      </c>
      <c r="AP75" s="260">
        <f t="shared" si="27"/>
        <v>4.2850931782060044</v>
      </c>
      <c r="AQ75" s="260">
        <v>1682.24</v>
      </c>
      <c r="AR75" s="260">
        <f t="shared" si="28"/>
        <v>8.0255069561505774</v>
      </c>
      <c r="AS75" s="260"/>
      <c r="AT75" s="260"/>
      <c r="AU75" s="260"/>
      <c r="AV75" s="260"/>
      <c r="AW75" s="260"/>
      <c r="AX75" s="260"/>
    </row>
    <row r="76" spans="1:50" x14ac:dyDescent="0.3">
      <c r="A76" s="11" t="s">
        <v>26</v>
      </c>
      <c r="B76" s="11" t="s">
        <v>502</v>
      </c>
      <c r="C76" s="11"/>
      <c r="D76" s="260">
        <v>2008</v>
      </c>
      <c r="E76" s="18">
        <f>F76*$A$292</f>
        <v>863.32741713374105</v>
      </c>
      <c r="F76" s="94">
        <v>1014</v>
      </c>
      <c r="G76" s="260">
        <v>8.3000000000000007</v>
      </c>
      <c r="H76" s="260">
        <v>4984</v>
      </c>
      <c r="I76" s="260" t="s">
        <v>503</v>
      </c>
      <c r="J76" s="74">
        <v>10</v>
      </c>
      <c r="K76" s="9">
        <f t="shared" si="24"/>
        <v>4.0470000000000006E-2</v>
      </c>
      <c r="L76" s="9">
        <f t="shared" si="29"/>
        <v>4.0468564200000001</v>
      </c>
      <c r="M76" s="1">
        <f t="shared" si="25"/>
        <v>11.583090958932056</v>
      </c>
      <c r="N76" s="1">
        <f t="shared" si="26"/>
        <v>21.332528221738102</v>
      </c>
      <c r="O76" s="11">
        <v>5.9</v>
      </c>
      <c r="P76" s="1">
        <f t="shared" si="30"/>
        <v>2.3877300000000004E-2</v>
      </c>
      <c r="Q76" s="1">
        <f t="shared" si="31"/>
        <v>2.3877300000000004</v>
      </c>
      <c r="R76" s="1">
        <f t="shared" si="32"/>
        <v>6.8340236657699132</v>
      </c>
      <c r="S76" s="1">
        <f t="shared" si="33"/>
        <v>36.156827494471358</v>
      </c>
      <c r="T76" s="260">
        <v>0.23130000000000001</v>
      </c>
      <c r="U76" s="1">
        <f t="shared" si="34"/>
        <v>4.3233895373973192</v>
      </c>
      <c r="V76" s="1">
        <f t="shared" si="35"/>
        <v>1.580709673892581</v>
      </c>
      <c r="W76" s="260">
        <v>37.966814999999997</v>
      </c>
      <c r="X76" s="260">
        <v>-122.379823</v>
      </c>
      <c r="Y76" s="260" t="s">
        <v>139</v>
      </c>
      <c r="Z76" s="260" t="s">
        <v>504</v>
      </c>
      <c r="AA76" s="11" t="s">
        <v>371</v>
      </c>
      <c r="AB76" s="15">
        <v>0.14399999999999999</v>
      </c>
      <c r="AC76" s="11" t="s">
        <v>399</v>
      </c>
      <c r="AD76" s="260" t="s">
        <v>505</v>
      </c>
      <c r="AE76" s="260" t="s">
        <v>29</v>
      </c>
      <c r="AF76" s="260" t="s">
        <v>506</v>
      </c>
      <c r="AG76" s="15" t="s">
        <v>385</v>
      </c>
      <c r="AH76" s="260"/>
      <c r="AI76" s="260">
        <v>1</v>
      </c>
      <c r="AJ76" s="260"/>
      <c r="AK76" s="260">
        <v>2030</v>
      </c>
      <c r="AL76" s="260">
        <v>2430.54</v>
      </c>
      <c r="AM76" s="98">
        <f t="shared" si="22"/>
        <v>4.7656450660890401</v>
      </c>
      <c r="AN76" s="100">
        <f t="shared" si="36"/>
        <v>2.8117305889925341</v>
      </c>
      <c r="AO76" s="260">
        <v>3150.65</v>
      </c>
      <c r="AP76" s="260">
        <f t="shared" si="27"/>
        <v>3.6764131080672415</v>
      </c>
      <c r="AQ76" s="260">
        <v>1682.24</v>
      </c>
      <c r="AR76" s="260">
        <f t="shared" si="28"/>
        <v>6.8855163109497193</v>
      </c>
      <c r="AS76" s="260"/>
      <c r="AT76" s="260"/>
      <c r="AU76" s="260"/>
      <c r="AV76" s="260"/>
      <c r="AW76" s="260"/>
      <c r="AX76" s="260"/>
    </row>
    <row r="77" spans="1:50" ht="15.6" x14ac:dyDescent="0.3">
      <c r="A77" s="11" t="s">
        <v>26</v>
      </c>
      <c r="B77" s="11" t="s">
        <v>445</v>
      </c>
      <c r="C77" s="11"/>
      <c r="D77" s="260">
        <v>2011</v>
      </c>
      <c r="E77" s="18">
        <f>F77*$A$292</f>
        <v>891.4238715375019</v>
      </c>
      <c r="F77" s="18">
        <v>1047</v>
      </c>
      <c r="G77" s="260"/>
      <c r="H77" s="260">
        <v>119</v>
      </c>
      <c r="I77" s="260" t="s">
        <v>445</v>
      </c>
      <c r="J77" s="74">
        <v>6.8</v>
      </c>
      <c r="K77" s="9">
        <f t="shared" si="24"/>
        <v>2.7519600000000002E-2</v>
      </c>
      <c r="L77" s="9">
        <f t="shared" si="29"/>
        <v>2.7518623656000001</v>
      </c>
      <c r="M77" s="1">
        <f t="shared" si="25"/>
        <v>7.6282453467075744</v>
      </c>
      <c r="N77" s="1">
        <f t="shared" si="26"/>
        <v>32.392326615848411</v>
      </c>
      <c r="O77" s="260">
        <v>6.8</v>
      </c>
      <c r="P77" s="1">
        <f t="shared" si="30"/>
        <v>2.7519600000000002E-2</v>
      </c>
      <c r="Q77" s="1">
        <f t="shared" si="31"/>
        <v>2.75196</v>
      </c>
      <c r="R77" s="1">
        <f t="shared" si="32"/>
        <v>7.6282453467075744</v>
      </c>
      <c r="S77" s="1">
        <f t="shared" si="33"/>
        <v>32.392326615848411</v>
      </c>
      <c r="T77" s="260">
        <v>0.22</v>
      </c>
      <c r="U77" s="1">
        <f t="shared" si="34"/>
        <v>4.5454545454545459</v>
      </c>
      <c r="V77" s="1">
        <f t="shared" si="35"/>
        <v>1.6782139762756663</v>
      </c>
      <c r="W77" s="260">
        <v>36.271884</v>
      </c>
      <c r="X77" s="260">
        <v>-119.478266</v>
      </c>
      <c r="Y77" s="260" t="s">
        <v>732</v>
      </c>
      <c r="Z77" s="260"/>
      <c r="AA77" s="11" t="s">
        <v>94</v>
      </c>
      <c r="AB77" s="15">
        <v>0.25</v>
      </c>
      <c r="AC77" s="260"/>
      <c r="AD77" s="80" t="s">
        <v>446</v>
      </c>
      <c r="AE77" s="260" t="s">
        <v>29</v>
      </c>
      <c r="AF77" s="260" t="s">
        <v>157</v>
      </c>
      <c r="AG77" s="15" t="s">
        <v>380</v>
      </c>
      <c r="AH77" s="260"/>
      <c r="AI77" s="260">
        <v>1</v>
      </c>
      <c r="AJ77" s="260"/>
      <c r="AK77" s="260"/>
      <c r="AL77" s="260">
        <v>2493.39</v>
      </c>
      <c r="AM77" s="98">
        <f t="shared" si="22"/>
        <v>3.0593871583296535</v>
      </c>
      <c r="AN77" s="100">
        <f t="shared" si="36"/>
        <v>3.0593871583296535</v>
      </c>
      <c r="AO77" s="260">
        <v>3150.65</v>
      </c>
      <c r="AP77" s="260"/>
      <c r="AQ77" s="260">
        <v>1682.24</v>
      </c>
      <c r="AR77" s="260">
        <f t="shared" si="28"/>
        <v>4.5345761286781761</v>
      </c>
      <c r="AS77" s="260"/>
      <c r="AT77" s="260"/>
      <c r="AU77" s="260"/>
      <c r="AV77" s="260"/>
      <c r="AW77" s="260"/>
      <c r="AX77" s="260"/>
    </row>
    <row r="78" spans="1:50" x14ac:dyDescent="0.3">
      <c r="A78" s="11" t="s">
        <v>160</v>
      </c>
      <c r="B78" s="11" t="s">
        <v>495</v>
      </c>
      <c r="C78" s="11"/>
      <c r="D78" s="260">
        <v>2011</v>
      </c>
      <c r="E78" s="94">
        <v>1000</v>
      </c>
      <c r="F78" s="18">
        <f>E78/$A$292</f>
        <v>1174.5254232357104</v>
      </c>
      <c r="G78" s="260">
        <v>10</v>
      </c>
      <c r="H78" s="260">
        <v>173</v>
      </c>
      <c r="I78" s="260" t="s">
        <v>496</v>
      </c>
      <c r="J78" s="74">
        <v>17</v>
      </c>
      <c r="K78" s="9">
        <f t="shared" si="24"/>
        <v>6.8798999999999999E-2</v>
      </c>
      <c r="L78" s="9">
        <f t="shared" si="29"/>
        <v>6.8796559140000006</v>
      </c>
      <c r="M78" s="1">
        <f t="shared" si="25"/>
        <v>17</v>
      </c>
      <c r="N78" s="1">
        <f t="shared" si="26"/>
        <v>14.535094986845738</v>
      </c>
      <c r="O78" s="11">
        <v>10.7</v>
      </c>
      <c r="P78" s="1">
        <f t="shared" si="30"/>
        <v>4.3302899999999998E-2</v>
      </c>
      <c r="Q78" s="1">
        <f t="shared" si="31"/>
        <v>4.3302899999999998</v>
      </c>
      <c r="R78" s="1">
        <f t="shared" si="32"/>
        <v>10.7</v>
      </c>
      <c r="S78" s="1">
        <f t="shared" si="33"/>
        <v>23.093141567885755</v>
      </c>
      <c r="T78" s="260">
        <v>0.18</v>
      </c>
      <c r="U78" s="1">
        <f t="shared" si="34"/>
        <v>5.5555555555555554</v>
      </c>
      <c r="V78" s="1">
        <f t="shared" si="35"/>
        <v>1.9259999999999997</v>
      </c>
      <c r="W78" s="260">
        <v>36.706257000000001</v>
      </c>
      <c r="X78" s="260">
        <v>-105.624189</v>
      </c>
      <c r="Y78" s="260" t="s">
        <v>732</v>
      </c>
      <c r="Z78" s="260"/>
      <c r="AA78" s="11" t="s">
        <v>95</v>
      </c>
      <c r="AB78" s="15">
        <v>0.25</v>
      </c>
      <c r="AC78" s="260" t="s">
        <v>501</v>
      </c>
      <c r="AD78" s="260" t="s">
        <v>497</v>
      </c>
      <c r="AE78" s="260" t="s">
        <v>29</v>
      </c>
      <c r="AF78" s="260"/>
      <c r="AG78" s="15"/>
      <c r="AH78" s="260"/>
      <c r="AI78" s="260">
        <v>1</v>
      </c>
      <c r="AJ78" s="260">
        <v>14</v>
      </c>
      <c r="AK78" s="260"/>
      <c r="AL78" s="260">
        <v>3002.75</v>
      </c>
      <c r="AM78" s="98">
        <f t="shared" si="22"/>
        <v>5.661476979435518</v>
      </c>
      <c r="AN78" s="100">
        <f t="shared" si="36"/>
        <v>3.5634002164682372</v>
      </c>
      <c r="AO78" s="260">
        <v>3150.65</v>
      </c>
      <c r="AP78" s="260"/>
      <c r="AQ78" s="260">
        <v>1682.24</v>
      </c>
      <c r="AR78" s="260">
        <f t="shared" si="28"/>
        <v>10.105573521019593</v>
      </c>
      <c r="AS78" s="260"/>
      <c r="AT78" s="260"/>
      <c r="AU78" s="260"/>
      <c r="AV78" s="260"/>
      <c r="AW78" s="260"/>
      <c r="AX78" s="260"/>
    </row>
    <row r="79" spans="1:50" x14ac:dyDescent="0.3">
      <c r="A79" s="260" t="s">
        <v>26</v>
      </c>
      <c r="B79" s="260" t="s">
        <v>731</v>
      </c>
      <c r="C79" s="260"/>
      <c r="D79" s="260">
        <v>2015</v>
      </c>
      <c r="E79" s="18">
        <f>F79*$A$292</f>
        <v>127711.15638073093</v>
      </c>
      <c r="F79" s="260">
        <v>150000</v>
      </c>
      <c r="G79" s="260"/>
      <c r="H79" s="260"/>
      <c r="I79" s="260" t="s">
        <v>730</v>
      </c>
      <c r="J79" s="260">
        <v>1057</v>
      </c>
      <c r="K79" s="9">
        <f t="shared" si="24"/>
        <v>4.277679</v>
      </c>
      <c r="L79" s="9">
        <f>J79*0.4047</f>
        <v>427.7679</v>
      </c>
      <c r="M79" s="1">
        <f t="shared" si="25"/>
        <v>8.2764891490676398</v>
      </c>
      <c r="N79" s="9">
        <f t="shared" si="26"/>
        <v>29.855245421811905</v>
      </c>
      <c r="O79" s="260"/>
      <c r="P79" s="260"/>
      <c r="Q79" s="260"/>
      <c r="R79" s="1"/>
      <c r="S79" s="260"/>
      <c r="T79" s="260"/>
      <c r="U79" s="260"/>
      <c r="V79" s="260"/>
      <c r="W79" s="260">
        <v>32.772010000000002</v>
      </c>
      <c r="X79" s="260">
        <v>-115.79382</v>
      </c>
      <c r="Y79" s="260" t="s">
        <v>732</v>
      </c>
      <c r="Z79" s="260"/>
      <c r="AA79" s="260"/>
      <c r="AB79" s="15">
        <v>0.25</v>
      </c>
      <c r="AC79" s="260" t="s">
        <v>732</v>
      </c>
      <c r="AD79" s="260"/>
      <c r="AE79" s="260" t="s">
        <v>24</v>
      </c>
      <c r="AF79" s="260" t="s">
        <v>475</v>
      </c>
      <c r="AG79" s="260" t="s">
        <v>252</v>
      </c>
      <c r="AH79" s="260"/>
      <c r="AI79" s="260">
        <v>1</v>
      </c>
      <c r="AJ79" s="260"/>
      <c r="AK79" s="260"/>
      <c r="AL79" s="260">
        <v>2883.29</v>
      </c>
      <c r="AM79" s="98">
        <f t="shared" si="22"/>
        <v>2.870501804906076</v>
      </c>
      <c r="AO79" s="260">
        <v>3150.65</v>
      </c>
      <c r="AP79" s="260">
        <f>1/(AO79/$M79/1000)</f>
        <v>2.6269148109335023</v>
      </c>
      <c r="AQ79" s="260">
        <v>1682.24</v>
      </c>
      <c r="AR79" s="260">
        <f t="shared" si="28"/>
        <v>4.9199217406955249</v>
      </c>
      <c r="AS79" s="260"/>
      <c r="AT79" s="260"/>
      <c r="AU79" s="260"/>
      <c r="AV79" s="260"/>
      <c r="AW79" s="260"/>
      <c r="AX79" s="260"/>
    </row>
    <row r="80" spans="1:50" x14ac:dyDescent="0.3">
      <c r="A80" s="11" t="s">
        <v>35</v>
      </c>
      <c r="B80" s="28" t="s">
        <v>632</v>
      </c>
      <c r="C80" s="28"/>
      <c r="D80" s="260">
        <v>2006</v>
      </c>
      <c r="E80" s="18">
        <f>F80*$A$292</f>
        <v>148.99634911085275</v>
      </c>
      <c r="F80" s="18">
        <v>175</v>
      </c>
      <c r="G80" s="260"/>
      <c r="H80" s="260"/>
      <c r="I80" s="260" t="s">
        <v>175</v>
      </c>
      <c r="J80" s="260">
        <v>1.635</v>
      </c>
      <c r="K80" s="9">
        <f t="shared" si="24"/>
        <v>6.6168450000000005E-3</v>
      </c>
      <c r="L80" s="9">
        <f>J80*0.404685642</f>
        <v>0.66166102466999999</v>
      </c>
      <c r="M80" s="1">
        <f t="shared" si="25"/>
        <v>10.973423239945067</v>
      </c>
      <c r="N80" s="1">
        <f t="shared" si="26"/>
        <v>22.517733014881372</v>
      </c>
      <c r="O80" s="260">
        <v>0.86</v>
      </c>
      <c r="P80" s="1">
        <f>O80*0.004047</f>
        <v>3.4804200000000001E-3</v>
      </c>
      <c r="Q80" s="1">
        <f>O80*0.4047</f>
        <v>0.34804200000000002</v>
      </c>
      <c r="R80" s="1">
        <f>O80/(E80/1000)</f>
        <v>5.7719535084726346</v>
      </c>
      <c r="S80" s="1">
        <f>E80/1000/P80</f>
        <v>42.809876138757026</v>
      </c>
      <c r="T80" s="260">
        <v>0.133627</v>
      </c>
      <c r="U80" s="1">
        <f>1/T80</f>
        <v>7.4835175525904196</v>
      </c>
      <c r="V80" s="1">
        <f>T80*R80</f>
        <v>0.77128883147667271</v>
      </c>
      <c r="W80" s="260">
        <v>34.674278000000001</v>
      </c>
      <c r="X80" s="260">
        <v>-112.406209</v>
      </c>
      <c r="Y80" s="260" t="s">
        <v>732</v>
      </c>
      <c r="Z80" s="260"/>
      <c r="AA80" s="260" t="s">
        <v>96</v>
      </c>
      <c r="AB80" s="15">
        <v>0.28999999999999998</v>
      </c>
      <c r="AC80" s="15" t="s">
        <v>177</v>
      </c>
      <c r="AD80" s="15" t="s">
        <v>176</v>
      </c>
      <c r="AE80" s="260" t="s">
        <v>29</v>
      </c>
      <c r="AF80" s="260" t="s">
        <v>157</v>
      </c>
      <c r="AG80" s="15" t="s">
        <v>352</v>
      </c>
      <c r="AH80" s="260"/>
      <c r="AI80" s="260">
        <v>1</v>
      </c>
      <c r="AJ80" s="260"/>
      <c r="AK80" s="260"/>
      <c r="AL80" s="260">
        <v>3085.39</v>
      </c>
      <c r="AM80" s="98">
        <f t="shared" si="22"/>
        <v>3.5565757456739888</v>
      </c>
      <c r="AN80" s="100">
        <f>1/(AL80/$R80/1000)</f>
        <v>1.8707370894676638</v>
      </c>
      <c r="AO80" s="260">
        <v>3150.65</v>
      </c>
      <c r="AP80" s="260">
        <f>1/(AO80/$M80/1000)</f>
        <v>3.4829077301334852</v>
      </c>
      <c r="AQ80" s="260">
        <v>1682.24</v>
      </c>
      <c r="AR80" s="260">
        <f t="shared" si="28"/>
        <v>6.5231020781488178</v>
      </c>
      <c r="AS80" s="260"/>
      <c r="AT80" s="260"/>
      <c r="AU80" s="260"/>
      <c r="AV80" s="260"/>
      <c r="AW80" s="260"/>
      <c r="AX80" s="260"/>
    </row>
    <row r="81" spans="1:50" ht="15.6" x14ac:dyDescent="0.3">
      <c r="A81" s="11" t="s">
        <v>160</v>
      </c>
      <c r="B81" s="11" t="s">
        <v>447</v>
      </c>
      <c r="C81" s="11"/>
      <c r="D81" s="260">
        <v>2011</v>
      </c>
      <c r="E81" s="94">
        <v>5040</v>
      </c>
      <c r="F81" s="94">
        <v>6468</v>
      </c>
      <c r="G81" s="260"/>
      <c r="H81" s="260">
        <v>84</v>
      </c>
      <c r="I81" s="260" t="s">
        <v>448</v>
      </c>
      <c r="J81" s="74">
        <v>39</v>
      </c>
      <c r="K81" s="9">
        <f t="shared" si="24"/>
        <v>0.157833</v>
      </c>
      <c r="L81" s="9">
        <f>J81*0.404685642</f>
        <v>15.782740038</v>
      </c>
      <c r="M81" s="1">
        <f t="shared" si="25"/>
        <v>7.7380952380952381</v>
      </c>
      <c r="N81" s="1">
        <f t="shared" si="26"/>
        <v>31.932485601870333</v>
      </c>
      <c r="O81" s="11">
        <v>30.28</v>
      </c>
      <c r="P81" s="1">
        <f>O81*0.004047</f>
        <v>0.12254316000000001</v>
      </c>
      <c r="Q81" s="1">
        <f>O81*0.4047</f>
        <v>12.254316000000001</v>
      </c>
      <c r="R81" s="1">
        <f>O81/(E81/1000)</f>
        <v>6.0079365079365079</v>
      </c>
      <c r="S81" s="1">
        <f>E81/1000/P81</f>
        <v>41.12836652816852</v>
      </c>
      <c r="T81" s="260">
        <v>0.32200000000000001</v>
      </c>
      <c r="U81" s="25">
        <f>1/T81</f>
        <v>3.1055900621118013</v>
      </c>
      <c r="V81" s="25">
        <f>T81*R81</f>
        <v>1.9345555555555556</v>
      </c>
      <c r="W81" s="260">
        <v>32.627780000000001</v>
      </c>
      <c r="X81" s="260">
        <v>-107.25798</v>
      </c>
      <c r="Y81" s="260" t="s">
        <v>732</v>
      </c>
      <c r="Z81" s="260"/>
      <c r="AA81" s="11" t="s">
        <v>96</v>
      </c>
      <c r="AB81" s="15">
        <v>0.28999999999999998</v>
      </c>
      <c r="AC81" s="260"/>
      <c r="AD81" s="80" t="s">
        <v>449</v>
      </c>
      <c r="AE81" s="260" t="s">
        <v>29</v>
      </c>
      <c r="AF81" s="260" t="s">
        <v>450</v>
      </c>
      <c r="AG81" s="15" t="s">
        <v>444</v>
      </c>
      <c r="AH81" s="260"/>
      <c r="AI81" s="260">
        <v>1</v>
      </c>
      <c r="AJ81" s="260"/>
      <c r="AK81" s="260"/>
      <c r="AL81" s="260">
        <v>3008.06</v>
      </c>
      <c r="AM81" s="98">
        <f t="shared" si="22"/>
        <v>2.5724537536137038</v>
      </c>
      <c r="AN81" s="100">
        <f>1/(AL81/$R81/1000)</f>
        <v>1.9972794784467423</v>
      </c>
      <c r="AO81" s="260">
        <v>3154.59</v>
      </c>
      <c r="AP81" s="260"/>
      <c r="AQ81" s="260">
        <v>1679.85</v>
      </c>
      <c r="AR81" s="260">
        <f t="shared" si="28"/>
        <v>4.6064203578267344</v>
      </c>
      <c r="AS81" s="260"/>
      <c r="AT81" s="260"/>
      <c r="AU81" s="260"/>
      <c r="AV81" s="260"/>
      <c r="AW81" s="260"/>
      <c r="AX81" s="260"/>
    </row>
    <row r="82" spans="1:50" x14ac:dyDescent="0.3">
      <c r="A82" s="260" t="s">
        <v>3</v>
      </c>
      <c r="B82" s="260" t="s">
        <v>661</v>
      </c>
      <c r="C82" s="260"/>
      <c r="D82" s="260">
        <v>2012</v>
      </c>
      <c r="E82" s="98">
        <v>30720</v>
      </c>
      <c r="F82" s="18">
        <v>37000</v>
      </c>
      <c r="G82" s="260">
        <v>140</v>
      </c>
      <c r="H82" s="260"/>
      <c r="I82" s="260" t="s">
        <v>663</v>
      </c>
      <c r="J82" s="260">
        <v>225</v>
      </c>
      <c r="K82" s="9">
        <f t="shared" si="24"/>
        <v>0.91057500000000002</v>
      </c>
      <c r="L82" s="9">
        <f>J82*0.4047</f>
        <v>91.057500000000005</v>
      </c>
      <c r="M82" s="1">
        <f t="shared" si="25"/>
        <v>7.32421875</v>
      </c>
      <c r="N82" s="9">
        <f t="shared" si="26"/>
        <v>33.736924470801412</v>
      </c>
      <c r="O82" s="260">
        <v>186</v>
      </c>
      <c r="P82" s="1">
        <f>O82*0.004047</f>
        <v>0.75274200000000002</v>
      </c>
      <c r="Q82" s="1">
        <f>O82*0.4047</f>
        <v>75.274200000000008</v>
      </c>
      <c r="R82" s="1">
        <f>O82/(E82/1000)</f>
        <v>6.0546875</v>
      </c>
      <c r="S82" s="1">
        <f>E82/1000/P82</f>
        <v>40.810795730808159</v>
      </c>
      <c r="T82" s="260">
        <v>0.24359348049999999</v>
      </c>
      <c r="U82" s="1">
        <f>1/T82</f>
        <v>4.105200180018775</v>
      </c>
      <c r="V82" s="1">
        <f>T82*R82</f>
        <v>1.4748824014648436</v>
      </c>
      <c r="W82" s="260">
        <v>37.598750000000003</v>
      </c>
      <c r="X82" s="260">
        <v>-105.95184999999999</v>
      </c>
      <c r="Y82" s="260" t="s">
        <v>732</v>
      </c>
      <c r="Z82" s="260" t="s">
        <v>664</v>
      </c>
      <c r="AA82" s="260"/>
      <c r="AB82" s="15">
        <v>0.31</v>
      </c>
      <c r="AC82" s="260" t="s">
        <v>664</v>
      </c>
      <c r="AD82" s="260" t="s">
        <v>662</v>
      </c>
      <c r="AE82" s="260" t="s">
        <v>109</v>
      </c>
      <c r="AF82" s="260" t="s">
        <v>475</v>
      </c>
      <c r="AG82" s="260" t="s">
        <v>252</v>
      </c>
      <c r="AH82" s="260"/>
      <c r="AI82" s="260">
        <v>1</v>
      </c>
      <c r="AJ82" s="260"/>
      <c r="AK82" s="260"/>
      <c r="AL82" s="260">
        <v>3089.14</v>
      </c>
      <c r="AM82" s="98">
        <f t="shared" si="22"/>
        <v>2.3709572081550205</v>
      </c>
      <c r="AN82" s="100">
        <f>1/(AL82/$R82/1000)</f>
        <v>1.959991292074817</v>
      </c>
      <c r="AO82" s="260">
        <v>3150.65</v>
      </c>
      <c r="AP82" s="260">
        <f t="shared" ref="AP82:AP105" si="37">1/(AO82/$M82/1000)</f>
        <v>2.3246691158967199</v>
      </c>
      <c r="AQ82" s="260">
        <v>1682.24</v>
      </c>
      <c r="AR82" s="260">
        <f t="shared" si="28"/>
        <v>4.3538488860091302</v>
      </c>
      <c r="AS82" s="260"/>
      <c r="AT82" s="260"/>
      <c r="AU82" s="260"/>
      <c r="AV82" s="260"/>
      <c r="AW82" s="260"/>
      <c r="AX82" s="260"/>
    </row>
    <row r="83" spans="1:50" x14ac:dyDescent="0.3">
      <c r="A83" s="11" t="s">
        <v>3</v>
      </c>
      <c r="B83" s="10" t="s">
        <v>40</v>
      </c>
      <c r="C83" s="10"/>
      <c r="D83" s="260">
        <v>2007</v>
      </c>
      <c r="E83" s="18">
        <f>F83*$A$292</f>
        <v>510.84462552292371</v>
      </c>
      <c r="F83" s="18">
        <v>600</v>
      </c>
      <c r="G83" s="260"/>
      <c r="H83" s="260">
        <v>2224</v>
      </c>
      <c r="I83" s="260" t="s">
        <v>8</v>
      </c>
      <c r="J83" s="260">
        <f>O83*1.926</f>
        <v>5.949414</v>
      </c>
      <c r="K83" s="9">
        <f t="shared" si="24"/>
        <v>2.4077278458000003E-2</v>
      </c>
      <c r="L83" s="9">
        <f t="shared" ref="L83:L114" si="38">J83*0.404685642</f>
        <v>2.4076424241137881</v>
      </c>
      <c r="M83" s="1">
        <f t="shared" si="25"/>
        <v>11.6462299939241</v>
      </c>
      <c r="N83" s="1">
        <f t="shared" si="26"/>
        <v>21.216875753380204</v>
      </c>
      <c r="O83" s="260">
        <v>3.089</v>
      </c>
      <c r="P83" s="1">
        <f>O83*0.004047</f>
        <v>1.2501183000000001E-2</v>
      </c>
      <c r="Q83" s="1">
        <f>O83*0.4047</f>
        <v>1.2501183</v>
      </c>
      <c r="R83" s="1">
        <f>O83/(E83/1000)</f>
        <v>6.046848387291849</v>
      </c>
      <c r="S83" s="1">
        <f>E83/1000/P83</f>
        <v>40.863702701010276</v>
      </c>
      <c r="T83" s="260">
        <v>0.35799999999999998</v>
      </c>
      <c r="U83" s="1">
        <f>1/T83</f>
        <v>2.7932960893854748</v>
      </c>
      <c r="V83" s="1">
        <f>T83*R83</f>
        <v>2.1647717226504817</v>
      </c>
      <c r="W83" s="260">
        <v>37.688524000000001</v>
      </c>
      <c r="X83" s="260">
        <v>-105.87646700000001</v>
      </c>
      <c r="Y83" s="260" t="s">
        <v>91</v>
      </c>
      <c r="Z83" s="260" t="s">
        <v>90</v>
      </c>
      <c r="AA83" s="260" t="s">
        <v>96</v>
      </c>
      <c r="AB83" s="15">
        <v>0.13919999999999999</v>
      </c>
      <c r="AC83" s="15" t="s">
        <v>399</v>
      </c>
      <c r="AD83" s="15" t="s">
        <v>71</v>
      </c>
      <c r="AE83" s="260" t="s">
        <v>29</v>
      </c>
      <c r="AF83" s="260" t="s">
        <v>19</v>
      </c>
      <c r="AG83" s="15" t="s">
        <v>353</v>
      </c>
      <c r="AH83" s="260"/>
      <c r="AI83" s="260">
        <v>1</v>
      </c>
      <c r="AJ83" s="260"/>
      <c r="AK83" s="260"/>
      <c r="AL83" s="260">
        <v>2143.62</v>
      </c>
      <c r="AM83" s="98">
        <f t="shared" si="22"/>
        <v>5.4329731920415476</v>
      </c>
      <c r="AN83" s="100">
        <f>1/(AL83/$R83/1000)</f>
        <v>2.8208583551617585</v>
      </c>
      <c r="AO83" s="260">
        <v>2204.7399999999998</v>
      </c>
      <c r="AP83" s="260">
        <f t="shared" si="37"/>
        <v>5.2823598219854047</v>
      </c>
      <c r="AQ83" s="260">
        <v>1292.56</v>
      </c>
      <c r="AR83" s="260">
        <f t="shared" si="28"/>
        <v>9.010204550600438</v>
      </c>
      <c r="AS83" s="260"/>
      <c r="AT83" s="260"/>
      <c r="AU83" s="260"/>
      <c r="AV83" s="260"/>
      <c r="AW83" s="260"/>
      <c r="AX83" s="260"/>
    </row>
    <row r="84" spans="1:50" x14ac:dyDescent="0.3">
      <c r="A84" s="11" t="s">
        <v>407</v>
      </c>
      <c r="B84" s="11" t="s">
        <v>406</v>
      </c>
      <c r="C84" s="11"/>
      <c r="D84" s="260">
        <v>2011</v>
      </c>
      <c r="E84" s="18">
        <f>F84*$A$292</f>
        <v>851.40770920487284</v>
      </c>
      <c r="F84" s="18">
        <v>1000</v>
      </c>
      <c r="G84" s="260"/>
      <c r="H84" s="260">
        <v>4340</v>
      </c>
      <c r="I84" s="260" t="s">
        <v>408</v>
      </c>
      <c r="J84" s="74">
        <v>4.8499999999999996</v>
      </c>
      <c r="K84" s="9">
        <f t="shared" si="24"/>
        <v>1.9627949999999998E-2</v>
      </c>
      <c r="L84" s="9">
        <f t="shared" si="38"/>
        <v>1.9627253636999999</v>
      </c>
      <c r="M84" s="1">
        <f t="shared" si="25"/>
        <v>5.6964483026931951</v>
      </c>
      <c r="N84" s="1">
        <f t="shared" si="26"/>
        <v>43.377311904955583</v>
      </c>
      <c r="O84" s="24" t="s">
        <v>598</v>
      </c>
      <c r="P84" s="88"/>
      <c r="Q84" s="88"/>
      <c r="R84" s="88"/>
      <c r="S84" s="88"/>
      <c r="T84" s="260"/>
      <c r="U84" s="1"/>
      <c r="V84" s="1"/>
      <c r="W84" s="260">
        <v>34.842637000000003</v>
      </c>
      <c r="X84" s="260">
        <v>-84.033394000000001</v>
      </c>
      <c r="Y84" s="260" t="s">
        <v>91</v>
      </c>
      <c r="Z84" s="260"/>
      <c r="AA84" s="11" t="s">
        <v>94</v>
      </c>
      <c r="AB84" s="111"/>
      <c r="AC84" s="260"/>
      <c r="AD84" s="260" t="s">
        <v>409</v>
      </c>
      <c r="AE84" s="260" t="s">
        <v>29</v>
      </c>
      <c r="AF84" s="260" t="s">
        <v>157</v>
      </c>
      <c r="AG84" s="15" t="s">
        <v>380</v>
      </c>
      <c r="AH84" s="260"/>
      <c r="AI84" s="260">
        <v>1</v>
      </c>
      <c r="AJ84" s="260"/>
      <c r="AK84" s="260">
        <v>1352</v>
      </c>
      <c r="AL84" s="260">
        <v>1620.18</v>
      </c>
      <c r="AM84" s="98">
        <f t="shared" si="22"/>
        <v>3.5159354532787681</v>
      </c>
      <c r="AO84" s="260">
        <v>2202.16</v>
      </c>
      <c r="AP84" s="260">
        <f t="shared" si="37"/>
        <v>2.5867549599907345</v>
      </c>
      <c r="AQ84" s="260">
        <v>1294.43</v>
      </c>
      <c r="AR84" s="260">
        <f t="shared" si="28"/>
        <v>4.4007387828566973</v>
      </c>
      <c r="AS84" s="260"/>
      <c r="AT84" s="260"/>
      <c r="AU84" s="260"/>
      <c r="AV84" s="260"/>
      <c r="AW84" s="260"/>
      <c r="AX84" s="260"/>
    </row>
    <row r="85" spans="1:50" x14ac:dyDescent="0.3">
      <c r="A85" s="11" t="s">
        <v>3</v>
      </c>
      <c r="B85" s="260" t="s">
        <v>4</v>
      </c>
      <c r="C85" s="260"/>
      <c r="D85" s="260">
        <v>2008</v>
      </c>
      <c r="E85" s="42">
        <v>891.48</v>
      </c>
      <c r="F85" s="94">
        <v>1188.6400000000001</v>
      </c>
      <c r="G85" s="260">
        <v>6.9</v>
      </c>
      <c r="H85" s="260">
        <v>6192</v>
      </c>
      <c r="I85" s="260" t="s">
        <v>8</v>
      </c>
      <c r="J85" s="260">
        <v>5.7</v>
      </c>
      <c r="K85" s="1">
        <f t="shared" si="24"/>
        <v>2.3067900000000002E-2</v>
      </c>
      <c r="L85" s="9">
        <f t="shared" si="38"/>
        <v>2.3067081594000003</v>
      </c>
      <c r="M85" s="1">
        <f t="shared" si="25"/>
        <v>6.3938618925831197</v>
      </c>
      <c r="N85" s="1">
        <f t="shared" si="26"/>
        <v>38.645910551025452</v>
      </c>
      <c r="O85" s="1">
        <v>4.5</v>
      </c>
      <c r="P85" s="1">
        <f t="shared" ref="P85:P90" si="39">O85*0.004047</f>
        <v>1.8211500000000002E-2</v>
      </c>
      <c r="Q85" s="1">
        <f t="shared" ref="Q85:Q90" si="40">O85*0.4047</f>
        <v>1.82115</v>
      </c>
      <c r="R85" s="1">
        <f t="shared" ref="R85:R90" si="41">O85/(E85/1000)</f>
        <v>5.0477857046708845</v>
      </c>
      <c r="S85" s="1">
        <f t="shared" ref="S85:S90" si="42">E85/1000/P85</f>
        <v>48.951486697965571</v>
      </c>
      <c r="T85" s="260">
        <v>0.52</v>
      </c>
      <c r="U85" s="1">
        <f>1/T85</f>
        <v>1.9230769230769229</v>
      </c>
      <c r="V85" s="1">
        <f>T85*R85</f>
        <v>2.6248485664288599</v>
      </c>
      <c r="W85" s="260">
        <v>39.724755999999999</v>
      </c>
      <c r="X85" s="260">
        <v>-105.118824</v>
      </c>
      <c r="Y85" s="260" t="s">
        <v>91</v>
      </c>
      <c r="Z85" s="260" t="s">
        <v>87</v>
      </c>
      <c r="AA85" s="260" t="s">
        <v>95</v>
      </c>
      <c r="AB85" s="15">
        <v>0.12720000000000001</v>
      </c>
      <c r="AC85" s="15" t="s">
        <v>67</v>
      </c>
      <c r="AD85" s="15" t="s">
        <v>79</v>
      </c>
      <c r="AE85" s="260" t="s">
        <v>29</v>
      </c>
      <c r="AF85" s="260" t="s">
        <v>19</v>
      </c>
      <c r="AG85" s="15" t="s">
        <v>353</v>
      </c>
      <c r="AH85" s="260"/>
      <c r="AI85" s="260">
        <v>1</v>
      </c>
      <c r="AJ85" s="260"/>
      <c r="AK85" s="260">
        <v>1441</v>
      </c>
      <c r="AL85" s="260">
        <v>1850.77</v>
      </c>
      <c r="AM85" s="98">
        <f t="shared" si="22"/>
        <v>3.4547036598729823</v>
      </c>
      <c r="AN85" s="100">
        <f>1/(AL85/$R85/1000)</f>
        <v>2.7273976262155131</v>
      </c>
      <c r="AO85" s="260">
        <v>2120.41</v>
      </c>
      <c r="AP85" s="260">
        <f t="shared" si="37"/>
        <v>3.0153894259049521</v>
      </c>
      <c r="AQ85" s="260">
        <v>1258.04</v>
      </c>
      <c r="AR85" s="260">
        <f t="shared" si="28"/>
        <v>5.0823995203515944</v>
      </c>
      <c r="AS85" s="260"/>
      <c r="AT85" s="260"/>
      <c r="AU85" s="260"/>
      <c r="AV85" s="260"/>
      <c r="AW85" s="260"/>
      <c r="AX85" s="260"/>
    </row>
    <row r="86" spans="1:50" x14ac:dyDescent="0.3">
      <c r="A86" s="11" t="s">
        <v>148</v>
      </c>
      <c r="B86" s="260" t="s">
        <v>154</v>
      </c>
      <c r="C86" s="260"/>
      <c r="D86" s="260">
        <v>2009</v>
      </c>
      <c r="E86" s="42">
        <v>900</v>
      </c>
      <c r="F86" s="94">
        <v>1000</v>
      </c>
      <c r="G86" s="260"/>
      <c r="H86" s="260"/>
      <c r="I86" s="260" t="s">
        <v>155</v>
      </c>
      <c r="J86" s="260">
        <v>5.5</v>
      </c>
      <c r="K86" s="9">
        <f t="shared" si="24"/>
        <v>2.2258500000000001E-2</v>
      </c>
      <c r="L86" s="9">
        <f t="shared" si="38"/>
        <v>2.2257710309999998</v>
      </c>
      <c r="M86" s="1">
        <f t="shared" si="25"/>
        <v>6.1111111111111107</v>
      </c>
      <c r="N86" s="1">
        <f t="shared" si="26"/>
        <v>40.43399150886178</v>
      </c>
      <c r="O86" s="260">
        <v>2.5</v>
      </c>
      <c r="P86" s="1">
        <f t="shared" si="39"/>
        <v>1.0117500000000001E-2</v>
      </c>
      <c r="Q86" s="1">
        <f t="shared" si="40"/>
        <v>1.0117499999999999</v>
      </c>
      <c r="R86" s="1">
        <f t="shared" si="41"/>
        <v>2.7777777777777777</v>
      </c>
      <c r="S86" s="1">
        <f t="shared" si="42"/>
        <v>88.954781319495908</v>
      </c>
      <c r="T86" s="260">
        <v>0.57999999999999996</v>
      </c>
      <c r="U86" s="1">
        <f>1/T86</f>
        <v>1.7241379310344829</v>
      </c>
      <c r="V86" s="1">
        <f>T86*R86</f>
        <v>1.6111111111111109</v>
      </c>
      <c r="W86" s="260">
        <v>28.516894000000001</v>
      </c>
      <c r="X86" s="260">
        <v>-80.649524</v>
      </c>
      <c r="Y86" s="260" t="s">
        <v>91</v>
      </c>
      <c r="Z86" s="260"/>
      <c r="AA86" s="260" t="s">
        <v>94</v>
      </c>
      <c r="AB86" s="15"/>
      <c r="AC86" s="15"/>
      <c r="AD86" s="15"/>
      <c r="AE86" s="260" t="s">
        <v>29</v>
      </c>
      <c r="AF86" s="260" t="s">
        <v>110</v>
      </c>
      <c r="AG86" s="15" t="s">
        <v>252</v>
      </c>
      <c r="AH86" s="260"/>
      <c r="AI86" s="260">
        <v>1</v>
      </c>
      <c r="AJ86" s="260"/>
      <c r="AK86" s="260"/>
      <c r="AL86" s="260">
        <v>1737.74</v>
      </c>
      <c r="AM86" s="98">
        <f t="shared" si="22"/>
        <v>3.5167004909313881</v>
      </c>
      <c r="AN86" s="100">
        <f>1/(AL86/$R86/1000)</f>
        <v>1.5985002231506311</v>
      </c>
      <c r="AO86" s="260">
        <v>2182.5700000000002</v>
      </c>
      <c r="AP86" s="260">
        <f t="shared" si="37"/>
        <v>2.799961105994818</v>
      </c>
      <c r="AQ86" s="260">
        <v>1291.6199999999999</v>
      </c>
      <c r="AR86" s="260">
        <f t="shared" si="28"/>
        <v>4.7313537349306385</v>
      </c>
      <c r="AS86" s="260"/>
      <c r="AT86" s="260"/>
      <c r="AU86" s="260"/>
      <c r="AV86" s="260"/>
      <c r="AW86" s="260"/>
      <c r="AX86" s="260"/>
    </row>
    <row r="87" spans="1:50" x14ac:dyDescent="0.3">
      <c r="A87" s="11" t="s">
        <v>196</v>
      </c>
      <c r="B87" s="11" t="s">
        <v>547</v>
      </c>
      <c r="C87" s="11">
        <v>6</v>
      </c>
      <c r="D87" s="260">
        <v>2010</v>
      </c>
      <c r="E87" s="18">
        <f>F87*$A$292</f>
        <v>936.54848012536013</v>
      </c>
      <c r="F87" s="75">
        <v>1100</v>
      </c>
      <c r="G87" s="260">
        <v>5</v>
      </c>
      <c r="H87" s="260">
        <v>9120</v>
      </c>
      <c r="I87" s="260" t="s">
        <v>548</v>
      </c>
      <c r="J87" s="74">
        <v>9.75</v>
      </c>
      <c r="K87" s="9">
        <f t="shared" si="24"/>
        <v>3.945825E-2</v>
      </c>
      <c r="L87" s="9">
        <f t="shared" si="38"/>
        <v>3.9456850095</v>
      </c>
      <c r="M87" s="1">
        <f t="shared" si="25"/>
        <v>10.410566251407433</v>
      </c>
      <c r="N87" s="1">
        <f t="shared" si="26"/>
        <v>23.735175283378258</v>
      </c>
      <c r="O87" s="11">
        <v>7.18</v>
      </c>
      <c r="P87" s="1">
        <f t="shared" si="39"/>
        <v>2.905746E-2</v>
      </c>
      <c r="Q87" s="1">
        <f t="shared" si="40"/>
        <v>2.9057459999999997</v>
      </c>
      <c r="R87" s="1">
        <f t="shared" si="41"/>
        <v>7.6664477625749097</v>
      </c>
      <c r="S87" s="1">
        <f t="shared" si="42"/>
        <v>32.230913511551257</v>
      </c>
      <c r="T87" s="260">
        <v>0.44400000000000001</v>
      </c>
      <c r="U87" s="1">
        <f>1/T87</f>
        <v>2.2522522522522523</v>
      </c>
      <c r="V87" s="1">
        <f>T87*R87</f>
        <v>3.4039028065832597</v>
      </c>
      <c r="W87" s="260">
        <v>39.600969999999997</v>
      </c>
      <c r="X87" s="260">
        <v>-84.205460000000002</v>
      </c>
      <c r="Y87" s="260" t="s">
        <v>91</v>
      </c>
      <c r="Z87" s="260"/>
      <c r="AA87" s="11"/>
      <c r="AB87" s="15">
        <v>8.5000000000000006E-2</v>
      </c>
      <c r="AC87" s="23" t="s">
        <v>216</v>
      </c>
      <c r="AD87" s="260" t="s">
        <v>549</v>
      </c>
      <c r="AE87" s="260" t="s">
        <v>29</v>
      </c>
      <c r="AF87" s="260" t="s">
        <v>506</v>
      </c>
      <c r="AG87" s="15" t="s">
        <v>385</v>
      </c>
      <c r="AH87" s="260"/>
      <c r="AI87" s="260">
        <v>1</v>
      </c>
      <c r="AJ87" s="260"/>
      <c r="AK87" s="260"/>
      <c r="AL87" s="260">
        <v>1502.24</v>
      </c>
      <c r="AM87" s="98">
        <f t="shared" si="22"/>
        <v>6.9300286581421302</v>
      </c>
      <c r="AN87" s="100">
        <f>1/(AL87/$R87/1000)</f>
        <v>5.1033441810728712</v>
      </c>
      <c r="AO87" s="260">
        <v>2203.89</v>
      </c>
      <c r="AP87" s="260">
        <f t="shared" si="37"/>
        <v>4.7237231674028344</v>
      </c>
      <c r="AQ87" s="260">
        <v>1289.6600000000001</v>
      </c>
      <c r="AR87" s="260">
        <f t="shared" si="28"/>
        <v>8.0723339883437752</v>
      </c>
      <c r="AS87" s="260"/>
      <c r="AT87" s="260"/>
      <c r="AU87" s="260"/>
      <c r="AV87" s="260"/>
      <c r="AW87" s="260"/>
      <c r="AX87" s="260"/>
    </row>
    <row r="88" spans="1:50" x14ac:dyDescent="0.3">
      <c r="A88" s="11" t="s">
        <v>3</v>
      </c>
      <c r="B88" s="260" t="s">
        <v>23</v>
      </c>
      <c r="C88" s="260"/>
      <c r="D88" s="260">
        <v>2010</v>
      </c>
      <c r="E88" s="18">
        <f>F88*$A$292</f>
        <v>953.57663430945763</v>
      </c>
      <c r="F88" s="18">
        <v>1120</v>
      </c>
      <c r="G88" s="260">
        <v>7.3</v>
      </c>
      <c r="H88" s="260">
        <v>5040</v>
      </c>
      <c r="I88" s="260" t="s">
        <v>25</v>
      </c>
      <c r="J88" s="260">
        <v>3.8</v>
      </c>
      <c r="K88" s="1">
        <f t="shared" si="24"/>
        <v>1.5378600000000001E-2</v>
      </c>
      <c r="L88" s="9">
        <f t="shared" si="38"/>
        <v>1.5378054396</v>
      </c>
      <c r="M88" s="1">
        <f t="shared" si="25"/>
        <v>3.9849969716925888</v>
      </c>
      <c r="N88" s="1">
        <f t="shared" si="26"/>
        <v>62.006725859925972</v>
      </c>
      <c r="O88" s="260">
        <v>3.2</v>
      </c>
      <c r="P88" s="1">
        <f t="shared" si="39"/>
        <v>1.2950400000000001E-2</v>
      </c>
      <c r="Q88" s="1">
        <f t="shared" si="40"/>
        <v>1.2950400000000002</v>
      </c>
      <c r="R88" s="1">
        <f t="shared" si="41"/>
        <v>3.3557869235306015</v>
      </c>
      <c r="S88" s="1">
        <f t="shared" si="42"/>
        <v>73.632986958662087</v>
      </c>
      <c r="T88" s="260">
        <v>0.31</v>
      </c>
      <c r="U88" s="1">
        <f>1/T88</f>
        <v>3.2258064516129035</v>
      </c>
      <c r="V88" s="1">
        <f>T88*R88</f>
        <v>1.0402939462944865</v>
      </c>
      <c r="W88" s="260">
        <v>39.700001999999998</v>
      </c>
      <c r="X88" s="260">
        <v>-104.757407</v>
      </c>
      <c r="Y88" s="260" t="s">
        <v>91</v>
      </c>
      <c r="Z88" s="260" t="s">
        <v>89</v>
      </c>
      <c r="AA88" s="260" t="s">
        <v>96</v>
      </c>
      <c r="AB88" s="15">
        <v>0.1419</v>
      </c>
      <c r="AC88" s="15" t="s">
        <v>391</v>
      </c>
      <c r="AD88" s="15" t="s">
        <v>82</v>
      </c>
      <c r="AE88" s="260" t="s">
        <v>29</v>
      </c>
      <c r="AF88" s="260" t="s">
        <v>19</v>
      </c>
      <c r="AG88" s="15" t="s">
        <v>353</v>
      </c>
      <c r="AH88" s="260"/>
      <c r="AI88" s="260">
        <v>1</v>
      </c>
      <c r="AJ88" s="260"/>
      <c r="AK88" s="260">
        <v>1460</v>
      </c>
      <c r="AL88" s="260">
        <v>1948.32</v>
      </c>
      <c r="AM88" s="98">
        <f t="shared" si="22"/>
        <v>2.0453503385956049</v>
      </c>
      <c r="AN88" s="100">
        <f>1/(AL88/$R88/1000)</f>
        <v>1.7224002851331413</v>
      </c>
      <c r="AO88" s="260">
        <v>2203.56</v>
      </c>
      <c r="AP88" s="260">
        <f t="shared" si="37"/>
        <v>1.8084358817969963</v>
      </c>
      <c r="AQ88" s="260">
        <v>1294.1400000000001</v>
      </c>
      <c r="AR88" s="260">
        <f t="shared" si="28"/>
        <v>3.0792626544984225</v>
      </c>
      <c r="AS88" s="260"/>
      <c r="AT88" s="260"/>
      <c r="AU88" s="260"/>
      <c r="AV88" s="260"/>
      <c r="AW88" s="260"/>
      <c r="AX88" s="260"/>
    </row>
    <row r="89" spans="1:50" x14ac:dyDescent="0.3">
      <c r="A89" s="11" t="s">
        <v>26</v>
      </c>
      <c r="B89" s="11" t="s">
        <v>50</v>
      </c>
      <c r="C89" s="11"/>
      <c r="D89" s="260">
        <v>2006</v>
      </c>
      <c r="E89" s="42">
        <v>999.91600000000005</v>
      </c>
      <c r="F89" s="94">
        <v>1160.0999999999999</v>
      </c>
      <c r="G89" s="260"/>
      <c r="H89" s="260">
        <v>6816</v>
      </c>
      <c r="I89" s="260" t="s">
        <v>8</v>
      </c>
      <c r="J89" s="260">
        <v>7.26</v>
      </c>
      <c r="K89" s="9">
        <f t="shared" si="24"/>
        <v>2.938122E-2</v>
      </c>
      <c r="L89" s="9">
        <f t="shared" si="38"/>
        <v>2.9380177609200002</v>
      </c>
      <c r="M89" s="1">
        <f t="shared" si="25"/>
        <v>7.260609891230863</v>
      </c>
      <c r="N89" s="1">
        <f t="shared" si="26"/>
        <v>34.032487418834208</v>
      </c>
      <c r="O89" s="260">
        <v>4.1509999999999998</v>
      </c>
      <c r="P89" s="1">
        <f t="shared" si="39"/>
        <v>1.6799096999999999E-2</v>
      </c>
      <c r="Q89" s="1">
        <f t="shared" si="40"/>
        <v>1.6799096999999998</v>
      </c>
      <c r="R89" s="1">
        <f t="shared" si="41"/>
        <v>4.1513487132919158</v>
      </c>
      <c r="S89" s="1">
        <f t="shared" si="42"/>
        <v>59.522008831784241</v>
      </c>
      <c r="T89" s="260">
        <f>0.51594/1.15094</f>
        <v>0.44827706048968663</v>
      </c>
      <c r="U89" s="1">
        <f>1/T89</f>
        <v>2.230763267046556</v>
      </c>
      <c r="V89" s="1">
        <f>T89*R89</f>
        <v>1.8609543982621428</v>
      </c>
      <c r="W89" s="260">
        <v>33.564914000000002</v>
      </c>
      <c r="X89" s="260">
        <v>-114.904048</v>
      </c>
      <c r="Y89" s="260" t="s">
        <v>91</v>
      </c>
      <c r="Z89" s="260" t="s">
        <v>87</v>
      </c>
      <c r="AA89" s="260" t="s">
        <v>96</v>
      </c>
      <c r="AB89" s="15">
        <v>0.14180000000000001</v>
      </c>
      <c r="AC89" s="15" t="s">
        <v>399</v>
      </c>
      <c r="AD89" s="15" t="s">
        <v>83</v>
      </c>
      <c r="AE89" s="260" t="s">
        <v>29</v>
      </c>
      <c r="AF89" s="260" t="s">
        <v>51</v>
      </c>
      <c r="AG89" s="15" t="s">
        <v>353</v>
      </c>
      <c r="AH89" s="260"/>
      <c r="AI89" s="260">
        <v>1</v>
      </c>
      <c r="AJ89" s="260"/>
      <c r="AK89" s="260">
        <v>1796</v>
      </c>
      <c r="AL89" s="260">
        <v>2083.65</v>
      </c>
      <c r="AM89" s="98">
        <f t="shared" si="22"/>
        <v>3.4845630942004955</v>
      </c>
      <c r="AN89" s="100">
        <f>1/(AL89/$R89/1000)</f>
        <v>1.9923445460091262</v>
      </c>
      <c r="AO89" s="260">
        <v>2123.4899999999998</v>
      </c>
      <c r="AP89" s="260">
        <f t="shared" si="37"/>
        <v>3.4191872300933204</v>
      </c>
      <c r="AQ89" s="260">
        <v>1265.6300000000001</v>
      </c>
      <c r="AR89" s="260">
        <f t="shared" si="28"/>
        <v>5.7367555219383721</v>
      </c>
      <c r="AS89" s="260"/>
      <c r="AT89" s="260"/>
      <c r="AU89" s="260"/>
      <c r="AV89" s="260"/>
      <c r="AW89" s="260"/>
      <c r="AX89" s="260"/>
    </row>
    <row r="90" spans="1:50" ht="18" customHeight="1" x14ac:dyDescent="0.3">
      <c r="A90" s="11" t="s">
        <v>476</v>
      </c>
      <c r="B90" s="11" t="s">
        <v>477</v>
      </c>
      <c r="C90" s="11">
        <v>12</v>
      </c>
      <c r="D90" s="260">
        <v>2011</v>
      </c>
      <c r="E90" s="18">
        <f t="shared" ref="E90:E98" si="43">F90*$A$292</f>
        <v>1004.6610968617499</v>
      </c>
      <c r="F90" s="94">
        <v>1180</v>
      </c>
      <c r="G90" s="260">
        <v>7</v>
      </c>
      <c r="H90" s="260">
        <v>4200</v>
      </c>
      <c r="I90" s="260" t="s">
        <v>478</v>
      </c>
      <c r="J90" s="74">
        <v>4</v>
      </c>
      <c r="K90" s="9">
        <f t="shared" si="24"/>
        <v>1.6188000000000001E-2</v>
      </c>
      <c r="L90" s="9">
        <f t="shared" si="38"/>
        <v>1.618742568</v>
      </c>
      <c r="M90" s="1">
        <f t="shared" si="25"/>
        <v>3.9814421126634252</v>
      </c>
      <c r="N90" s="1">
        <f t="shared" si="26"/>
        <v>62.062089008015192</v>
      </c>
      <c r="O90" s="11">
        <v>2.7</v>
      </c>
      <c r="P90" s="1">
        <f t="shared" si="39"/>
        <v>1.0926900000000002E-2</v>
      </c>
      <c r="Q90" s="1">
        <f t="shared" si="40"/>
        <v>1.0926900000000002</v>
      </c>
      <c r="R90" s="1">
        <f t="shared" si="41"/>
        <v>2.6874734260478124</v>
      </c>
      <c r="S90" s="1">
        <f t="shared" si="42"/>
        <v>91.9438355674299</v>
      </c>
      <c r="T90" s="260"/>
      <c r="U90" s="11"/>
      <c r="V90" s="11"/>
      <c r="W90" s="260">
        <v>21.316091</v>
      </c>
      <c r="X90" s="260">
        <v>-158.10544400000001</v>
      </c>
      <c r="Y90" s="260" t="s">
        <v>91</v>
      </c>
      <c r="Z90" s="260"/>
      <c r="AA90" s="11"/>
      <c r="AB90" s="15">
        <v>0.14430000000000001</v>
      </c>
      <c r="AC90" s="260" t="s">
        <v>399</v>
      </c>
      <c r="AD90" s="83" t="s">
        <v>479</v>
      </c>
      <c r="AE90" s="260" t="s">
        <v>29</v>
      </c>
      <c r="AF90" s="260" t="s">
        <v>157</v>
      </c>
      <c r="AG90" s="15" t="s">
        <v>380</v>
      </c>
      <c r="AH90" s="260"/>
      <c r="AI90" s="260">
        <v>1</v>
      </c>
      <c r="AJ90" s="260"/>
      <c r="AK90" s="260"/>
      <c r="AL90" s="260"/>
      <c r="AO90" s="260">
        <v>2132.69</v>
      </c>
      <c r="AP90" s="260">
        <f t="shared" si="37"/>
        <v>1.8668639664758708</v>
      </c>
      <c r="AQ90" s="260">
        <v>1269.29</v>
      </c>
      <c r="AR90" s="260">
        <f t="shared" si="28"/>
        <v>3.1367474041892911</v>
      </c>
      <c r="AS90" s="260"/>
      <c r="AT90" s="260"/>
      <c r="AU90" s="260"/>
      <c r="AV90" s="260"/>
      <c r="AW90" s="260"/>
      <c r="AX90" s="260"/>
    </row>
    <row r="91" spans="1:50" x14ac:dyDescent="0.3">
      <c r="A91" s="11" t="s">
        <v>557</v>
      </c>
      <c r="B91" s="11" t="s">
        <v>553</v>
      </c>
      <c r="C91" s="11"/>
      <c r="D91" s="260">
        <v>2011</v>
      </c>
      <c r="E91" s="18">
        <f t="shared" si="43"/>
        <v>1013.1751739537987</v>
      </c>
      <c r="F91" s="75">
        <v>1190</v>
      </c>
      <c r="G91" s="260"/>
      <c r="H91" s="260">
        <v>5940</v>
      </c>
      <c r="I91" s="260" t="s">
        <v>170</v>
      </c>
      <c r="J91" s="74">
        <v>9.4</v>
      </c>
      <c r="K91" s="9">
        <f t="shared" si="24"/>
        <v>3.8041800000000001E-2</v>
      </c>
      <c r="L91" s="9">
        <f t="shared" si="38"/>
        <v>3.8040450348000001</v>
      </c>
      <c r="M91" s="1">
        <f t="shared" si="25"/>
        <v>9.2777638474081332</v>
      </c>
      <c r="N91" s="1">
        <f t="shared" si="26"/>
        <v>26.633208048877776</v>
      </c>
      <c r="O91" s="24" t="s">
        <v>598</v>
      </c>
      <c r="P91" s="88"/>
      <c r="Q91" s="88"/>
      <c r="R91" s="88"/>
      <c r="S91" s="88"/>
      <c r="T91" s="260"/>
      <c r="U91" s="11"/>
      <c r="V91" s="11"/>
      <c r="W91" s="260">
        <v>45.113630000000001</v>
      </c>
      <c r="X91" s="260">
        <v>-123.2368</v>
      </c>
      <c r="Y91" s="260" t="s">
        <v>91</v>
      </c>
      <c r="Z91" s="260"/>
      <c r="AA91" s="11"/>
      <c r="AB91" s="15">
        <v>9.9900000000000003E-2</v>
      </c>
      <c r="AC91" s="11" t="s">
        <v>554</v>
      </c>
      <c r="AD91" s="260" t="s">
        <v>555</v>
      </c>
      <c r="AE91" s="260" t="s">
        <v>29</v>
      </c>
      <c r="AF91" s="260" t="s">
        <v>475</v>
      </c>
      <c r="AG91" s="15" t="s">
        <v>385</v>
      </c>
      <c r="AH91" s="260"/>
      <c r="AI91" s="260">
        <v>1</v>
      </c>
      <c r="AJ91" s="260"/>
      <c r="AK91" s="260"/>
      <c r="AL91" s="260">
        <v>1460.8</v>
      </c>
      <c r="AM91" s="98">
        <f t="shared" ref="AM91:AM105" si="44">1/(AL91/$M91/1000)</f>
        <v>6.3511526885324026</v>
      </c>
      <c r="AO91" s="260">
        <v>2189.3200000000002</v>
      </c>
      <c r="AP91" s="260">
        <f t="shared" si="37"/>
        <v>4.2377376753549649</v>
      </c>
      <c r="AQ91" s="260">
        <v>1273.96</v>
      </c>
      <c r="AR91" s="260">
        <f t="shared" si="28"/>
        <v>7.2826178588088579</v>
      </c>
      <c r="AS91" s="260"/>
      <c r="AT91" s="260"/>
      <c r="AU91" s="260"/>
      <c r="AV91" s="260"/>
      <c r="AW91" s="260"/>
      <c r="AX91" s="260"/>
    </row>
    <row r="92" spans="1:50" x14ac:dyDescent="0.3">
      <c r="A92" s="11" t="s">
        <v>3</v>
      </c>
      <c r="B92" s="260" t="s">
        <v>158</v>
      </c>
      <c r="C92" s="260"/>
      <c r="D92" s="260">
        <v>2009</v>
      </c>
      <c r="E92" s="18">
        <f t="shared" si="43"/>
        <v>1021.6892510458474</v>
      </c>
      <c r="F92" s="18">
        <v>1200</v>
      </c>
      <c r="G92" s="260"/>
      <c r="H92" s="260">
        <v>6800</v>
      </c>
      <c r="I92" s="260" t="s">
        <v>364</v>
      </c>
      <c r="J92" s="260">
        <v>4.3</v>
      </c>
      <c r="K92" s="9">
        <f t="shared" si="24"/>
        <v>1.74021E-2</v>
      </c>
      <c r="L92" s="9">
        <f t="shared" si="38"/>
        <v>1.7401482606000001</v>
      </c>
      <c r="M92" s="1">
        <f t="shared" si="25"/>
        <v>4.2087160999279618</v>
      </c>
      <c r="N92" s="1">
        <f t="shared" si="26"/>
        <v>58.710687276009651</v>
      </c>
      <c r="O92" s="260">
        <v>3.5</v>
      </c>
      <c r="P92" s="1">
        <f>O92*0.004047</f>
        <v>1.41645E-2</v>
      </c>
      <c r="Q92" s="1">
        <f>O92*0.4047</f>
        <v>1.41645</v>
      </c>
      <c r="R92" s="1">
        <f>O92/(E92/1000)</f>
        <v>3.4256991511041552</v>
      </c>
      <c r="S92" s="1">
        <f>E92/1000/P92</f>
        <v>72.130272939097566</v>
      </c>
      <c r="T92" s="260"/>
      <c r="U92" s="1"/>
      <c r="V92" s="1"/>
      <c r="W92" s="260">
        <v>38.312379</v>
      </c>
      <c r="X92" s="260">
        <v>-104.575934</v>
      </c>
      <c r="Y92" s="260" t="s">
        <v>91</v>
      </c>
      <c r="Z92" s="260"/>
      <c r="AA92" s="260" t="s">
        <v>96</v>
      </c>
      <c r="AB92" s="15"/>
      <c r="AC92" s="15"/>
      <c r="AD92" s="15"/>
      <c r="AE92" s="260" t="s">
        <v>29</v>
      </c>
      <c r="AF92" s="260" t="s">
        <v>157</v>
      </c>
      <c r="AG92" s="15" t="s">
        <v>352</v>
      </c>
      <c r="AH92" s="260"/>
      <c r="AI92" s="260">
        <v>1</v>
      </c>
      <c r="AJ92" s="260"/>
      <c r="AK92" s="260"/>
      <c r="AL92" s="260">
        <v>2021.3</v>
      </c>
      <c r="AM92" s="98">
        <f t="shared" si="44"/>
        <v>2.0821828031108502</v>
      </c>
      <c r="AN92" s="100">
        <f>1/(AL92/$R92/1000)</f>
        <v>1.6947999560204599</v>
      </c>
      <c r="AO92" s="260">
        <v>2204.56</v>
      </c>
      <c r="AP92" s="260">
        <f t="shared" si="37"/>
        <v>1.909095737892351</v>
      </c>
      <c r="AQ92" s="260">
        <v>1291.23</v>
      </c>
      <c r="AR92" s="260">
        <f t="shared" si="28"/>
        <v>3.2594627602580184</v>
      </c>
      <c r="AS92" s="260"/>
      <c r="AT92" s="260"/>
      <c r="AU92" s="260"/>
      <c r="AV92" s="260"/>
      <c r="AW92" s="260"/>
      <c r="AX92" s="260"/>
    </row>
    <row r="93" spans="1:50" ht="15.6" x14ac:dyDescent="0.3">
      <c r="A93" s="11" t="s">
        <v>429</v>
      </c>
      <c r="B93" s="11" t="s">
        <v>454</v>
      </c>
      <c r="C93" s="11"/>
      <c r="D93" s="260">
        <v>2011</v>
      </c>
      <c r="E93" s="18">
        <f t="shared" si="43"/>
        <v>1021.6892510458474</v>
      </c>
      <c r="F93" s="18">
        <v>1200</v>
      </c>
      <c r="G93" s="260">
        <v>7</v>
      </c>
      <c r="H93" s="260">
        <v>6000</v>
      </c>
      <c r="I93" s="260" t="s">
        <v>455</v>
      </c>
      <c r="J93" s="74">
        <v>6</v>
      </c>
      <c r="K93" s="9">
        <f t="shared" si="24"/>
        <v>2.4282000000000001E-2</v>
      </c>
      <c r="L93" s="9">
        <f t="shared" si="38"/>
        <v>2.4281138520000001</v>
      </c>
      <c r="M93" s="1">
        <f t="shared" si="25"/>
        <v>5.8726271161785517</v>
      </c>
      <c r="N93" s="1">
        <f t="shared" si="26"/>
        <v>42.075992547806912</v>
      </c>
      <c r="O93" s="11">
        <v>5.6588000000000003</v>
      </c>
      <c r="P93" s="1">
        <f>O93*0.004047</f>
        <v>2.2901163600000003E-2</v>
      </c>
      <c r="Q93" s="1">
        <f>O93*0.4047</f>
        <v>2.2901163600000003</v>
      </c>
      <c r="R93" s="1">
        <f>O93/(E93/1000)</f>
        <v>5.5386703875051984</v>
      </c>
      <c r="S93" s="1">
        <f>E93/1000/P93</f>
        <v>44.612984252286964</v>
      </c>
      <c r="T93" s="260"/>
      <c r="U93" s="260"/>
      <c r="V93" s="260"/>
      <c r="W93" s="260">
        <v>38.991762999999999</v>
      </c>
      <c r="X93" s="260">
        <v>-75.440185999999997</v>
      </c>
      <c r="Y93" s="260" t="s">
        <v>91</v>
      </c>
      <c r="Z93" s="260"/>
      <c r="AA93" s="11"/>
      <c r="AB93" s="15"/>
      <c r="AC93" s="260"/>
      <c r="AD93" s="80"/>
      <c r="AE93" s="260" t="s">
        <v>109</v>
      </c>
      <c r="AF93" s="260" t="s">
        <v>157</v>
      </c>
      <c r="AG93" s="15" t="s">
        <v>444</v>
      </c>
      <c r="AH93" s="260"/>
      <c r="AI93" s="260">
        <v>1</v>
      </c>
      <c r="AJ93" s="260"/>
      <c r="AK93" s="260"/>
      <c r="AL93" s="260">
        <v>1610.02</v>
      </c>
      <c r="AM93" s="98">
        <f t="shared" si="44"/>
        <v>3.647549170928654</v>
      </c>
      <c r="AN93" s="100">
        <f>1/(AL93/$R93/1000)</f>
        <v>3.4401252080751781</v>
      </c>
      <c r="AO93" s="260">
        <v>2204.56</v>
      </c>
      <c r="AP93" s="260">
        <f t="shared" si="37"/>
        <v>2.6638545179893276</v>
      </c>
      <c r="AQ93" s="260">
        <v>1291.23</v>
      </c>
      <c r="AR93" s="260">
        <f t="shared" si="28"/>
        <v>4.5480875724530501</v>
      </c>
      <c r="AS93" s="260"/>
      <c r="AT93" s="260"/>
      <c r="AU93" s="260"/>
      <c r="AV93" s="260"/>
      <c r="AW93" s="260"/>
      <c r="AX93" s="260"/>
    </row>
    <row r="94" spans="1:50" x14ac:dyDescent="0.3">
      <c r="A94" s="11" t="s">
        <v>47</v>
      </c>
      <c r="B94" s="11" t="s">
        <v>471</v>
      </c>
      <c r="C94" s="11"/>
      <c r="D94" s="260">
        <v>2011</v>
      </c>
      <c r="E94" s="18">
        <f t="shared" si="43"/>
        <v>1021.6892510458474</v>
      </c>
      <c r="F94" s="18">
        <v>1200</v>
      </c>
      <c r="G94" s="260">
        <v>5</v>
      </c>
      <c r="H94" s="260">
        <v>5000</v>
      </c>
      <c r="I94" s="260" t="s">
        <v>472</v>
      </c>
      <c r="J94" s="74">
        <v>6</v>
      </c>
      <c r="K94" s="9">
        <f t="shared" si="24"/>
        <v>2.4282000000000001E-2</v>
      </c>
      <c r="L94" s="9">
        <f t="shared" si="38"/>
        <v>2.4281138520000001</v>
      </c>
      <c r="M94" s="1">
        <f t="shared" si="25"/>
        <v>5.8726271161785517</v>
      </c>
      <c r="N94" s="1">
        <f t="shared" si="26"/>
        <v>42.075992547806912</v>
      </c>
      <c r="O94" s="24" t="s">
        <v>598</v>
      </c>
      <c r="P94" s="24"/>
      <c r="Q94" s="24"/>
      <c r="R94" s="24"/>
      <c r="S94" s="24"/>
      <c r="T94" s="260"/>
      <c r="U94" s="11"/>
      <c r="V94" s="11"/>
      <c r="W94" s="260">
        <v>36.477252999999997</v>
      </c>
      <c r="X94" s="260">
        <v>-80.599850000000004</v>
      </c>
      <c r="Y94" s="260" t="s">
        <v>91</v>
      </c>
      <c r="Z94" s="260"/>
      <c r="AA94" s="11"/>
      <c r="AB94" s="15">
        <v>0.14000000000000001</v>
      </c>
      <c r="AC94" s="260" t="s">
        <v>399</v>
      </c>
      <c r="AD94" s="82" t="s">
        <v>469</v>
      </c>
      <c r="AE94" s="260" t="s">
        <v>29</v>
      </c>
      <c r="AF94" s="260" t="s">
        <v>157</v>
      </c>
      <c r="AG94" s="15" t="s">
        <v>385</v>
      </c>
      <c r="AH94" s="260"/>
      <c r="AI94" s="260">
        <v>1</v>
      </c>
      <c r="AJ94" s="260"/>
      <c r="AK94" s="260"/>
      <c r="AL94" s="260">
        <v>1605.87</v>
      </c>
      <c r="AM94" s="98">
        <f t="shared" si="44"/>
        <v>3.6569754190429808</v>
      </c>
      <c r="AO94" s="260">
        <v>2204.41</v>
      </c>
      <c r="AP94" s="260">
        <f t="shared" si="37"/>
        <v>2.6640357810836242</v>
      </c>
      <c r="AQ94" s="260">
        <v>1293.52</v>
      </c>
      <c r="AR94" s="260">
        <f t="shared" si="28"/>
        <v>4.5400358063103408</v>
      </c>
      <c r="AS94" s="260"/>
      <c r="AT94" s="260"/>
      <c r="AU94" s="260"/>
      <c r="AV94" s="260"/>
      <c r="AW94" s="260"/>
      <c r="AX94" s="260"/>
    </row>
    <row r="95" spans="1:50" x14ac:dyDescent="0.3">
      <c r="A95" s="11" t="s">
        <v>26</v>
      </c>
      <c r="B95" s="11" t="s">
        <v>511</v>
      </c>
      <c r="C95" s="11"/>
      <c r="D95" s="260">
        <v>2008</v>
      </c>
      <c r="E95" s="18">
        <f t="shared" si="43"/>
        <v>1064.2596365060911</v>
      </c>
      <c r="F95" s="94">
        <v>1250</v>
      </c>
      <c r="G95" s="260"/>
      <c r="H95" s="260">
        <v>17172</v>
      </c>
      <c r="I95" s="260" t="s">
        <v>170</v>
      </c>
      <c r="J95" s="74">
        <v>8.5</v>
      </c>
      <c r="K95" s="9">
        <f t="shared" si="24"/>
        <v>3.43995E-2</v>
      </c>
      <c r="L95" s="9">
        <f t="shared" si="38"/>
        <v>3.4398279570000003</v>
      </c>
      <c r="M95" s="1">
        <f t="shared" si="25"/>
        <v>7.9867728780028315</v>
      </c>
      <c r="N95" s="1">
        <f t="shared" si="26"/>
        <v>30.938229814563904</v>
      </c>
      <c r="O95" s="11">
        <v>6.9</v>
      </c>
      <c r="P95" s="1">
        <f>O95*0.004047</f>
        <v>2.7924300000000003E-2</v>
      </c>
      <c r="Q95" s="1">
        <f>O95*0.4047</f>
        <v>2.79243</v>
      </c>
      <c r="R95" s="1">
        <f>O95/(E95/1000)</f>
        <v>6.4833803362611224</v>
      </c>
      <c r="S95" s="1">
        <f>E95/1000/P95</f>
        <v>38.112312090404806</v>
      </c>
      <c r="T95" s="260">
        <v>0.41635</v>
      </c>
      <c r="U95" s="1">
        <f>1/T95</f>
        <v>2.4018253872943438</v>
      </c>
      <c r="V95" s="1">
        <f>T95*R95</f>
        <v>2.6993554030023184</v>
      </c>
      <c r="W95" s="260">
        <v>38.449382999999997</v>
      </c>
      <c r="X95" s="260">
        <v>-121.16465700000001</v>
      </c>
      <c r="Y95" s="260" t="s">
        <v>91</v>
      </c>
      <c r="Z95" s="260"/>
      <c r="AA95" s="11"/>
      <c r="AB95" s="15">
        <v>0.107</v>
      </c>
      <c r="AC95" s="11" t="s">
        <v>366</v>
      </c>
      <c r="AD95" s="260" t="s">
        <v>146</v>
      </c>
      <c r="AE95" s="260" t="s">
        <v>29</v>
      </c>
      <c r="AF95" s="260" t="s">
        <v>475</v>
      </c>
      <c r="AG95" s="15" t="s">
        <v>385</v>
      </c>
      <c r="AH95" s="260"/>
      <c r="AI95" s="260">
        <v>1</v>
      </c>
      <c r="AJ95" s="260"/>
      <c r="AK95" s="260">
        <v>1510</v>
      </c>
      <c r="AL95" s="260">
        <v>1809.72</v>
      </c>
      <c r="AM95" s="98">
        <f t="shared" si="44"/>
        <v>4.4132644154912537</v>
      </c>
      <c r="AN95" s="100">
        <f>1/(AL95/$R95/1000)</f>
        <v>3.5825322902223116</v>
      </c>
      <c r="AO95" s="260">
        <v>2204.56</v>
      </c>
      <c r="AP95" s="260">
        <f t="shared" si="37"/>
        <v>3.6228421444654861</v>
      </c>
      <c r="AQ95" s="260">
        <v>1291.23</v>
      </c>
      <c r="AR95" s="260">
        <f t="shared" si="28"/>
        <v>6.1853990985361493</v>
      </c>
      <c r="AS95" s="260"/>
      <c r="AT95" s="260"/>
      <c r="AU95" s="260"/>
      <c r="AV95" s="260"/>
      <c r="AW95" s="260"/>
      <c r="AX95" s="260"/>
    </row>
    <row r="96" spans="1:50" x14ac:dyDescent="0.3">
      <c r="A96" s="11" t="s">
        <v>26</v>
      </c>
      <c r="B96" s="11" t="s">
        <v>542</v>
      </c>
      <c r="C96" s="11"/>
      <c r="D96" s="260">
        <v>2003</v>
      </c>
      <c r="E96" s="18">
        <f t="shared" si="43"/>
        <v>1099.1673525834908</v>
      </c>
      <c r="F96" s="75">
        <v>1291</v>
      </c>
      <c r="G96" s="260"/>
      <c r="H96" s="260">
        <v>8000</v>
      </c>
      <c r="I96" s="260" t="s">
        <v>364</v>
      </c>
      <c r="J96" s="74">
        <v>9</v>
      </c>
      <c r="K96" s="9">
        <f t="shared" si="24"/>
        <v>3.6423000000000004E-2</v>
      </c>
      <c r="L96" s="9">
        <f t="shared" si="38"/>
        <v>3.6421707780000001</v>
      </c>
      <c r="M96" s="1">
        <f t="shared" si="25"/>
        <v>8.1880161186068126</v>
      </c>
      <c r="N96" s="1">
        <f t="shared" si="26"/>
        <v>30.177836877343733</v>
      </c>
      <c r="O96" s="11">
        <v>6</v>
      </c>
      <c r="P96" s="25">
        <f>O96*0.004047</f>
        <v>2.4282000000000001E-2</v>
      </c>
      <c r="Q96" s="1">
        <f>O96*0.4047</f>
        <v>2.4281999999999999</v>
      </c>
      <c r="R96" s="1">
        <f>O96/(E96/1000)</f>
        <v>5.4586774124045414</v>
      </c>
      <c r="S96" s="1">
        <f>E96/1000/P96</f>
        <v>45.266755316015598</v>
      </c>
      <c r="T96" s="260">
        <v>0.48630000000000001</v>
      </c>
      <c r="U96" s="1">
        <f>1/T96</f>
        <v>2.056343820686819</v>
      </c>
      <c r="V96" s="1">
        <f>T96*R96</f>
        <v>2.6545548256523284</v>
      </c>
      <c r="W96" s="260">
        <v>34.238880000000002</v>
      </c>
      <c r="X96" s="260">
        <v>-116.05292</v>
      </c>
      <c r="Y96" s="260" t="s">
        <v>91</v>
      </c>
      <c r="Z96" s="260" t="s">
        <v>543</v>
      </c>
      <c r="AA96" s="11" t="s">
        <v>106</v>
      </c>
      <c r="AB96" s="15"/>
      <c r="AC96" s="11"/>
      <c r="AD96" s="260"/>
      <c r="AE96" s="260" t="s">
        <v>29</v>
      </c>
      <c r="AF96" s="260" t="s">
        <v>475</v>
      </c>
      <c r="AG96" s="15" t="s">
        <v>385</v>
      </c>
      <c r="AH96" s="260"/>
      <c r="AI96" s="260">
        <v>1</v>
      </c>
      <c r="AJ96" s="260"/>
      <c r="AK96" s="260"/>
      <c r="AL96" s="260">
        <v>2147.52</v>
      </c>
      <c r="AM96" s="98">
        <f t="shared" si="44"/>
        <v>3.8127775846589613</v>
      </c>
      <c r="AN96" s="100">
        <f>1/(AL96/$R96/1000)</f>
        <v>2.5418517231059741</v>
      </c>
      <c r="AO96" s="260">
        <v>2202.16</v>
      </c>
      <c r="AP96" s="260">
        <f t="shared" si="37"/>
        <v>3.7181749367016081</v>
      </c>
      <c r="AQ96" s="260">
        <v>1294.43</v>
      </c>
      <c r="AR96" s="260">
        <f t="shared" si="28"/>
        <v>6.3255766002076683</v>
      </c>
      <c r="AS96" s="260"/>
      <c r="AT96" s="260"/>
      <c r="AU96" s="260"/>
      <c r="AV96" s="260"/>
      <c r="AW96" s="260"/>
      <c r="AX96" s="260"/>
    </row>
    <row r="97" spans="1:50" x14ac:dyDescent="0.3">
      <c r="A97" s="11" t="s">
        <v>171</v>
      </c>
      <c r="B97" s="11" t="s">
        <v>437</v>
      </c>
      <c r="C97" s="11"/>
      <c r="D97" s="260">
        <v>2012</v>
      </c>
      <c r="E97" s="18">
        <f t="shared" si="43"/>
        <v>1106.8300219663347</v>
      </c>
      <c r="F97" s="18">
        <v>1300</v>
      </c>
      <c r="G97" s="260"/>
      <c r="H97" s="260">
        <v>5496</v>
      </c>
      <c r="I97" s="260" t="s">
        <v>438</v>
      </c>
      <c r="J97" s="74">
        <v>5.5</v>
      </c>
      <c r="K97" s="9">
        <f t="shared" si="24"/>
        <v>2.2258500000000001E-2</v>
      </c>
      <c r="L97" s="9">
        <f t="shared" si="38"/>
        <v>2.2257710309999998</v>
      </c>
      <c r="M97" s="1">
        <f t="shared" si="25"/>
        <v>4.9691460213818521</v>
      </c>
      <c r="N97" s="1">
        <f t="shared" si="26"/>
        <v>49.72617301104453</v>
      </c>
      <c r="O97" s="260">
        <v>4.5</v>
      </c>
      <c r="P97" s="1">
        <f>O97*0.004047</f>
        <v>1.8211500000000002E-2</v>
      </c>
      <c r="Q97" s="1">
        <f>O97*0.4047</f>
        <v>1.82115</v>
      </c>
      <c r="R97" s="1">
        <f>O97/(E97/1000)</f>
        <v>4.0656649265851517</v>
      </c>
      <c r="S97" s="1">
        <f>E97/1000/P97</f>
        <v>60.776433680165532</v>
      </c>
      <c r="T97" s="260"/>
      <c r="U97" s="260"/>
      <c r="V97" s="260"/>
      <c r="W97" s="260">
        <v>40.168640000000003</v>
      </c>
      <c r="X97" s="260">
        <v>-74.753636999999998</v>
      </c>
      <c r="Y97" s="260" t="s">
        <v>91</v>
      </c>
      <c r="Z97" s="260"/>
      <c r="AA97" s="11" t="s">
        <v>95</v>
      </c>
      <c r="AB97" s="111"/>
      <c r="AC97" s="260"/>
      <c r="AD97" s="260"/>
      <c r="AE97" s="260" t="s">
        <v>29</v>
      </c>
      <c r="AF97" s="260" t="s">
        <v>157</v>
      </c>
      <c r="AG97" s="15" t="s">
        <v>444</v>
      </c>
      <c r="AH97" s="260"/>
      <c r="AI97" s="260">
        <v>1</v>
      </c>
      <c r="AJ97" s="260"/>
      <c r="AK97" s="260"/>
      <c r="AL97" s="260">
        <v>1574.33</v>
      </c>
      <c r="AM97" s="98">
        <f t="shared" si="44"/>
        <v>3.1563560507529247</v>
      </c>
      <c r="AN97" s="100">
        <f>1/(AL97/$R97/1000)</f>
        <v>2.5824731324342109</v>
      </c>
      <c r="AO97" s="260">
        <v>2202.77</v>
      </c>
      <c r="AP97" s="260">
        <f t="shared" si="37"/>
        <v>2.2558624011503028</v>
      </c>
      <c r="AQ97" s="260">
        <v>1287.79</v>
      </c>
      <c r="AR97" s="260">
        <f t="shared" si="28"/>
        <v>3.8586617549304254</v>
      </c>
      <c r="AS97" s="260"/>
      <c r="AT97" s="260"/>
      <c r="AU97" s="260"/>
      <c r="AV97" s="260"/>
      <c r="AW97" s="260"/>
      <c r="AX97" s="260"/>
    </row>
    <row r="98" spans="1:50" x14ac:dyDescent="0.3">
      <c r="A98" s="11" t="s">
        <v>47</v>
      </c>
      <c r="B98" s="11" t="s">
        <v>498</v>
      </c>
      <c r="C98" s="11"/>
      <c r="D98" s="260">
        <v>2011</v>
      </c>
      <c r="E98" s="18">
        <f t="shared" si="43"/>
        <v>1111.0870605123591</v>
      </c>
      <c r="F98" s="18">
        <v>1305</v>
      </c>
      <c r="G98" s="260">
        <v>4.3</v>
      </c>
      <c r="H98" s="260">
        <v>4600</v>
      </c>
      <c r="I98" s="260" t="s">
        <v>499</v>
      </c>
      <c r="J98" s="74">
        <v>10</v>
      </c>
      <c r="K98" s="9">
        <f t="shared" si="24"/>
        <v>4.0470000000000006E-2</v>
      </c>
      <c r="L98" s="9">
        <f t="shared" si="38"/>
        <v>4.0468564200000001</v>
      </c>
      <c r="M98" s="1">
        <f t="shared" si="25"/>
        <v>9.0001948140667469</v>
      </c>
      <c r="N98" s="1">
        <f t="shared" si="26"/>
        <v>27.454585137444006</v>
      </c>
      <c r="O98" s="24" t="s">
        <v>598</v>
      </c>
      <c r="P98" s="88"/>
      <c r="Q98" s="88"/>
      <c r="R98" s="88"/>
      <c r="S98" s="88"/>
      <c r="T98" s="260"/>
      <c r="U98" s="11"/>
      <c r="V98" s="11"/>
      <c r="W98" s="260">
        <v>35.720629000000002</v>
      </c>
      <c r="X98" s="260">
        <v>-78.486500000000007</v>
      </c>
      <c r="Y98" s="260" t="s">
        <v>91</v>
      </c>
      <c r="Z98" s="260"/>
      <c r="AA98" s="11"/>
      <c r="AB98" s="15">
        <v>0.14399999999999999</v>
      </c>
      <c r="AC98" s="260" t="s">
        <v>399</v>
      </c>
      <c r="AD98" s="260" t="s">
        <v>500</v>
      </c>
      <c r="AE98" s="260" t="s">
        <v>29</v>
      </c>
      <c r="AF98" s="260" t="s">
        <v>157</v>
      </c>
      <c r="AG98" s="15" t="s">
        <v>385</v>
      </c>
      <c r="AH98" s="260"/>
      <c r="AI98" s="260">
        <v>1</v>
      </c>
      <c r="AJ98" s="260"/>
      <c r="AK98" s="260"/>
      <c r="AL98" s="260">
        <v>1648.64</v>
      </c>
      <c r="AM98" s="98">
        <f t="shared" si="44"/>
        <v>5.4591631975851289</v>
      </c>
      <c r="AO98" s="260">
        <v>2203.56</v>
      </c>
      <c r="AP98" s="260">
        <f t="shared" si="37"/>
        <v>4.0843883597754305</v>
      </c>
      <c r="AQ98" s="260">
        <v>1294.1400000000001</v>
      </c>
      <c r="AR98" s="260">
        <f t="shared" si="28"/>
        <v>6.954575868195672</v>
      </c>
      <c r="AS98" s="260"/>
      <c r="AT98" s="260"/>
      <c r="AU98" s="260"/>
      <c r="AV98" s="260"/>
      <c r="AW98" s="260"/>
      <c r="AX98" s="260"/>
    </row>
    <row r="99" spans="1:50" x14ac:dyDescent="0.3">
      <c r="A99" s="11" t="s">
        <v>26</v>
      </c>
      <c r="B99" s="11" t="s">
        <v>513</v>
      </c>
      <c r="C99" s="11"/>
      <c r="D99" s="260">
        <v>2011</v>
      </c>
      <c r="E99" s="42">
        <v>1200</v>
      </c>
      <c r="F99" s="75">
        <v>1400</v>
      </c>
      <c r="G99" s="260"/>
      <c r="H99" s="260">
        <v>6300</v>
      </c>
      <c r="I99" s="260" t="s">
        <v>514</v>
      </c>
      <c r="J99" s="74">
        <v>8.19</v>
      </c>
      <c r="K99" s="9">
        <f t="shared" ref="K99:K130" si="45">J99*0.004047</f>
        <v>3.3144930000000003E-2</v>
      </c>
      <c r="L99" s="9">
        <f t="shared" si="38"/>
        <v>3.3143754079800001</v>
      </c>
      <c r="M99" s="1">
        <f t="shared" ref="M99:M130" si="46">J99/(E99/1000)</f>
        <v>6.8250000000000002</v>
      </c>
      <c r="N99" s="1">
        <f t="shared" ref="N99:N130" si="47">E99/1000/K99</f>
        <v>36.204632201667039</v>
      </c>
      <c r="O99" s="11">
        <v>4.7846000000000002</v>
      </c>
      <c r="P99" s="1">
        <f>O99*0.004047</f>
        <v>1.9363276200000001E-2</v>
      </c>
      <c r="Q99" s="1">
        <f>O99*0.4047</f>
        <v>1.9363276200000001</v>
      </c>
      <c r="R99" s="1">
        <f>O99/(E99/1000)</f>
        <v>3.987166666666667</v>
      </c>
      <c r="S99" s="1">
        <f>E99/1000/P99</f>
        <v>61.972983683411996</v>
      </c>
      <c r="T99" s="260"/>
      <c r="U99" s="11"/>
      <c r="V99" s="11"/>
      <c r="W99" s="260">
        <v>33.234802000000002</v>
      </c>
      <c r="X99" s="260">
        <v>-117.38078400000001</v>
      </c>
      <c r="Y99" s="260" t="s">
        <v>91</v>
      </c>
      <c r="Z99" s="260"/>
      <c r="AA99" s="11"/>
      <c r="AB99" s="15">
        <v>0.14199999999999999</v>
      </c>
      <c r="AC99" s="11" t="s">
        <v>399</v>
      </c>
      <c r="AD99" s="260" t="s">
        <v>512</v>
      </c>
      <c r="AE99" s="260" t="s">
        <v>29</v>
      </c>
      <c r="AF99" s="260" t="s">
        <v>157</v>
      </c>
      <c r="AG99" s="15" t="s">
        <v>380</v>
      </c>
      <c r="AH99" s="260"/>
      <c r="AI99" s="260">
        <v>1</v>
      </c>
      <c r="AJ99" s="260"/>
      <c r="AK99" s="260"/>
      <c r="AL99" s="260">
        <v>1910.06</v>
      </c>
      <c r="AM99" s="98">
        <f t="shared" si="44"/>
        <v>3.5731861826330067</v>
      </c>
      <c r="AN99" s="100">
        <f>1/(AL99/$R99/1000)</f>
        <v>2.0874562404671408</v>
      </c>
      <c r="AO99" s="260">
        <v>2200.2399999999998</v>
      </c>
      <c r="AP99" s="260">
        <f t="shared" si="37"/>
        <v>3.101934334436244</v>
      </c>
      <c r="AQ99" s="260">
        <v>1294.68</v>
      </c>
      <c r="AR99" s="260">
        <f t="shared" ref="AR99:AR105" si="48">1/(AQ99/$M99/1000)</f>
        <v>5.2715728983223658</v>
      </c>
      <c r="AS99" s="260"/>
      <c r="AT99" s="260"/>
      <c r="AU99" s="260"/>
      <c r="AV99" s="260"/>
      <c r="AW99" s="260"/>
      <c r="AX99" s="260"/>
    </row>
    <row r="100" spans="1:50" x14ac:dyDescent="0.3">
      <c r="A100" s="11" t="s">
        <v>3</v>
      </c>
      <c r="B100" s="11" t="s">
        <v>143</v>
      </c>
      <c r="C100" s="11"/>
      <c r="D100" s="260">
        <v>2009</v>
      </c>
      <c r="E100" s="18">
        <f t="shared" ref="E100:E107" si="49">F100*$A$292</f>
        <v>1362.2523347277966</v>
      </c>
      <c r="F100" s="18">
        <v>1600</v>
      </c>
      <c r="G100" s="260">
        <v>7</v>
      </c>
      <c r="H100" s="260">
        <v>7392</v>
      </c>
      <c r="I100" s="260"/>
      <c r="J100" s="260">
        <v>9</v>
      </c>
      <c r="K100" s="9">
        <f t="shared" si="45"/>
        <v>3.6423000000000004E-2</v>
      </c>
      <c r="L100" s="9">
        <f t="shared" si="38"/>
        <v>3.6421707780000001</v>
      </c>
      <c r="M100" s="1">
        <f t="shared" si="46"/>
        <v>6.6067055057008712</v>
      </c>
      <c r="N100" s="1">
        <f t="shared" si="47"/>
        <v>37.400882264717254</v>
      </c>
      <c r="O100" s="11">
        <v>7.1</v>
      </c>
      <c r="P100" s="25">
        <f>O100*0.004047</f>
        <v>2.8733700000000001E-2</v>
      </c>
      <c r="Q100" s="1">
        <f>O100*0.404685642</f>
        <v>2.8732680581999999</v>
      </c>
      <c r="R100" s="1">
        <f>O100/(E100/1000)</f>
        <v>5.2119565656084648</v>
      </c>
      <c r="S100" s="1">
        <f>E100/1000/P100</f>
        <v>47.409569067951452</v>
      </c>
      <c r="T100" s="260">
        <v>0.43</v>
      </c>
      <c r="U100" s="1">
        <f>1/T100</f>
        <v>2.3255813953488373</v>
      </c>
      <c r="V100" s="1">
        <f>T100*R100</f>
        <v>2.2411413232116399</v>
      </c>
      <c r="W100" s="260">
        <v>39.900089999999999</v>
      </c>
      <c r="X100" s="260">
        <v>-104.673615</v>
      </c>
      <c r="Y100" s="260" t="s">
        <v>91</v>
      </c>
      <c r="Z100" s="260"/>
      <c r="AA100" s="260" t="s">
        <v>95</v>
      </c>
      <c r="AB100" s="15"/>
      <c r="AC100" s="15"/>
      <c r="AD100" s="15"/>
      <c r="AE100" s="260" t="s">
        <v>29</v>
      </c>
      <c r="AF100" s="260" t="s">
        <v>110</v>
      </c>
      <c r="AG100" s="15" t="s">
        <v>252</v>
      </c>
      <c r="AH100" s="260"/>
      <c r="AI100" s="260">
        <v>1</v>
      </c>
      <c r="AJ100" s="260"/>
      <c r="AK100" s="260"/>
      <c r="AL100" s="260">
        <v>1928.56</v>
      </c>
      <c r="AM100" s="98">
        <f t="shared" si="44"/>
        <v>3.4257194516638698</v>
      </c>
      <c r="AN100" s="100">
        <f>1/(AL100/$R100/1000)</f>
        <v>2.7025120118681634</v>
      </c>
      <c r="AO100" s="260">
        <v>2203.89</v>
      </c>
      <c r="AP100" s="260">
        <f t="shared" si="37"/>
        <v>2.9977473946979529</v>
      </c>
      <c r="AQ100" s="260">
        <v>1289.6600000000001</v>
      </c>
      <c r="AR100" s="260">
        <f t="shared" si="48"/>
        <v>5.1228273387566272</v>
      </c>
      <c r="AS100" s="260"/>
      <c r="AT100" s="260"/>
      <c r="AU100" s="260"/>
      <c r="AV100" s="260"/>
      <c r="AW100" s="260"/>
      <c r="AX100" s="260"/>
    </row>
    <row r="101" spans="1:50" x14ac:dyDescent="0.3">
      <c r="A101" s="11" t="s">
        <v>557</v>
      </c>
      <c r="B101" s="11" t="s">
        <v>556</v>
      </c>
      <c r="C101" s="11"/>
      <c r="D101" s="260">
        <v>2011</v>
      </c>
      <c r="E101" s="18">
        <f t="shared" si="49"/>
        <v>1413.3367972800888</v>
      </c>
      <c r="F101" s="75">
        <v>1660</v>
      </c>
      <c r="G101" s="260"/>
      <c r="H101" s="260">
        <v>8316</v>
      </c>
      <c r="I101" s="260" t="s">
        <v>170</v>
      </c>
      <c r="J101" s="74">
        <v>11.9</v>
      </c>
      <c r="K101" s="9">
        <f t="shared" si="45"/>
        <v>4.8159300000000002E-2</v>
      </c>
      <c r="L101" s="9">
        <f t="shared" si="38"/>
        <v>4.8157591397999999</v>
      </c>
      <c r="M101" s="1">
        <f t="shared" si="46"/>
        <v>8.4197906846415407</v>
      </c>
      <c r="N101" s="1">
        <f t="shared" si="47"/>
        <v>29.347120852672042</v>
      </c>
      <c r="O101" s="24" t="s">
        <v>598</v>
      </c>
      <c r="P101" s="88"/>
      <c r="Q101" s="88"/>
      <c r="R101" s="88"/>
      <c r="S101" s="88"/>
      <c r="T101" s="260"/>
      <c r="U101" s="11"/>
      <c r="V101" s="11"/>
      <c r="W101" s="260">
        <v>45.110570000000003</v>
      </c>
      <c r="X101" s="260">
        <v>-123.2795</v>
      </c>
      <c r="Y101" s="260" t="s">
        <v>91</v>
      </c>
      <c r="Z101" s="260"/>
      <c r="AA101" s="11"/>
      <c r="AB101" s="15">
        <v>9.9900000000000003E-2</v>
      </c>
      <c r="AC101" s="11" t="s">
        <v>554</v>
      </c>
      <c r="AD101" s="260" t="s">
        <v>555</v>
      </c>
      <c r="AE101" s="260" t="s">
        <v>29</v>
      </c>
      <c r="AF101" s="260" t="s">
        <v>475</v>
      </c>
      <c r="AG101" s="15" t="s">
        <v>385</v>
      </c>
      <c r="AH101" s="260"/>
      <c r="AI101" s="260">
        <v>1</v>
      </c>
      <c r="AJ101" s="260"/>
      <c r="AK101" s="260"/>
      <c r="AL101" s="260">
        <v>1460.8</v>
      </c>
      <c r="AM101" s="98">
        <f t="shared" si="44"/>
        <v>5.7638216625421288</v>
      </c>
      <c r="AO101" s="260">
        <v>2189.3200000000002</v>
      </c>
      <c r="AP101" s="260">
        <f t="shared" si="37"/>
        <v>3.8458474250641932</v>
      </c>
      <c r="AQ101" s="260">
        <v>1273.96</v>
      </c>
      <c r="AR101" s="260">
        <f t="shared" si="48"/>
        <v>6.609148391347877</v>
      </c>
      <c r="AS101" s="260"/>
      <c r="AT101" s="260"/>
      <c r="AU101" s="260"/>
      <c r="AV101" s="260"/>
      <c r="AW101" s="260"/>
      <c r="AX101" s="260"/>
    </row>
    <row r="102" spans="1:50" x14ac:dyDescent="0.3">
      <c r="A102" s="11" t="s">
        <v>491</v>
      </c>
      <c r="B102" s="11" t="s">
        <v>488</v>
      </c>
      <c r="C102" s="11"/>
      <c r="D102" s="260">
        <v>2010</v>
      </c>
      <c r="E102" s="18">
        <f t="shared" si="49"/>
        <v>1575.1042620290148</v>
      </c>
      <c r="F102" s="94">
        <v>1850</v>
      </c>
      <c r="G102" s="260">
        <v>9.5</v>
      </c>
      <c r="H102" s="260">
        <v>6534</v>
      </c>
      <c r="I102" s="260" t="s">
        <v>489</v>
      </c>
      <c r="J102" s="74">
        <v>9.25</v>
      </c>
      <c r="K102" s="9">
        <f t="shared" si="45"/>
        <v>3.7434750000000003E-2</v>
      </c>
      <c r="L102" s="9">
        <f t="shared" si="38"/>
        <v>3.7433421885000002</v>
      </c>
      <c r="M102" s="1">
        <f t="shared" si="46"/>
        <v>5.8726271161785526</v>
      </c>
      <c r="N102" s="1">
        <f t="shared" si="47"/>
        <v>42.075992547806905</v>
      </c>
      <c r="O102" s="11">
        <v>6.2</v>
      </c>
      <c r="P102" s="1">
        <f t="shared" ref="P102:P111" si="50">O102*0.004047</f>
        <v>2.5091400000000003E-2</v>
      </c>
      <c r="Q102" s="1">
        <f t="shared" ref="Q102:Q111" si="51">O102*0.4047</f>
        <v>2.5091399999999999</v>
      </c>
      <c r="R102" s="1">
        <f t="shared" ref="R102:R111" si="52">O102/(E102/1000)</f>
        <v>3.9362473643575164</v>
      </c>
      <c r="S102" s="1">
        <f t="shared" ref="S102:S111" si="53">E102/1000/P102</f>
        <v>62.774666301163528</v>
      </c>
      <c r="T102" s="260">
        <v>0.62</v>
      </c>
      <c r="U102" s="1">
        <f>1/T102</f>
        <v>1.6129032258064517</v>
      </c>
      <c r="V102" s="1">
        <f>T102*R102</f>
        <v>2.44047336590166</v>
      </c>
      <c r="W102" s="260">
        <v>42.452694000000001</v>
      </c>
      <c r="X102" s="260">
        <v>-73.240791000000002</v>
      </c>
      <c r="Y102" s="260" t="s">
        <v>91</v>
      </c>
      <c r="Z102" s="260"/>
      <c r="AA102" s="11" t="s">
        <v>95</v>
      </c>
      <c r="AB102" s="15">
        <v>0.14399999999999999</v>
      </c>
      <c r="AC102" s="260" t="s">
        <v>399</v>
      </c>
      <c r="AD102" s="260" t="s">
        <v>492</v>
      </c>
      <c r="AE102" s="260" t="s">
        <v>29</v>
      </c>
      <c r="AF102" s="260" t="s">
        <v>493</v>
      </c>
      <c r="AG102" s="15" t="s">
        <v>494</v>
      </c>
      <c r="AH102" s="260"/>
      <c r="AI102" s="260">
        <v>1</v>
      </c>
      <c r="AJ102" s="260">
        <v>70</v>
      </c>
      <c r="AK102" s="260"/>
      <c r="AL102" s="260">
        <v>1502.46</v>
      </c>
      <c r="AM102" s="98">
        <f t="shared" si="44"/>
        <v>3.9086745179096631</v>
      </c>
      <c r="AN102" s="100">
        <f>1/(AL102/$R102/1000)</f>
        <v>2.6198683255178281</v>
      </c>
      <c r="AO102" s="260">
        <v>2198.92</v>
      </c>
      <c r="AP102" s="260">
        <f t="shared" si="37"/>
        <v>2.6706870264395941</v>
      </c>
      <c r="AQ102" s="260">
        <v>1283.1600000000001</v>
      </c>
      <c r="AR102" s="260">
        <f t="shared" si="48"/>
        <v>4.5766912280452567</v>
      </c>
      <c r="AS102" s="260"/>
      <c r="AT102" s="260"/>
      <c r="AU102" s="260"/>
      <c r="AV102" s="260"/>
      <c r="AW102" s="260"/>
      <c r="AX102" s="260"/>
    </row>
    <row r="103" spans="1:50" x14ac:dyDescent="0.3">
      <c r="A103" s="11" t="s">
        <v>3</v>
      </c>
      <c r="B103" s="260" t="s">
        <v>145</v>
      </c>
      <c r="C103" s="260"/>
      <c r="D103" s="260">
        <v>2008</v>
      </c>
      <c r="E103" s="18">
        <f t="shared" si="49"/>
        <v>1702.8154184097457</v>
      </c>
      <c r="F103" s="18">
        <v>2000</v>
      </c>
      <c r="G103" s="260">
        <v>13</v>
      </c>
      <c r="H103" s="260">
        <v>27588</v>
      </c>
      <c r="I103" s="260"/>
      <c r="J103" s="260">
        <v>12.5</v>
      </c>
      <c r="K103" s="9">
        <f t="shared" si="45"/>
        <v>5.0587500000000001E-2</v>
      </c>
      <c r="L103" s="9">
        <f t="shared" si="38"/>
        <v>5.0585705250000004</v>
      </c>
      <c r="M103" s="1">
        <f t="shared" si="46"/>
        <v>7.3407838952231907</v>
      </c>
      <c r="N103" s="1">
        <f t="shared" si="47"/>
        <v>33.660794038245527</v>
      </c>
      <c r="O103" s="260">
        <v>10.7</v>
      </c>
      <c r="P103" s="1">
        <f t="shared" si="50"/>
        <v>4.3302899999999998E-2</v>
      </c>
      <c r="Q103" s="1">
        <f t="shared" si="51"/>
        <v>4.3302899999999998</v>
      </c>
      <c r="R103" s="1">
        <f t="shared" si="52"/>
        <v>6.2837110143110504</v>
      </c>
      <c r="S103" s="1">
        <f t="shared" si="53"/>
        <v>39.323357521314875</v>
      </c>
      <c r="T103" s="260">
        <v>0.56999999999999995</v>
      </c>
      <c r="U103" s="1">
        <f>1/T103</f>
        <v>1.7543859649122808</v>
      </c>
      <c r="V103" s="1">
        <f>T103*R103</f>
        <v>3.5817152781572985</v>
      </c>
      <c r="W103" s="260">
        <v>38.722852000000003</v>
      </c>
      <c r="X103" s="260">
        <v>-104.78174</v>
      </c>
      <c r="Y103" s="260" t="s">
        <v>91</v>
      </c>
      <c r="Z103" s="260"/>
      <c r="AA103" s="260" t="s">
        <v>95</v>
      </c>
      <c r="AB103" s="15">
        <v>0.1069</v>
      </c>
      <c r="AC103" s="15" t="s">
        <v>366</v>
      </c>
      <c r="AD103" s="15" t="s">
        <v>367</v>
      </c>
      <c r="AE103" s="260" t="s">
        <v>29</v>
      </c>
      <c r="AF103" s="260" t="s">
        <v>110</v>
      </c>
      <c r="AG103" s="15" t="s">
        <v>252</v>
      </c>
      <c r="AH103" s="260"/>
      <c r="AI103" s="260">
        <v>1</v>
      </c>
      <c r="AJ103" s="260"/>
      <c r="AK103" s="260">
        <v>1648</v>
      </c>
      <c r="AL103" s="260">
        <v>1974.02</v>
      </c>
      <c r="AM103" s="98">
        <f t="shared" si="44"/>
        <v>3.718697832455188</v>
      </c>
      <c r="AN103" s="100">
        <f>1/(AL103/$R103/1000)</f>
        <v>3.1832053445816406</v>
      </c>
      <c r="AO103" s="260">
        <v>2204.56</v>
      </c>
      <c r="AP103" s="260">
        <f t="shared" si="37"/>
        <v>3.3298181474866602</v>
      </c>
      <c r="AQ103" s="260">
        <v>1291.23</v>
      </c>
      <c r="AR103" s="260">
        <f t="shared" si="48"/>
        <v>5.6851094655663124</v>
      </c>
      <c r="AS103" s="260"/>
      <c r="AT103" s="260"/>
      <c r="AU103" s="260"/>
      <c r="AV103" s="260"/>
      <c r="AW103" s="260"/>
      <c r="AX103" s="260"/>
    </row>
    <row r="104" spans="1:50" x14ac:dyDescent="0.3">
      <c r="A104" s="11" t="s">
        <v>491</v>
      </c>
      <c r="B104" s="11" t="s">
        <v>523</v>
      </c>
      <c r="C104" s="11"/>
      <c r="D104" s="260">
        <v>2011</v>
      </c>
      <c r="E104" s="18">
        <f t="shared" si="49"/>
        <v>1702.8154184097457</v>
      </c>
      <c r="F104" s="75">
        <v>2000</v>
      </c>
      <c r="G104" s="260"/>
      <c r="H104" s="260">
        <v>8332</v>
      </c>
      <c r="I104" s="260" t="s">
        <v>524</v>
      </c>
      <c r="J104" s="74">
        <v>9.17</v>
      </c>
      <c r="K104" s="9">
        <f t="shared" si="45"/>
        <v>3.7110990000000003E-2</v>
      </c>
      <c r="L104" s="9">
        <f t="shared" si="38"/>
        <v>3.71096733714</v>
      </c>
      <c r="M104" s="1">
        <f t="shared" si="46"/>
        <v>5.3851990655357325</v>
      </c>
      <c r="N104" s="1">
        <f t="shared" si="47"/>
        <v>45.884397543955188</v>
      </c>
      <c r="O104" s="11">
        <v>8</v>
      </c>
      <c r="P104" s="1">
        <f t="shared" si="50"/>
        <v>3.2376000000000002E-2</v>
      </c>
      <c r="Q104" s="1">
        <f t="shared" si="51"/>
        <v>3.2376</v>
      </c>
      <c r="R104" s="1">
        <f t="shared" si="52"/>
        <v>4.6981016929428421</v>
      </c>
      <c r="S104" s="1">
        <f t="shared" si="53"/>
        <v>52.594990684758635</v>
      </c>
      <c r="T104" s="260">
        <v>0.40860000000000002</v>
      </c>
      <c r="U104" s="1">
        <f>1/T104</f>
        <v>2.4473813020068524</v>
      </c>
      <c r="V104" s="1">
        <f>T104*R104</f>
        <v>1.9196443517364454</v>
      </c>
      <c r="W104" s="260">
        <v>42.114750000000001</v>
      </c>
      <c r="X104" s="260">
        <v>-73.405109999999993</v>
      </c>
      <c r="Y104" s="260" t="s">
        <v>91</v>
      </c>
      <c r="Z104" s="260"/>
      <c r="AA104" s="11" t="s">
        <v>95</v>
      </c>
      <c r="AB104" s="15">
        <v>0.14499999999999999</v>
      </c>
      <c r="AC104" s="11" t="s">
        <v>391</v>
      </c>
      <c r="AD104" s="260" t="s">
        <v>525</v>
      </c>
      <c r="AE104" s="260" t="s">
        <v>29</v>
      </c>
      <c r="AF104" s="260" t="s">
        <v>157</v>
      </c>
      <c r="AG104" s="15" t="s">
        <v>385</v>
      </c>
      <c r="AH104" s="260"/>
      <c r="AI104" s="260">
        <v>1</v>
      </c>
      <c r="AJ104" s="260"/>
      <c r="AK104" s="260"/>
      <c r="AL104" s="260">
        <v>1512.98</v>
      </c>
      <c r="AM104" s="98">
        <f t="shared" si="44"/>
        <v>3.5593326187627934</v>
      </c>
      <c r="AN104" s="100">
        <f>1/(AL104/$R104/1000)</f>
        <v>3.1051974863797551</v>
      </c>
      <c r="AO104" s="260">
        <v>2198.92</v>
      </c>
      <c r="AP104" s="260">
        <f t="shared" si="37"/>
        <v>2.4490200032451077</v>
      </c>
      <c r="AQ104" s="260">
        <v>1283.1600000000001</v>
      </c>
      <c r="AR104" s="260">
        <f t="shared" si="48"/>
        <v>4.1968258561175009</v>
      </c>
      <c r="AS104" s="260"/>
      <c r="AT104" s="260"/>
      <c r="AU104" s="260"/>
      <c r="AV104" s="260"/>
      <c r="AW104" s="260"/>
      <c r="AX104" s="260"/>
    </row>
    <row r="105" spans="1:50" x14ac:dyDescent="0.3">
      <c r="A105" s="11" t="s">
        <v>160</v>
      </c>
      <c r="B105" s="11" t="s">
        <v>383</v>
      </c>
      <c r="C105" s="11"/>
      <c r="D105" s="260">
        <v>2011</v>
      </c>
      <c r="E105" s="18">
        <f t="shared" si="49"/>
        <v>1702.8154184097457</v>
      </c>
      <c r="F105" s="18">
        <v>2000</v>
      </c>
      <c r="G105" s="260"/>
      <c r="H105" s="260">
        <v>30000</v>
      </c>
      <c r="I105" s="260" t="s">
        <v>428</v>
      </c>
      <c r="J105" s="74">
        <v>18.5</v>
      </c>
      <c r="K105" s="9">
        <f t="shared" si="45"/>
        <v>7.4869500000000005E-2</v>
      </c>
      <c r="L105" s="9">
        <f t="shared" si="38"/>
        <v>7.4866843770000004</v>
      </c>
      <c r="M105" s="1">
        <f t="shared" si="46"/>
        <v>10.864360164930321</v>
      </c>
      <c r="N105" s="1">
        <f t="shared" si="47"/>
        <v>22.743779755571303</v>
      </c>
      <c r="O105" s="260">
        <v>10.87</v>
      </c>
      <c r="P105" s="1">
        <f t="shared" si="50"/>
        <v>4.3990889999999998E-2</v>
      </c>
      <c r="Q105" s="1">
        <f t="shared" si="51"/>
        <v>4.399089</v>
      </c>
      <c r="R105" s="1">
        <f t="shared" si="52"/>
        <v>6.3835456752860864</v>
      </c>
      <c r="S105" s="1">
        <f t="shared" si="53"/>
        <v>38.708364809389984</v>
      </c>
      <c r="T105" s="260">
        <v>0.63200000000000001</v>
      </c>
      <c r="U105" s="1">
        <f>1/T105</f>
        <v>1.5822784810126582</v>
      </c>
      <c r="V105" s="1">
        <f>T105*R105</f>
        <v>4.0344008667808069</v>
      </c>
      <c r="W105" s="260">
        <v>35.170215606689503</v>
      </c>
      <c r="X105" s="260">
        <v>-106.601098106934</v>
      </c>
      <c r="Y105" s="260" t="s">
        <v>91</v>
      </c>
      <c r="Z105" s="260"/>
      <c r="AA105" s="260" t="s">
        <v>94</v>
      </c>
      <c r="AB105" s="15">
        <v>0.107</v>
      </c>
      <c r="AC105" s="15" t="s">
        <v>366</v>
      </c>
      <c r="AD105" s="15" t="s">
        <v>146</v>
      </c>
      <c r="AE105" s="260" t="s">
        <v>29</v>
      </c>
      <c r="AF105" s="260" t="s">
        <v>157</v>
      </c>
      <c r="AG105" s="15" t="s">
        <v>385</v>
      </c>
      <c r="AH105" s="260"/>
      <c r="AI105" s="260">
        <v>1</v>
      </c>
      <c r="AJ105" s="260"/>
      <c r="AK105" s="260"/>
      <c r="AL105" s="260">
        <v>2138.21</v>
      </c>
      <c r="AM105" s="98">
        <f t="shared" si="44"/>
        <v>5.081053855762681</v>
      </c>
      <c r="AN105" s="100">
        <f>1/(AL105/$R105/1000)</f>
        <v>2.9854624547102886</v>
      </c>
      <c r="AO105" s="260">
        <v>2203.56</v>
      </c>
      <c r="AP105" s="260">
        <f t="shared" si="37"/>
        <v>4.9303672987939171</v>
      </c>
      <c r="AQ105" s="260">
        <v>1294.1400000000001</v>
      </c>
      <c r="AR105" s="260">
        <f t="shared" si="48"/>
        <v>8.3950423948957003</v>
      </c>
      <c r="AS105" s="260"/>
      <c r="AT105" s="260"/>
      <c r="AU105" s="260"/>
      <c r="AV105" s="260"/>
      <c r="AW105" s="260"/>
      <c r="AX105" s="260"/>
    </row>
    <row r="106" spans="1:50" x14ac:dyDescent="0.3">
      <c r="A106" s="11" t="s">
        <v>491</v>
      </c>
      <c r="B106" s="11" t="s">
        <v>559</v>
      </c>
      <c r="C106" s="11"/>
      <c r="D106" s="260">
        <v>2011</v>
      </c>
      <c r="E106" s="18">
        <f t="shared" si="49"/>
        <v>1702.8154184097457</v>
      </c>
      <c r="F106" s="75">
        <v>2000</v>
      </c>
      <c r="G106" s="260"/>
      <c r="H106" s="260">
        <v>18000</v>
      </c>
      <c r="I106" s="260" t="s">
        <v>558</v>
      </c>
      <c r="J106" s="74">
        <v>11</v>
      </c>
      <c r="K106" s="9">
        <f t="shared" si="45"/>
        <v>4.4517000000000001E-2</v>
      </c>
      <c r="L106" s="9">
        <f t="shared" si="38"/>
        <v>4.4515420619999997</v>
      </c>
      <c r="M106" s="1">
        <f t="shared" si="46"/>
        <v>6.4598898277964079</v>
      </c>
      <c r="N106" s="1">
        <f t="shared" si="47"/>
        <v>38.250902316188103</v>
      </c>
      <c r="O106" s="11">
        <v>7.9</v>
      </c>
      <c r="P106" s="25">
        <f t="shared" si="50"/>
        <v>3.1971300000000001E-2</v>
      </c>
      <c r="Q106" s="1">
        <f t="shared" si="51"/>
        <v>3.19713</v>
      </c>
      <c r="R106" s="1">
        <f t="shared" si="52"/>
        <v>4.6393754217810566</v>
      </c>
      <c r="S106" s="1">
        <f t="shared" si="53"/>
        <v>53.260750060515079</v>
      </c>
      <c r="T106" s="11">
        <v>0.52844999999999998</v>
      </c>
      <c r="U106" s="11"/>
      <c r="V106" s="11"/>
      <c r="W106" s="260">
        <v>42.610520000000001</v>
      </c>
      <c r="X106" s="260">
        <v>-72.475325999999995</v>
      </c>
      <c r="Y106" s="260" t="s">
        <v>91</v>
      </c>
      <c r="Z106" s="260"/>
      <c r="AA106" s="11"/>
      <c r="AB106" s="15"/>
      <c r="AC106" s="11" t="s">
        <v>366</v>
      </c>
      <c r="AD106" s="260" t="s">
        <v>560</v>
      </c>
      <c r="AE106" s="260" t="s">
        <v>29</v>
      </c>
      <c r="AF106" s="260" t="s">
        <v>157</v>
      </c>
      <c r="AG106" s="15" t="s">
        <v>380</v>
      </c>
      <c r="AH106" s="260"/>
      <c r="AI106" s="260">
        <v>1</v>
      </c>
      <c r="AJ106" s="260"/>
      <c r="AK106" s="260"/>
      <c r="AL106" s="260"/>
      <c r="AO106" s="260"/>
      <c r="AP106" s="260"/>
      <c r="AQ106" s="260"/>
      <c r="AR106" s="260"/>
      <c r="AS106" s="260"/>
      <c r="AT106" s="260"/>
      <c r="AU106" s="260"/>
      <c r="AV106" s="260"/>
      <c r="AW106" s="260"/>
      <c r="AX106" s="260"/>
    </row>
    <row r="107" spans="1:50" x14ac:dyDescent="0.3">
      <c r="A107" s="11" t="s">
        <v>171</v>
      </c>
      <c r="B107" s="11" t="s">
        <v>434</v>
      </c>
      <c r="C107" s="11"/>
      <c r="D107" s="260">
        <v>2010</v>
      </c>
      <c r="E107" s="18">
        <f t="shared" si="49"/>
        <v>1787.956189330233</v>
      </c>
      <c r="F107" s="94">
        <v>2100</v>
      </c>
      <c r="G107" s="260"/>
      <c r="H107" s="260">
        <v>8800</v>
      </c>
      <c r="I107" s="260" t="s">
        <v>438</v>
      </c>
      <c r="J107" s="74">
        <v>8</v>
      </c>
      <c r="K107" s="9">
        <f t="shared" si="45"/>
        <v>3.2376000000000002E-2</v>
      </c>
      <c r="L107" s="9">
        <f t="shared" si="38"/>
        <v>3.2374851360000001</v>
      </c>
      <c r="M107" s="1">
        <f t="shared" si="46"/>
        <v>4.4743825647074686</v>
      </c>
      <c r="N107" s="1">
        <f t="shared" si="47"/>
        <v>55.224740218996565</v>
      </c>
      <c r="O107" s="260">
        <v>5.7</v>
      </c>
      <c r="P107" s="1">
        <f t="shared" si="50"/>
        <v>2.3067900000000002E-2</v>
      </c>
      <c r="Q107" s="1">
        <f t="shared" si="51"/>
        <v>2.3067899999999999</v>
      </c>
      <c r="R107" s="1">
        <f t="shared" si="52"/>
        <v>3.1879975773540714</v>
      </c>
      <c r="S107" s="1">
        <f t="shared" si="53"/>
        <v>77.508407324907452</v>
      </c>
      <c r="T107" s="260"/>
      <c r="U107" s="260"/>
      <c r="V107" s="260"/>
      <c r="W107" s="260">
        <v>40.494008000000001</v>
      </c>
      <c r="X107" s="260">
        <v>-74.398899</v>
      </c>
      <c r="Y107" s="260" t="s">
        <v>91</v>
      </c>
      <c r="Z107" s="260"/>
      <c r="AA107" s="11" t="s">
        <v>95</v>
      </c>
      <c r="AB107" s="111">
        <f>(13.74+14.4)/2/100</f>
        <v>0.14069999999999999</v>
      </c>
      <c r="AC107" s="260" t="s">
        <v>399</v>
      </c>
      <c r="AD107" s="78" t="s">
        <v>439</v>
      </c>
      <c r="AE107" s="260" t="s">
        <v>29</v>
      </c>
      <c r="AF107" s="260" t="s">
        <v>433</v>
      </c>
      <c r="AG107" s="15" t="s">
        <v>7</v>
      </c>
      <c r="AH107" s="260"/>
      <c r="AI107" s="260">
        <v>1</v>
      </c>
      <c r="AJ107" s="260"/>
      <c r="AK107" s="260"/>
      <c r="AL107" s="260">
        <v>1563.39</v>
      </c>
      <c r="AM107" s="98">
        <f t="shared" ref="AM107:AM120" si="54">1/(AL107/$M107/1000)</f>
        <v>2.8619746606460761</v>
      </c>
      <c r="AN107" s="100">
        <f>1/(AL107/$R107/1000)</f>
        <v>2.0391569457103289</v>
      </c>
      <c r="AO107" s="260">
        <v>2202.77</v>
      </c>
      <c r="AP107" s="260">
        <f t="shared" ref="AP107:AP120" si="55">1/(AO107/$M107/1000)</f>
        <v>2.0312527248452943</v>
      </c>
      <c r="AQ107" s="260">
        <v>1287.79</v>
      </c>
      <c r="AR107" s="260">
        <f t="shared" ref="AR107:AR120" si="56">1/(AQ107/$M107/1000)</f>
        <v>3.4744659957815083</v>
      </c>
      <c r="AS107" s="260"/>
      <c r="AT107" s="260"/>
      <c r="AU107" s="260"/>
      <c r="AV107" s="260"/>
      <c r="AW107" s="260"/>
      <c r="AX107" s="260"/>
    </row>
    <row r="108" spans="1:50" x14ac:dyDescent="0.3">
      <c r="A108" s="11" t="s">
        <v>26</v>
      </c>
      <c r="B108" s="11" t="s">
        <v>544</v>
      </c>
      <c r="C108" s="11"/>
      <c r="D108" s="260">
        <v>2010</v>
      </c>
      <c r="E108" s="42">
        <v>2000</v>
      </c>
      <c r="F108" s="94">
        <v>2592</v>
      </c>
      <c r="G108" s="260"/>
      <c r="H108" s="260">
        <v>9600</v>
      </c>
      <c r="I108" s="260" t="s">
        <v>545</v>
      </c>
      <c r="J108" s="74">
        <v>13.7</v>
      </c>
      <c r="K108" s="9">
        <f t="shared" si="45"/>
        <v>5.5443899999999997E-2</v>
      </c>
      <c r="L108" s="9">
        <f t="shared" si="38"/>
        <v>5.5441932953999995</v>
      </c>
      <c r="M108" s="1">
        <f t="shared" si="46"/>
        <v>6.85</v>
      </c>
      <c r="N108" s="1">
        <f t="shared" si="47"/>
        <v>36.072498507500377</v>
      </c>
      <c r="O108" s="11">
        <v>8.84</v>
      </c>
      <c r="P108" s="1">
        <f t="shared" si="50"/>
        <v>3.5775479999999998E-2</v>
      </c>
      <c r="Q108" s="1">
        <f t="shared" si="51"/>
        <v>3.5775480000000002</v>
      </c>
      <c r="R108" s="1">
        <f t="shared" si="52"/>
        <v>4.42</v>
      </c>
      <c r="S108" s="1">
        <f t="shared" si="53"/>
        <v>55.904211487868231</v>
      </c>
      <c r="T108" s="260">
        <v>0.41320000000000001</v>
      </c>
      <c r="U108" s="1">
        <f>1/T108</f>
        <v>2.4201355275895451</v>
      </c>
      <c r="V108" s="1">
        <f>T108*R108</f>
        <v>1.826344</v>
      </c>
      <c r="W108" s="260">
        <v>38.411070000000002</v>
      </c>
      <c r="X108" s="260">
        <v>-121.92645</v>
      </c>
      <c r="Y108" s="260" t="s">
        <v>91</v>
      </c>
      <c r="Z108" s="260"/>
      <c r="AA108" s="11"/>
      <c r="AB108" s="15">
        <v>0.13769999999999999</v>
      </c>
      <c r="AC108" s="11" t="s">
        <v>399</v>
      </c>
      <c r="AD108" s="260" t="s">
        <v>546</v>
      </c>
      <c r="AE108" s="260" t="s">
        <v>29</v>
      </c>
      <c r="AF108" s="260" t="s">
        <v>475</v>
      </c>
      <c r="AG108" s="15" t="s">
        <v>385</v>
      </c>
      <c r="AH108" s="260"/>
      <c r="AI108" s="260">
        <v>1</v>
      </c>
      <c r="AJ108" s="260"/>
      <c r="AK108" s="260"/>
      <c r="AL108" s="260">
        <v>1846.64</v>
      </c>
      <c r="AM108" s="98">
        <f t="shared" si="54"/>
        <v>3.7094398475068227</v>
      </c>
      <c r="AN108" s="100">
        <f>1/(AL108/$R108/1000)</f>
        <v>2.3935363687562274</v>
      </c>
      <c r="AO108" s="260">
        <v>2203.3000000000002</v>
      </c>
      <c r="AP108" s="260">
        <f t="shared" si="55"/>
        <v>3.108972904279943</v>
      </c>
      <c r="AQ108" s="260">
        <v>1286.48</v>
      </c>
      <c r="AR108" s="260">
        <f t="shared" si="56"/>
        <v>5.3246066786891362</v>
      </c>
      <c r="AS108" s="260"/>
      <c r="AT108" s="260"/>
      <c r="AU108" s="260"/>
      <c r="AV108" s="260"/>
      <c r="AW108" s="260"/>
      <c r="AX108" s="260"/>
    </row>
    <row r="109" spans="1:50" x14ac:dyDescent="0.3">
      <c r="A109" s="11" t="s">
        <v>171</v>
      </c>
      <c r="B109" s="260" t="s">
        <v>198</v>
      </c>
      <c r="C109" s="260"/>
      <c r="D109" s="260">
        <v>2009</v>
      </c>
      <c r="E109" s="42">
        <f>F109*0.97</f>
        <v>2086.4699999999998</v>
      </c>
      <c r="F109" s="94">
        <v>2151</v>
      </c>
      <c r="G109" s="260"/>
      <c r="H109" s="260">
        <v>28260</v>
      </c>
      <c r="I109" s="260" t="s">
        <v>199</v>
      </c>
      <c r="J109" s="260">
        <v>14</v>
      </c>
      <c r="K109" s="9">
        <f t="shared" si="45"/>
        <v>5.6658E-2</v>
      </c>
      <c r="L109" s="9">
        <f t="shared" si="38"/>
        <v>5.6655989880000002</v>
      </c>
      <c r="M109" s="1">
        <f t="shared" si="46"/>
        <v>6.7098975782062533</v>
      </c>
      <c r="N109" s="1">
        <f t="shared" si="47"/>
        <v>36.825690988033458</v>
      </c>
      <c r="O109" s="260">
        <v>11.5</v>
      </c>
      <c r="P109" s="1">
        <f t="shared" si="50"/>
        <v>4.6540500000000005E-2</v>
      </c>
      <c r="Q109" s="1">
        <f t="shared" si="51"/>
        <v>4.6540499999999998</v>
      </c>
      <c r="R109" s="1">
        <f t="shared" si="52"/>
        <v>5.5117015820979933</v>
      </c>
      <c r="S109" s="1">
        <f t="shared" si="53"/>
        <v>44.831275985432036</v>
      </c>
      <c r="T109" s="260">
        <v>0.4</v>
      </c>
      <c r="U109" s="1">
        <f>1/T109</f>
        <v>2.5</v>
      </c>
      <c r="V109" s="1">
        <f>T109*R109</f>
        <v>2.2046806328391972</v>
      </c>
      <c r="W109" s="260">
        <v>40.860551999999998</v>
      </c>
      <c r="X109" s="260">
        <v>-74.822644999999994</v>
      </c>
      <c r="Y109" s="260" t="s">
        <v>91</v>
      </c>
      <c r="Z109" s="260"/>
      <c r="AA109" s="260" t="s">
        <v>96</v>
      </c>
      <c r="AB109" s="15">
        <v>0.1</v>
      </c>
      <c r="AC109" s="15" t="s">
        <v>366</v>
      </c>
      <c r="AD109" s="15" t="s">
        <v>200</v>
      </c>
      <c r="AE109" s="260" t="s">
        <v>29</v>
      </c>
      <c r="AF109" s="15" t="s">
        <v>110</v>
      </c>
      <c r="AG109" s="15" t="s">
        <v>252</v>
      </c>
      <c r="AH109" s="260"/>
      <c r="AI109" s="260">
        <v>1</v>
      </c>
      <c r="AJ109" s="260"/>
      <c r="AK109" s="260"/>
      <c r="AL109" s="260">
        <v>1529.64</v>
      </c>
      <c r="AM109" s="98">
        <f t="shared" si="54"/>
        <v>4.3865861105921997</v>
      </c>
      <c r="AN109" s="100">
        <f>1/(AL109/$R109/1000)</f>
        <v>3.6032671622721644</v>
      </c>
      <c r="AO109" s="260">
        <v>2198.69</v>
      </c>
      <c r="AP109" s="260">
        <f t="shared" si="55"/>
        <v>3.0517706353357013</v>
      </c>
      <c r="AQ109" s="260">
        <v>1292.01</v>
      </c>
      <c r="AR109" s="260">
        <f t="shared" si="56"/>
        <v>5.1933789817464682</v>
      </c>
      <c r="AS109" s="260"/>
      <c r="AT109" s="260"/>
      <c r="AU109" s="260"/>
      <c r="AV109" s="260"/>
      <c r="AW109" s="260"/>
      <c r="AX109" s="260"/>
    </row>
    <row r="110" spans="1:50" x14ac:dyDescent="0.3">
      <c r="A110" s="11" t="s">
        <v>168</v>
      </c>
      <c r="B110" s="260" t="s">
        <v>169</v>
      </c>
      <c r="C110" s="260"/>
      <c r="D110" s="260">
        <v>2010</v>
      </c>
      <c r="E110" s="18">
        <f t="shared" ref="E110:E121" si="57">F110*$A$292</f>
        <v>2554.2231276146185</v>
      </c>
      <c r="F110" s="18">
        <v>3000</v>
      </c>
      <c r="G110" s="260"/>
      <c r="H110" s="260">
        <v>40000</v>
      </c>
      <c r="I110" s="260" t="s">
        <v>170</v>
      </c>
      <c r="J110" s="260">
        <v>23.2</v>
      </c>
      <c r="K110" s="9">
        <f t="shared" si="45"/>
        <v>9.3890399999999999E-2</v>
      </c>
      <c r="L110" s="9">
        <f t="shared" si="38"/>
        <v>9.3887068944000003</v>
      </c>
      <c r="M110" s="1">
        <f t="shared" si="46"/>
        <v>9.0829966063561614</v>
      </c>
      <c r="N110" s="1">
        <f t="shared" si="47"/>
        <v>27.204305526599295</v>
      </c>
      <c r="O110" s="260">
        <v>15.2</v>
      </c>
      <c r="P110" s="1">
        <f t="shared" si="50"/>
        <v>6.1514400000000004E-2</v>
      </c>
      <c r="Q110" s="1">
        <f t="shared" si="51"/>
        <v>6.15144</v>
      </c>
      <c r="R110" s="1">
        <f t="shared" si="52"/>
        <v>5.9509288110609333</v>
      </c>
      <c r="S110" s="1">
        <f t="shared" si="53"/>
        <v>41.522361066914712</v>
      </c>
      <c r="T110" s="260">
        <v>0.462337</v>
      </c>
      <c r="U110" s="1">
        <f>1/T110</f>
        <v>2.1629244468861457</v>
      </c>
      <c r="V110" s="1">
        <f>T110*R110</f>
        <v>2.7513345737194785</v>
      </c>
      <c r="W110" s="260">
        <v>41.061152</v>
      </c>
      <c r="X110" s="260">
        <v>-75.514830000000003</v>
      </c>
      <c r="Y110" s="260" t="s">
        <v>91</v>
      </c>
      <c r="Z110" s="260"/>
      <c r="AA110" s="260" t="s">
        <v>94</v>
      </c>
      <c r="AB110" s="15"/>
      <c r="AC110" s="15"/>
      <c r="AD110" s="15"/>
      <c r="AE110" s="260" t="s">
        <v>109</v>
      </c>
      <c r="AF110" s="260" t="s">
        <v>157</v>
      </c>
      <c r="AG110" s="15" t="s">
        <v>352</v>
      </c>
      <c r="AH110" s="260"/>
      <c r="AI110" s="260">
        <v>1</v>
      </c>
      <c r="AJ110" s="260"/>
      <c r="AK110" s="260"/>
      <c r="AL110" s="260">
        <v>1478.25</v>
      </c>
      <c r="AM110" s="98">
        <f t="shared" si="54"/>
        <v>6.1444252368382628</v>
      </c>
      <c r="AN110" s="100">
        <f>1/(AL110/$R110/1000)</f>
        <v>4.0256579137905861</v>
      </c>
      <c r="AO110" s="260">
        <v>2201.11</v>
      </c>
      <c r="AP110" s="260">
        <f t="shared" si="55"/>
        <v>4.1265527876190475</v>
      </c>
      <c r="AQ110" s="260">
        <v>1285.6400000000001</v>
      </c>
      <c r="AR110" s="260">
        <f t="shared" si="56"/>
        <v>7.0649611138080344</v>
      </c>
      <c r="AS110" s="260"/>
      <c r="AT110" s="260"/>
      <c r="AU110" s="260"/>
      <c r="AV110" s="260"/>
      <c r="AW110" s="260"/>
      <c r="AX110" s="260"/>
    </row>
    <row r="111" spans="1:50" x14ac:dyDescent="0.3">
      <c r="A111" s="11" t="s">
        <v>168</v>
      </c>
      <c r="B111" s="260" t="s">
        <v>178</v>
      </c>
      <c r="C111" s="260"/>
      <c r="D111" s="260">
        <v>2008</v>
      </c>
      <c r="E111" s="18">
        <f t="shared" si="57"/>
        <v>2554.2231276146185</v>
      </c>
      <c r="F111" s="18">
        <v>3000</v>
      </c>
      <c r="G111" s="260"/>
      <c r="H111" s="260">
        <v>17000</v>
      </c>
      <c r="I111" s="260" t="s">
        <v>179</v>
      </c>
      <c r="J111" s="260">
        <v>16.5</v>
      </c>
      <c r="K111" s="9">
        <f t="shared" si="45"/>
        <v>6.6775500000000002E-2</v>
      </c>
      <c r="L111" s="9">
        <f t="shared" si="38"/>
        <v>6.6773130930000004</v>
      </c>
      <c r="M111" s="1">
        <f t="shared" si="46"/>
        <v>6.4598898277964079</v>
      </c>
      <c r="N111" s="1">
        <f t="shared" si="47"/>
        <v>38.250902316188096</v>
      </c>
      <c r="O111" s="260">
        <v>11</v>
      </c>
      <c r="P111" s="1">
        <f t="shared" si="50"/>
        <v>4.4517000000000001E-2</v>
      </c>
      <c r="Q111" s="1">
        <f t="shared" si="51"/>
        <v>4.4516999999999998</v>
      </c>
      <c r="R111" s="1">
        <f t="shared" si="52"/>
        <v>4.3065932185309386</v>
      </c>
      <c r="S111" s="1">
        <f t="shared" si="53"/>
        <v>57.376353474282148</v>
      </c>
      <c r="T111" s="260">
        <v>0.47499999999999998</v>
      </c>
      <c r="U111" s="1">
        <f>1/T111</f>
        <v>2.1052631578947367</v>
      </c>
      <c r="V111" s="1">
        <f>T111*R111</f>
        <v>2.0456317788021958</v>
      </c>
      <c r="W111" s="260">
        <v>40.148798999999997</v>
      </c>
      <c r="X111" s="260">
        <v>-74.777175999999997</v>
      </c>
      <c r="Y111" s="260" t="s">
        <v>91</v>
      </c>
      <c r="Z111" s="260"/>
      <c r="AA111" s="69" t="s">
        <v>95</v>
      </c>
      <c r="AB111" s="15"/>
      <c r="AC111" s="15"/>
      <c r="AD111" s="15"/>
      <c r="AE111" s="260" t="s">
        <v>29</v>
      </c>
      <c r="AF111" s="260" t="s">
        <v>110</v>
      </c>
      <c r="AG111" s="15" t="s">
        <v>252</v>
      </c>
      <c r="AH111" s="260"/>
      <c r="AI111" s="260">
        <v>1</v>
      </c>
      <c r="AJ111" s="260"/>
      <c r="AK111" s="260"/>
      <c r="AL111" s="260">
        <v>1574.33</v>
      </c>
      <c r="AM111" s="98">
        <f t="shared" si="54"/>
        <v>4.1032628659788024</v>
      </c>
      <c r="AN111" s="100">
        <f>1/(AL111/$R111/1000)</f>
        <v>2.7355085773192016</v>
      </c>
      <c r="AO111" s="260">
        <v>2202.77</v>
      </c>
      <c r="AP111" s="260">
        <f t="shared" si="55"/>
        <v>2.9326211214953939</v>
      </c>
      <c r="AQ111" s="260">
        <v>1287.79</v>
      </c>
      <c r="AR111" s="260">
        <f t="shared" si="56"/>
        <v>5.0162602814095525</v>
      </c>
      <c r="AS111" s="260"/>
      <c r="AT111" s="260"/>
      <c r="AU111" s="260"/>
      <c r="AV111" s="260"/>
      <c r="AW111" s="260"/>
      <c r="AX111" s="260"/>
    </row>
    <row r="112" spans="1:50" x14ac:dyDescent="0.3">
      <c r="A112" s="11" t="s">
        <v>171</v>
      </c>
      <c r="B112" s="11" t="s">
        <v>441</v>
      </c>
      <c r="C112" s="11"/>
      <c r="D112" s="260">
        <v>2011</v>
      </c>
      <c r="E112" s="18">
        <f t="shared" si="57"/>
        <v>2554.2231276146185</v>
      </c>
      <c r="F112" s="94">
        <v>3000</v>
      </c>
      <c r="G112" s="260">
        <v>18</v>
      </c>
      <c r="H112" s="260">
        <v>12506</v>
      </c>
      <c r="I112" s="260" t="s">
        <v>443</v>
      </c>
      <c r="J112" s="74">
        <v>13</v>
      </c>
      <c r="K112" s="9">
        <f t="shared" si="45"/>
        <v>5.2611000000000005E-2</v>
      </c>
      <c r="L112" s="9">
        <f t="shared" si="38"/>
        <v>5.2609133460000006</v>
      </c>
      <c r="M112" s="1">
        <f t="shared" si="46"/>
        <v>5.0896101673547456</v>
      </c>
      <c r="N112" s="1">
        <f t="shared" si="47"/>
        <v>48.549222170546429</v>
      </c>
      <c r="O112" s="24" t="s">
        <v>598</v>
      </c>
      <c r="P112" s="24"/>
      <c r="Q112" s="24"/>
      <c r="R112" s="24"/>
      <c r="S112" s="24"/>
      <c r="T112" s="260"/>
      <c r="U112" s="260"/>
      <c r="V112" s="260"/>
      <c r="W112" s="260">
        <v>40.751061</v>
      </c>
      <c r="X112" s="260">
        <v>-74.109864000000002</v>
      </c>
      <c r="Y112" s="260" t="s">
        <v>91</v>
      </c>
      <c r="Z112" s="260"/>
      <c r="AA112" s="11" t="s">
        <v>95</v>
      </c>
      <c r="AB112" s="111"/>
      <c r="AC112" s="260"/>
      <c r="AD112" s="260"/>
      <c r="AE112" s="260" t="s">
        <v>29</v>
      </c>
      <c r="AF112" s="260" t="s">
        <v>157</v>
      </c>
      <c r="AG112" s="15" t="s">
        <v>380</v>
      </c>
      <c r="AH112" s="260"/>
      <c r="AI112" s="260">
        <v>1</v>
      </c>
      <c r="AJ112" s="260"/>
      <c r="AK112" s="260"/>
      <c r="AL112" s="260">
        <v>1352.9</v>
      </c>
      <c r="AM112" s="98">
        <f t="shared" si="54"/>
        <v>3.7620002715313361</v>
      </c>
      <c r="AO112" s="260">
        <v>1894.92</v>
      </c>
      <c r="AP112" s="260">
        <f t="shared" si="55"/>
        <v>2.6859235046095593</v>
      </c>
      <c r="AQ112" s="260">
        <v>1155.58</v>
      </c>
      <c r="AR112" s="260">
        <f t="shared" si="56"/>
        <v>4.4043771676169072</v>
      </c>
      <c r="AS112" s="260"/>
      <c r="AT112" s="260"/>
      <c r="AU112" s="260"/>
      <c r="AV112" s="260"/>
      <c r="AW112" s="260"/>
      <c r="AX112" s="260"/>
    </row>
    <row r="113" spans="1:50" x14ac:dyDescent="0.3">
      <c r="A113" s="11" t="s">
        <v>3</v>
      </c>
      <c r="B113" s="11" t="s">
        <v>613</v>
      </c>
      <c r="C113" s="11"/>
      <c r="D113" s="260">
        <v>2010</v>
      </c>
      <c r="E113" s="18">
        <f t="shared" si="57"/>
        <v>2809.6454403760804</v>
      </c>
      <c r="F113" s="18">
        <v>3300</v>
      </c>
      <c r="G113" s="260"/>
      <c r="H113" s="260">
        <v>8000</v>
      </c>
      <c r="I113" s="70" t="s">
        <v>365</v>
      </c>
      <c r="J113" s="260">
        <v>13.13</v>
      </c>
      <c r="K113" s="9">
        <f t="shared" si="45"/>
        <v>5.3137110000000008E-2</v>
      </c>
      <c r="L113" s="9">
        <f t="shared" si="38"/>
        <v>5.3135224794600004</v>
      </c>
      <c r="M113" s="1">
        <f t="shared" si="46"/>
        <v>4.6731875172984489</v>
      </c>
      <c r="N113" s="1">
        <f t="shared" si="47"/>
        <v>52.875390482773334</v>
      </c>
      <c r="O113" s="11">
        <v>11.9</v>
      </c>
      <c r="P113" s="1">
        <f>O113*0.004047</f>
        <v>4.8159300000000002E-2</v>
      </c>
      <c r="Q113" s="1">
        <f>O113*0.4047</f>
        <v>4.8159299999999998</v>
      </c>
      <c r="R113" s="1">
        <f>O113/(E113/1000)</f>
        <v>4.235409859546956</v>
      </c>
      <c r="S113" s="1">
        <f>E113/1000/P113</f>
        <v>58.340661936034785</v>
      </c>
      <c r="T113" s="260">
        <v>0.59</v>
      </c>
      <c r="U113" s="1">
        <f>1/T113</f>
        <v>1.6949152542372883</v>
      </c>
      <c r="V113" s="1">
        <f>T113*R113</f>
        <v>2.4988918171327041</v>
      </c>
      <c r="W113" s="260">
        <v>40.592049000000003</v>
      </c>
      <c r="X113" s="260">
        <v>-105.14837</v>
      </c>
      <c r="Y113" s="260" t="s">
        <v>91</v>
      </c>
      <c r="Z113" s="260"/>
      <c r="AA113" s="69" t="s">
        <v>94</v>
      </c>
      <c r="AB113" s="15"/>
      <c r="AC113" s="15"/>
      <c r="AD113" s="15" t="s">
        <v>254</v>
      </c>
      <c r="AE113" s="260" t="s">
        <v>29</v>
      </c>
      <c r="AF113" s="260" t="s">
        <v>157</v>
      </c>
      <c r="AG113" s="15" t="s">
        <v>352</v>
      </c>
      <c r="AH113" s="260"/>
      <c r="AI113" s="260">
        <v>1</v>
      </c>
      <c r="AJ113" s="260"/>
      <c r="AK113" s="260"/>
      <c r="AL113" s="260">
        <v>1843.33</v>
      </c>
      <c r="AM113" s="98">
        <f t="shared" si="54"/>
        <v>2.5351876860347571</v>
      </c>
      <c r="AN113" s="100">
        <f>1/(AL113/$R113/1000)</f>
        <v>2.2976948563452861</v>
      </c>
      <c r="AO113" s="260">
        <v>2202.77</v>
      </c>
      <c r="AP113" s="260">
        <f t="shared" si="55"/>
        <v>2.1215049765969436</v>
      </c>
      <c r="AQ113" s="260">
        <v>1287.79</v>
      </c>
      <c r="AR113" s="260">
        <f t="shared" si="56"/>
        <v>3.6288428371849828</v>
      </c>
      <c r="AS113" s="260"/>
      <c r="AT113" s="260"/>
      <c r="AU113" s="260"/>
      <c r="AV113" s="260"/>
      <c r="AW113" s="260"/>
      <c r="AX113" s="260"/>
    </row>
    <row r="114" spans="1:50" x14ac:dyDescent="0.3">
      <c r="A114" s="11" t="s">
        <v>171</v>
      </c>
      <c r="B114" s="11" t="s">
        <v>182</v>
      </c>
      <c r="C114" s="11"/>
      <c r="D114" s="260">
        <v>2009</v>
      </c>
      <c r="E114" s="18">
        <f t="shared" si="57"/>
        <v>3490.7716077399787</v>
      </c>
      <c r="F114" s="18">
        <v>4100</v>
      </c>
      <c r="G114" s="260">
        <v>24</v>
      </c>
      <c r="H114" s="260">
        <v>13000</v>
      </c>
      <c r="I114" s="260"/>
      <c r="J114" s="260">
        <v>28</v>
      </c>
      <c r="K114" s="9">
        <f t="shared" si="45"/>
        <v>0.113316</v>
      </c>
      <c r="L114" s="9">
        <f t="shared" si="38"/>
        <v>11.331197976</v>
      </c>
      <c r="M114" s="1">
        <f t="shared" si="46"/>
        <v>8.0211492318536326</v>
      </c>
      <c r="N114" s="1">
        <f t="shared" si="47"/>
        <v>30.805637401072918</v>
      </c>
      <c r="O114" s="260">
        <v>15</v>
      </c>
      <c r="P114" s="1">
        <f>O114*0.004047</f>
        <v>6.0705000000000002E-2</v>
      </c>
      <c r="Q114" s="1">
        <f>O114*0.4047</f>
        <v>6.0705</v>
      </c>
      <c r="R114" s="1">
        <f>O114/(E114/1000)</f>
        <v>4.29704423135016</v>
      </c>
      <c r="S114" s="1">
        <f>E114/1000/P114</f>
        <v>57.503856482002782</v>
      </c>
      <c r="T114" s="260">
        <v>0.60821000000000003</v>
      </c>
      <c r="U114" s="1">
        <f>1/T114</f>
        <v>1.6441689548017953</v>
      </c>
      <c r="V114" s="1">
        <f>T114*R114</f>
        <v>2.6135052719494811</v>
      </c>
      <c r="W114" s="260">
        <v>39.464311000000002</v>
      </c>
      <c r="X114" s="260">
        <v>-75.067610000000002</v>
      </c>
      <c r="Y114" s="260" t="s">
        <v>91</v>
      </c>
      <c r="Z114" s="260" t="s">
        <v>183</v>
      </c>
      <c r="AA114" s="260" t="s">
        <v>94</v>
      </c>
      <c r="AB114" s="15"/>
      <c r="AC114" s="15" t="s">
        <v>391</v>
      </c>
      <c r="AD114" s="15"/>
      <c r="AE114" s="260" t="s">
        <v>29</v>
      </c>
      <c r="AF114" s="260" t="s">
        <v>110</v>
      </c>
      <c r="AG114" s="15" t="s">
        <v>252</v>
      </c>
      <c r="AH114" s="260"/>
      <c r="AI114" s="260">
        <v>1</v>
      </c>
      <c r="AJ114" s="260"/>
      <c r="AK114" s="260"/>
      <c r="AL114" s="260">
        <v>1563.86</v>
      </c>
      <c r="AM114" s="98">
        <f t="shared" si="54"/>
        <v>5.1290711648444445</v>
      </c>
      <c r="AN114" s="100">
        <f>1/(AL114/$R114/1000)</f>
        <v>2.7477166954523806</v>
      </c>
      <c r="AO114" s="260">
        <v>2164.54</v>
      </c>
      <c r="AP114" s="260">
        <f t="shared" si="55"/>
        <v>3.7057061693725375</v>
      </c>
      <c r="AQ114" s="260">
        <v>1282.78</v>
      </c>
      <c r="AR114" s="260">
        <f t="shared" si="56"/>
        <v>6.2529422284831639</v>
      </c>
      <c r="AS114" s="260"/>
      <c r="AT114" s="260"/>
      <c r="AU114" s="260"/>
      <c r="AV114" s="260"/>
      <c r="AW114" s="260"/>
      <c r="AX114" s="260"/>
    </row>
    <row r="115" spans="1:50" x14ac:dyDescent="0.3">
      <c r="A115" s="11" t="s">
        <v>171</v>
      </c>
      <c r="B115" s="11" t="s">
        <v>435</v>
      </c>
      <c r="C115" s="11"/>
      <c r="D115" s="260">
        <v>2010</v>
      </c>
      <c r="E115" s="18">
        <f t="shared" si="57"/>
        <v>3746.1939205014405</v>
      </c>
      <c r="F115" s="94">
        <v>4400</v>
      </c>
      <c r="G115" s="260"/>
      <c r="H115" s="260">
        <v>15750</v>
      </c>
      <c r="I115" s="260" t="s">
        <v>438</v>
      </c>
      <c r="J115" s="74">
        <v>15.7</v>
      </c>
      <c r="K115" s="9">
        <f t="shared" si="45"/>
        <v>6.3537899999999994E-2</v>
      </c>
      <c r="L115" s="9">
        <f t="shared" ref="L115:L135" si="58">J115*0.404685642</f>
        <v>6.3535645793999995</v>
      </c>
      <c r="M115" s="1">
        <f t="shared" si="46"/>
        <v>4.1909202601819668</v>
      </c>
      <c r="N115" s="1">
        <f t="shared" si="47"/>
        <v>58.959989557436444</v>
      </c>
      <c r="O115" s="260">
        <v>14.1</v>
      </c>
      <c r="P115" s="1">
        <f>O115*0.004047</f>
        <v>5.7062700000000001E-2</v>
      </c>
      <c r="Q115" s="1">
        <f>O115*0.404685642</f>
        <v>5.7060675522000004</v>
      </c>
      <c r="R115" s="1">
        <f>O115/(E115/1000)</f>
        <v>3.7638201062780721</v>
      </c>
      <c r="S115" s="1">
        <f>E115/1000/P115</f>
        <v>65.6504848263654</v>
      </c>
      <c r="T115" s="260"/>
      <c r="U115" s="260"/>
      <c r="V115" s="260"/>
      <c r="W115" s="260">
        <v>40.168641999999998</v>
      </c>
      <c r="X115" s="260">
        <v>-74.657978999999997</v>
      </c>
      <c r="Y115" s="260" t="s">
        <v>91</v>
      </c>
      <c r="Z115" s="260"/>
      <c r="AA115" s="11" t="s">
        <v>95</v>
      </c>
      <c r="AB115" s="111">
        <v>0.14399999999999999</v>
      </c>
      <c r="AC115" s="260" t="s">
        <v>399</v>
      </c>
      <c r="AD115" s="79" t="s">
        <v>440</v>
      </c>
      <c r="AE115" s="260" t="s">
        <v>29</v>
      </c>
      <c r="AF115" s="260" t="s">
        <v>433</v>
      </c>
      <c r="AG115" s="15" t="s">
        <v>7</v>
      </c>
      <c r="AH115" s="260"/>
      <c r="AI115" s="260">
        <v>1</v>
      </c>
      <c r="AJ115" s="260"/>
      <c r="AK115" s="260"/>
      <c r="AL115" s="260">
        <v>1797.69</v>
      </c>
      <c r="AM115" s="98">
        <f t="shared" si="54"/>
        <v>2.3312808438507013</v>
      </c>
      <c r="AN115" s="100">
        <f>1/(AL115/$R115/1000)</f>
        <v>2.0936980826939418</v>
      </c>
      <c r="AO115" s="260">
        <v>2672.06</v>
      </c>
      <c r="AP115" s="260">
        <f t="shared" si="55"/>
        <v>1.5684229621273351</v>
      </c>
      <c r="AQ115" s="260">
        <v>1469.39</v>
      </c>
      <c r="AR115" s="260">
        <f t="shared" si="56"/>
        <v>2.8521497085062282</v>
      </c>
      <c r="AS115" s="260"/>
      <c r="AT115" s="260"/>
      <c r="AU115" s="260"/>
      <c r="AV115" s="260"/>
      <c r="AW115" s="260"/>
      <c r="AX115" s="260"/>
    </row>
    <row r="116" spans="1:50" x14ac:dyDescent="0.3">
      <c r="A116" s="11" t="s">
        <v>3</v>
      </c>
      <c r="B116" s="11" t="s">
        <v>144</v>
      </c>
      <c r="C116" s="11"/>
      <c r="D116" s="260">
        <v>2010</v>
      </c>
      <c r="E116" s="18">
        <f t="shared" si="57"/>
        <v>3746.1939205014405</v>
      </c>
      <c r="F116" s="18">
        <v>4400</v>
      </c>
      <c r="G116" s="260"/>
      <c r="H116" s="260"/>
      <c r="I116" s="260"/>
      <c r="J116" s="260">
        <v>30</v>
      </c>
      <c r="K116" s="9">
        <f t="shared" si="45"/>
        <v>0.12141</v>
      </c>
      <c r="L116" s="9">
        <f t="shared" si="58"/>
        <v>12.140569259999999</v>
      </c>
      <c r="M116" s="1">
        <f t="shared" si="46"/>
        <v>8.0081278856980251</v>
      </c>
      <c r="N116" s="1">
        <f t="shared" si="47"/>
        <v>30.855727868391735</v>
      </c>
      <c r="O116" s="11">
        <v>22.9</v>
      </c>
      <c r="P116" s="25">
        <f>O116*0.004047</f>
        <v>9.2676300000000003E-2</v>
      </c>
      <c r="Q116" s="1">
        <f>O116*0.404685642</f>
        <v>9.2673012018000005</v>
      </c>
      <c r="R116" s="1">
        <f>O116/(E116/1000)</f>
        <v>6.1128709527494927</v>
      </c>
      <c r="S116" s="25">
        <f>E116/1000/P116</f>
        <v>40.42235091929048</v>
      </c>
      <c r="T116" s="260">
        <v>0.39328999999999997</v>
      </c>
      <c r="U116" s="1">
        <f>1/T116</f>
        <v>2.5426530041445248</v>
      </c>
      <c r="V116" s="1">
        <f>T116*R116</f>
        <v>2.4041310170068479</v>
      </c>
      <c r="W116" s="260">
        <v>39.902560000000001</v>
      </c>
      <c r="X116" s="260">
        <v>-104.65940999999999</v>
      </c>
      <c r="Y116" s="260" t="s">
        <v>91</v>
      </c>
      <c r="Z116" s="260"/>
      <c r="AA116" s="24" t="s">
        <v>94</v>
      </c>
      <c r="AB116" s="15"/>
      <c r="AC116" s="15"/>
      <c r="AD116" s="15"/>
      <c r="AE116" s="260" t="s">
        <v>29</v>
      </c>
      <c r="AF116" s="260" t="s">
        <v>110</v>
      </c>
      <c r="AG116" s="15" t="s">
        <v>252</v>
      </c>
      <c r="AH116" s="260"/>
      <c r="AI116" s="260">
        <v>1</v>
      </c>
      <c r="AJ116" s="260"/>
      <c r="AK116" s="260"/>
      <c r="AL116" s="260">
        <v>1928.56</v>
      </c>
      <c r="AM116" s="98">
        <f t="shared" si="54"/>
        <v>4.1523872141380229</v>
      </c>
      <c r="AN116" s="100">
        <f>1/(AL116/$R116/1000)</f>
        <v>3.1696555734586913</v>
      </c>
      <c r="AO116" s="260">
        <v>2203.89</v>
      </c>
      <c r="AP116" s="260">
        <f t="shared" si="55"/>
        <v>3.6336332056944882</v>
      </c>
      <c r="AQ116" s="260">
        <v>1289.6600000000001</v>
      </c>
      <c r="AR116" s="260">
        <f t="shared" si="56"/>
        <v>6.2094876833413659</v>
      </c>
      <c r="AS116" s="260"/>
      <c r="AT116" s="260"/>
      <c r="AU116" s="260"/>
      <c r="AV116" s="260"/>
      <c r="AW116" s="260"/>
      <c r="AX116" s="260"/>
    </row>
    <row r="117" spans="1:50" x14ac:dyDescent="0.3">
      <c r="A117" s="11" t="s">
        <v>491</v>
      </c>
      <c r="B117" s="11" t="s">
        <v>588</v>
      </c>
      <c r="C117" s="11"/>
      <c r="D117" s="260">
        <v>2012</v>
      </c>
      <c r="E117" s="18">
        <f t="shared" si="57"/>
        <v>3831.3346914219278</v>
      </c>
      <c r="F117" s="75">
        <v>4500</v>
      </c>
      <c r="G117" s="260">
        <v>19</v>
      </c>
      <c r="H117" s="260">
        <v>18400</v>
      </c>
      <c r="I117" s="260" t="s">
        <v>574</v>
      </c>
      <c r="J117" s="74">
        <v>19</v>
      </c>
      <c r="K117" s="9">
        <f t="shared" si="45"/>
        <v>7.6893000000000003E-2</v>
      </c>
      <c r="L117" s="9">
        <f t="shared" si="58"/>
        <v>7.6890271979999998</v>
      </c>
      <c r="M117" s="1">
        <f t="shared" si="46"/>
        <v>4.9591073425507775</v>
      </c>
      <c r="N117" s="1">
        <f t="shared" si="47"/>
        <v>49.826833280297656</v>
      </c>
      <c r="O117" s="24" t="s">
        <v>909</v>
      </c>
      <c r="P117" s="88"/>
      <c r="Q117" s="88"/>
      <c r="R117" s="88"/>
      <c r="S117" s="88"/>
      <c r="T117" s="260"/>
      <c r="U117" s="11"/>
      <c r="V117" s="11"/>
      <c r="W117" s="260">
        <v>42.189540000000001</v>
      </c>
      <c r="X117" s="260">
        <v>-72.683090000000007</v>
      </c>
      <c r="Y117" s="260" t="s">
        <v>91</v>
      </c>
      <c r="Z117" s="260"/>
      <c r="AA117" s="11" t="s">
        <v>96</v>
      </c>
      <c r="AB117" s="15">
        <v>0.14499999999999999</v>
      </c>
      <c r="AC117" s="11" t="s">
        <v>399</v>
      </c>
      <c r="AD117" s="11" t="s">
        <v>525</v>
      </c>
      <c r="AE117" s="260" t="s">
        <v>60</v>
      </c>
      <c r="AF117" s="11" t="s">
        <v>157</v>
      </c>
      <c r="AG117" s="15" t="s">
        <v>380</v>
      </c>
      <c r="AH117" s="260"/>
      <c r="AI117" s="260">
        <v>1</v>
      </c>
      <c r="AJ117" s="260"/>
      <c r="AK117" s="260"/>
      <c r="AL117" s="260">
        <v>1521.55</v>
      </c>
      <c r="AM117" s="98">
        <f t="shared" si="54"/>
        <v>3.2592470458090621</v>
      </c>
      <c r="AO117" s="260">
        <v>2198.92</v>
      </c>
      <c r="AP117" s="260">
        <f t="shared" si="55"/>
        <v>2.2552468223267685</v>
      </c>
      <c r="AQ117" s="260">
        <v>1283.1600000000001</v>
      </c>
      <c r="AR117" s="260">
        <f t="shared" si="56"/>
        <v>3.8647614814604387</v>
      </c>
      <c r="AS117" s="260"/>
      <c r="AT117" s="260"/>
      <c r="AU117" s="260"/>
      <c r="AV117" s="260"/>
      <c r="AW117" s="260"/>
      <c r="AX117" s="260"/>
    </row>
    <row r="118" spans="1:50" x14ac:dyDescent="0.3">
      <c r="A118" s="11" t="s">
        <v>584</v>
      </c>
      <c r="B118" s="11" t="s">
        <v>585</v>
      </c>
      <c r="C118" s="11"/>
      <c r="D118" s="260">
        <v>2012</v>
      </c>
      <c r="E118" s="18">
        <f t="shared" si="57"/>
        <v>4257.0385460243642</v>
      </c>
      <c r="F118" s="75">
        <v>5000</v>
      </c>
      <c r="G118" s="260">
        <v>31</v>
      </c>
      <c r="H118" s="260">
        <v>21300</v>
      </c>
      <c r="I118" s="260" t="s">
        <v>586</v>
      </c>
      <c r="J118" s="74">
        <v>25</v>
      </c>
      <c r="K118" s="9">
        <f t="shared" si="45"/>
        <v>0.101175</v>
      </c>
      <c r="L118" s="9">
        <f t="shared" si="58"/>
        <v>10.117141050000001</v>
      </c>
      <c r="M118" s="1">
        <f t="shared" si="46"/>
        <v>5.8726271161785526</v>
      </c>
      <c r="N118" s="1">
        <f t="shared" si="47"/>
        <v>42.075992547806912</v>
      </c>
      <c r="O118" s="100">
        <v>22.9</v>
      </c>
      <c r="P118" s="105">
        <f>O118*0.004047</f>
        <v>9.2676300000000003E-2</v>
      </c>
      <c r="Q118" s="105">
        <f>O118*0.4047</f>
        <v>9.2676299999999987</v>
      </c>
      <c r="R118" s="1">
        <f>O118/(E118/1000)</f>
        <v>5.3793264384195538</v>
      </c>
      <c r="S118" s="105">
        <f>E118/1000/P118</f>
        <v>45.934489681011911</v>
      </c>
      <c r="T118" s="260"/>
      <c r="U118" s="11"/>
      <c r="V118" s="11"/>
      <c r="W118" s="260">
        <v>35.409700000000001</v>
      </c>
      <c r="X118" s="260">
        <v>-89.38964</v>
      </c>
      <c r="Y118" s="260" t="s">
        <v>91</v>
      </c>
      <c r="Z118" s="260"/>
      <c r="AA118" s="11" t="s">
        <v>95</v>
      </c>
      <c r="AB118" s="15"/>
      <c r="AC118" s="260"/>
      <c r="AD118" s="260"/>
      <c r="AE118" s="260" t="s">
        <v>109</v>
      </c>
      <c r="AF118" s="11" t="s">
        <v>427</v>
      </c>
      <c r="AG118" s="15" t="s">
        <v>444</v>
      </c>
      <c r="AH118" s="260">
        <v>1</v>
      </c>
      <c r="AI118" s="260">
        <v>1</v>
      </c>
      <c r="AJ118" s="260"/>
      <c r="AK118" s="260"/>
      <c r="AL118" s="260">
        <v>1631.01</v>
      </c>
      <c r="AM118" s="98">
        <f t="shared" si="54"/>
        <v>3.6006076702034644</v>
      </c>
      <c r="AN118" s="100">
        <f>1/(AL118/$R118/1000)</f>
        <v>3.2981566259063735</v>
      </c>
      <c r="AO118" s="260">
        <v>2203.56</v>
      </c>
      <c r="AP118" s="260">
        <f t="shared" si="55"/>
        <v>2.6650634047534685</v>
      </c>
      <c r="AQ118" s="260">
        <v>1294.1400000000001</v>
      </c>
      <c r="AR118" s="260">
        <f t="shared" si="56"/>
        <v>4.5378607539976761</v>
      </c>
      <c r="AS118" s="260"/>
      <c r="AT118" s="260"/>
      <c r="AU118" s="260"/>
      <c r="AV118" s="260"/>
      <c r="AW118" s="260"/>
      <c r="AX118" s="260"/>
    </row>
    <row r="119" spans="1:50" x14ac:dyDescent="0.3">
      <c r="A119" s="11" t="s">
        <v>26</v>
      </c>
      <c r="B119" s="73" t="s">
        <v>382</v>
      </c>
      <c r="C119" s="73"/>
      <c r="D119" s="260">
        <v>2010</v>
      </c>
      <c r="E119" s="18">
        <f t="shared" si="57"/>
        <v>4257.0385460243642</v>
      </c>
      <c r="F119" s="18">
        <v>5000</v>
      </c>
      <c r="G119" s="260"/>
      <c r="H119" s="260">
        <v>25000</v>
      </c>
      <c r="I119" s="260" t="s">
        <v>167</v>
      </c>
      <c r="J119" s="74">
        <v>13</v>
      </c>
      <c r="K119" s="9">
        <f t="shared" si="45"/>
        <v>5.2611000000000005E-2</v>
      </c>
      <c r="L119" s="9">
        <f t="shared" si="58"/>
        <v>5.2609133460000006</v>
      </c>
      <c r="M119" s="1">
        <f t="shared" si="46"/>
        <v>3.0537661004128474</v>
      </c>
      <c r="N119" s="1">
        <f t="shared" si="47"/>
        <v>80.915370284244048</v>
      </c>
      <c r="O119" s="260">
        <v>13</v>
      </c>
      <c r="P119" s="1">
        <f>O119*0.004047</f>
        <v>5.2611000000000005E-2</v>
      </c>
      <c r="Q119" s="1">
        <f>O119*0.4047</f>
        <v>5.2610999999999999</v>
      </c>
      <c r="R119" s="1">
        <f>O119/(E119/1000)</f>
        <v>3.0537661004128474</v>
      </c>
      <c r="S119" s="1">
        <f>E119/1000/P119</f>
        <v>80.915370284244048</v>
      </c>
      <c r="T119" s="260">
        <v>0.9</v>
      </c>
      <c r="U119" s="1">
        <f>1/T119</f>
        <v>1.1111111111111112</v>
      </c>
      <c r="V119" s="1">
        <f>T119*R119</f>
        <v>2.7483894903715629</v>
      </c>
      <c r="W119" s="260">
        <v>37.749599456787102</v>
      </c>
      <c r="X119" s="260">
        <v>-122.48329925537099</v>
      </c>
      <c r="Y119" s="260" t="s">
        <v>91</v>
      </c>
      <c r="Z119" s="260"/>
      <c r="AA119" s="260" t="s">
        <v>96</v>
      </c>
      <c r="AB119" s="15"/>
      <c r="AC119" s="15"/>
      <c r="AD119" s="15"/>
      <c r="AE119" s="260" t="s">
        <v>29</v>
      </c>
      <c r="AF119" s="260" t="s">
        <v>157</v>
      </c>
      <c r="AG119" s="15" t="s">
        <v>380</v>
      </c>
      <c r="AH119" s="260"/>
      <c r="AI119" s="260">
        <v>1</v>
      </c>
      <c r="AJ119" s="260"/>
      <c r="AK119" s="260"/>
      <c r="AL119" s="260">
        <v>1743.71</v>
      </c>
      <c r="AM119" s="98">
        <f t="shared" si="54"/>
        <v>1.7513038867775303</v>
      </c>
      <c r="AN119" s="100">
        <f>1/(AL119/$R119/1000)</f>
        <v>1.7513038867775303</v>
      </c>
      <c r="AO119" s="260">
        <v>2204.7399999999998</v>
      </c>
      <c r="AP119" s="260">
        <f t="shared" si="55"/>
        <v>1.3850912581133592</v>
      </c>
      <c r="AQ119" s="260">
        <v>1292.56</v>
      </c>
      <c r="AR119" s="260">
        <f t="shared" si="56"/>
        <v>2.3625720279235374</v>
      </c>
      <c r="AS119" s="260"/>
      <c r="AT119" s="260"/>
      <c r="AU119" s="260"/>
      <c r="AV119" s="260"/>
      <c r="AW119" s="260"/>
      <c r="AX119" s="260"/>
    </row>
    <row r="120" spans="1:50" x14ac:dyDescent="0.3">
      <c r="A120" s="11" t="s">
        <v>160</v>
      </c>
      <c r="B120" s="11" t="s">
        <v>461</v>
      </c>
      <c r="C120" s="11"/>
      <c r="D120" s="260">
        <v>2011</v>
      </c>
      <c r="E120" s="18">
        <f t="shared" si="57"/>
        <v>4257.0385460243642</v>
      </c>
      <c r="F120" s="18">
        <v>5000</v>
      </c>
      <c r="G120" s="260"/>
      <c r="H120" s="260">
        <v>78000</v>
      </c>
      <c r="I120" s="260" t="s">
        <v>462</v>
      </c>
      <c r="J120" s="260">
        <v>50</v>
      </c>
      <c r="K120" s="9">
        <f t="shared" si="45"/>
        <v>0.20235</v>
      </c>
      <c r="L120" s="9">
        <f t="shared" si="58"/>
        <v>20.234282100000001</v>
      </c>
      <c r="M120" s="1">
        <f t="shared" si="46"/>
        <v>11.745254232357105</v>
      </c>
      <c r="N120" s="1">
        <f t="shared" si="47"/>
        <v>21.037996273903456</v>
      </c>
      <c r="O120" s="11">
        <v>34.08</v>
      </c>
      <c r="P120" s="1">
        <f>O120*0.004047</f>
        <v>0.13792176</v>
      </c>
      <c r="Q120" s="1">
        <f>O120*0.4047</f>
        <v>13.792176</v>
      </c>
      <c r="R120" s="1">
        <f>O120/(E120/1000)</f>
        <v>8.0055652847746028</v>
      </c>
      <c r="S120" s="1">
        <f>E120/1000/P120</f>
        <v>30.865604861947556</v>
      </c>
      <c r="T120" s="260">
        <v>0.60396000000000005</v>
      </c>
      <c r="U120" s="1">
        <f>1/T120</f>
        <v>1.6557387906483871</v>
      </c>
      <c r="V120" s="1">
        <f>T120*R120</f>
        <v>4.83504120939247</v>
      </c>
      <c r="W120" s="260">
        <v>32.166899889707601</v>
      </c>
      <c r="X120" s="260">
        <v>-107.751079872251</v>
      </c>
      <c r="Y120" s="260" t="s">
        <v>91</v>
      </c>
      <c r="Z120" s="260" t="s">
        <v>463</v>
      </c>
      <c r="AA120" s="11"/>
      <c r="AB120" s="15">
        <v>0.107</v>
      </c>
      <c r="AC120" s="260" t="s">
        <v>366</v>
      </c>
      <c r="AD120" s="260" t="s">
        <v>102</v>
      </c>
      <c r="AE120" s="260" t="s">
        <v>29</v>
      </c>
      <c r="AF120" s="260" t="s">
        <v>157</v>
      </c>
      <c r="AG120" s="15" t="s">
        <v>444</v>
      </c>
      <c r="AH120" s="260">
        <v>1</v>
      </c>
      <c r="AI120" s="260">
        <v>1</v>
      </c>
      <c r="AJ120" s="260"/>
      <c r="AK120" s="260"/>
      <c r="AL120" s="260">
        <v>2172.02</v>
      </c>
      <c r="AM120" s="98">
        <f t="shared" si="54"/>
        <v>5.4075258203686456</v>
      </c>
      <c r="AN120" s="100">
        <f>1/(AL120/$R120/1000)</f>
        <v>3.6857695991632684</v>
      </c>
      <c r="AO120" s="260">
        <v>2157.4</v>
      </c>
      <c r="AP120" s="260">
        <f t="shared" si="55"/>
        <v>5.4441708688037007</v>
      </c>
      <c r="AQ120" s="260">
        <v>1279.8900000000001</v>
      </c>
      <c r="AR120" s="260">
        <f t="shared" si="56"/>
        <v>9.1767684975717483</v>
      </c>
      <c r="AS120" s="260"/>
      <c r="AT120" s="260"/>
      <c r="AU120" s="260"/>
      <c r="AV120" s="260"/>
      <c r="AW120" s="260"/>
      <c r="AX120" s="260"/>
    </row>
    <row r="121" spans="1:50" x14ac:dyDescent="0.3">
      <c r="A121" s="11" t="s">
        <v>160</v>
      </c>
      <c r="B121" s="11" t="s">
        <v>386</v>
      </c>
      <c r="C121" s="11"/>
      <c r="D121" s="260">
        <v>2011</v>
      </c>
      <c r="E121" s="18">
        <f t="shared" si="57"/>
        <v>4257.0385460243642</v>
      </c>
      <c r="F121" s="18">
        <v>5000</v>
      </c>
      <c r="G121" s="260"/>
      <c r="H121" s="260">
        <v>78000</v>
      </c>
      <c r="I121" s="260" t="s">
        <v>387</v>
      </c>
      <c r="J121" s="74">
        <v>50</v>
      </c>
      <c r="K121" s="9">
        <f t="shared" si="45"/>
        <v>0.20235</v>
      </c>
      <c r="L121" s="9">
        <f t="shared" si="58"/>
        <v>20.234282100000001</v>
      </c>
      <c r="M121" s="1">
        <f t="shared" si="46"/>
        <v>11.745254232357105</v>
      </c>
      <c r="N121" s="1">
        <f t="shared" si="47"/>
        <v>21.037996273903456</v>
      </c>
      <c r="O121" s="24" t="s">
        <v>707</v>
      </c>
      <c r="P121" s="88"/>
      <c r="Q121" s="88"/>
      <c r="R121" s="88"/>
      <c r="S121" s="88"/>
      <c r="T121" s="1"/>
      <c r="U121" s="1"/>
      <c r="V121" s="1"/>
      <c r="W121" s="260">
        <v>32.865855000000003</v>
      </c>
      <c r="X121" s="260">
        <v>-106.000299</v>
      </c>
      <c r="Y121" s="260" t="s">
        <v>91</v>
      </c>
      <c r="Z121" s="260"/>
      <c r="AA121" s="11" t="s">
        <v>94</v>
      </c>
      <c r="AB121" s="15">
        <v>0.107</v>
      </c>
      <c r="AC121" s="260" t="s">
        <v>366</v>
      </c>
      <c r="AD121" s="260" t="s">
        <v>146</v>
      </c>
      <c r="AE121" s="260" t="s">
        <v>29</v>
      </c>
      <c r="AF121" s="260" t="s">
        <v>157</v>
      </c>
      <c r="AG121" s="15" t="s">
        <v>385</v>
      </c>
      <c r="AH121" s="260"/>
      <c r="AI121" s="260">
        <v>1</v>
      </c>
      <c r="AJ121" s="260"/>
      <c r="AK121" s="260"/>
      <c r="AL121" s="260"/>
      <c r="AO121" s="260"/>
      <c r="AP121" s="260"/>
      <c r="AQ121" s="260"/>
      <c r="AR121" s="260"/>
      <c r="AS121" s="260"/>
      <c r="AT121" s="260"/>
      <c r="AU121" s="260"/>
      <c r="AV121" s="260"/>
      <c r="AW121" s="260"/>
      <c r="AX121" s="260"/>
    </row>
    <row r="122" spans="1:50" x14ac:dyDescent="0.3">
      <c r="A122" s="260" t="s">
        <v>26</v>
      </c>
      <c r="B122" s="260" t="s">
        <v>173</v>
      </c>
      <c r="C122" s="260"/>
      <c r="D122" s="260">
        <v>2010</v>
      </c>
      <c r="E122" s="260">
        <v>5000</v>
      </c>
      <c r="F122" s="260">
        <v>6200</v>
      </c>
      <c r="G122" s="260"/>
      <c r="H122" s="260">
        <v>50000</v>
      </c>
      <c r="I122" s="260"/>
      <c r="J122" s="260">
        <v>48.7</v>
      </c>
      <c r="K122" s="260">
        <f t="shared" si="45"/>
        <v>0.19708890000000001</v>
      </c>
      <c r="L122" s="260">
        <f t="shared" si="58"/>
        <v>19.708190765400001</v>
      </c>
      <c r="M122" s="1">
        <f t="shared" si="46"/>
        <v>9.74</v>
      </c>
      <c r="N122" s="260">
        <f t="shared" si="47"/>
        <v>25.369262297369357</v>
      </c>
      <c r="O122" s="260">
        <v>37.5</v>
      </c>
      <c r="P122" s="260">
        <f>O122*0.004047</f>
        <v>0.15176250000000002</v>
      </c>
      <c r="Q122" s="260">
        <f>O122*0.404685642</f>
        <v>15.175711575000001</v>
      </c>
      <c r="R122" s="1">
        <f>O122/(E122/1000)</f>
        <v>7.5</v>
      </c>
      <c r="S122" s="260">
        <f>E122/1000/P122</f>
        <v>32.946215303517</v>
      </c>
      <c r="T122" s="260">
        <v>0.50600000000000001</v>
      </c>
      <c r="U122" s="1">
        <f>1/T122</f>
        <v>1.9762845849802371</v>
      </c>
      <c r="V122" s="1">
        <f>T122*R122</f>
        <v>3.7949999999999999</v>
      </c>
      <c r="W122" s="260">
        <v>36.759613000000002</v>
      </c>
      <c r="X122" s="260">
        <v>-120.365853</v>
      </c>
      <c r="Y122" s="260" t="s">
        <v>91</v>
      </c>
      <c r="Z122" s="260"/>
      <c r="AA122" s="260" t="s">
        <v>96</v>
      </c>
      <c r="AB122" s="260">
        <v>0.09</v>
      </c>
      <c r="AC122" s="260" t="s">
        <v>216</v>
      </c>
      <c r="AD122" s="260" t="s">
        <v>174</v>
      </c>
      <c r="AE122" s="260" t="s">
        <v>29</v>
      </c>
      <c r="AF122" s="260" t="s">
        <v>157</v>
      </c>
      <c r="AG122" s="260" t="s">
        <v>352</v>
      </c>
      <c r="AH122" s="260"/>
      <c r="AI122" s="260">
        <v>1</v>
      </c>
      <c r="AJ122" s="260"/>
      <c r="AK122" s="260"/>
      <c r="AL122" s="260">
        <v>1877.16</v>
      </c>
      <c r="AM122" s="98">
        <f t="shared" ref="AM122:AM143" si="59">1/(AL122/$M122/1000)</f>
        <v>5.1886892965969871</v>
      </c>
      <c r="AN122" s="100">
        <f>1/(AL122/$R122/1000)</f>
        <v>3.9953973023077411</v>
      </c>
      <c r="AO122" s="260">
        <v>2203.86</v>
      </c>
      <c r="AP122" s="260">
        <f t="shared" ref="AP122:AP143" si="60">1/(AO122/$M122/1000)</f>
        <v>4.4195184812102406</v>
      </c>
      <c r="AQ122" s="260">
        <v>1291.06</v>
      </c>
      <c r="AR122" s="260">
        <f t="shared" ref="AR122:AR143" si="61">1/(AQ122/$M122/1000)</f>
        <v>7.5441884962743799</v>
      </c>
      <c r="AS122" s="260"/>
      <c r="AT122" s="260"/>
      <c r="AU122" s="260"/>
      <c r="AV122" s="260"/>
      <c r="AW122" s="260"/>
      <c r="AX122" s="260"/>
    </row>
    <row r="123" spans="1:50" x14ac:dyDescent="0.3">
      <c r="A123" s="260" t="s">
        <v>491</v>
      </c>
      <c r="B123" s="260" t="s">
        <v>700</v>
      </c>
      <c r="C123" s="260"/>
      <c r="D123" s="260">
        <v>2011</v>
      </c>
      <c r="E123" s="108">
        <v>5000</v>
      </c>
      <c r="F123" s="98">
        <v>5742</v>
      </c>
      <c r="G123" s="260">
        <v>30</v>
      </c>
      <c r="H123" s="260">
        <v>24000</v>
      </c>
      <c r="I123" s="260" t="s">
        <v>701</v>
      </c>
      <c r="J123" s="260">
        <v>15</v>
      </c>
      <c r="K123" s="9">
        <f t="shared" si="45"/>
        <v>6.0705000000000002E-2</v>
      </c>
      <c r="L123" s="9">
        <f t="shared" si="58"/>
        <v>6.0702846299999997</v>
      </c>
      <c r="M123" s="1">
        <f t="shared" si="46"/>
        <v>3</v>
      </c>
      <c r="N123" s="9">
        <f t="shared" si="47"/>
        <v>82.365538258792512</v>
      </c>
      <c r="O123" s="260">
        <v>11.16</v>
      </c>
      <c r="P123" s="1">
        <f>O123*0.004047</f>
        <v>4.5164520000000007E-2</v>
      </c>
      <c r="Q123" s="1">
        <f>O123*0.4047</f>
        <v>4.5164520000000001</v>
      </c>
      <c r="R123" s="1">
        <f>O123/(E123/1000)</f>
        <v>2.2320000000000002</v>
      </c>
      <c r="S123" s="1">
        <f>E123/1000/P123</f>
        <v>110.70636862740929</v>
      </c>
      <c r="T123" s="260">
        <v>0.92</v>
      </c>
      <c r="U123" s="1">
        <f>1/T123</f>
        <v>1.0869565217391304</v>
      </c>
      <c r="V123" s="1">
        <f>T123*R123</f>
        <v>2.0534400000000002</v>
      </c>
      <c r="W123" s="260">
        <v>42.145809999999997</v>
      </c>
      <c r="X123" s="260">
        <v>-71.132459999999995</v>
      </c>
      <c r="Y123" s="260" t="s">
        <v>91</v>
      </c>
      <c r="Z123" s="260" t="s">
        <v>781</v>
      </c>
      <c r="AA123" s="260"/>
      <c r="AB123" s="15">
        <v>0.14899999999999999</v>
      </c>
      <c r="AC123" s="260" t="s">
        <v>399</v>
      </c>
      <c r="AD123" s="260" t="s">
        <v>703</v>
      </c>
      <c r="AE123" s="260" t="s">
        <v>29</v>
      </c>
      <c r="AF123" s="260" t="s">
        <v>694</v>
      </c>
      <c r="AG123" s="260" t="s">
        <v>702</v>
      </c>
      <c r="AH123" s="260"/>
      <c r="AI123" s="260">
        <v>1</v>
      </c>
      <c r="AJ123" s="260"/>
      <c r="AK123" s="260">
        <v>1191</v>
      </c>
      <c r="AL123" s="260">
        <v>1367.6</v>
      </c>
      <c r="AM123" s="98">
        <f t="shared" si="59"/>
        <v>2.1936238666276688</v>
      </c>
      <c r="AN123" s="100">
        <f>1/(AL123/$R123/1000)</f>
        <v>1.6320561567709859</v>
      </c>
      <c r="AO123" s="260">
        <v>1914</v>
      </c>
      <c r="AP123" s="260">
        <f t="shared" si="60"/>
        <v>1.567398119122257</v>
      </c>
      <c r="AQ123" s="260">
        <v>1165.94</v>
      </c>
      <c r="AR123" s="260">
        <f t="shared" si="61"/>
        <v>2.573031202291713</v>
      </c>
      <c r="AS123" s="260"/>
      <c r="AT123" s="260"/>
      <c r="AU123" s="260"/>
      <c r="AV123" s="260"/>
      <c r="AW123" s="260"/>
      <c r="AX123" s="260"/>
    </row>
    <row r="124" spans="1:50" x14ac:dyDescent="0.3">
      <c r="A124" s="11" t="s">
        <v>35</v>
      </c>
      <c r="B124" s="260" t="s">
        <v>36</v>
      </c>
      <c r="C124" s="260"/>
      <c r="D124" s="260">
        <v>2001</v>
      </c>
      <c r="E124" s="42">
        <v>5324</v>
      </c>
      <c r="F124" s="94">
        <v>6480</v>
      </c>
      <c r="G124" s="260"/>
      <c r="H124" s="260">
        <v>8400</v>
      </c>
      <c r="I124" s="260" t="s">
        <v>37</v>
      </c>
      <c r="J124" s="260">
        <v>70</v>
      </c>
      <c r="K124" s="9">
        <f t="shared" si="45"/>
        <v>0.28329000000000004</v>
      </c>
      <c r="L124" s="9">
        <f t="shared" si="58"/>
        <v>28.32799494</v>
      </c>
      <c r="M124" s="1">
        <f t="shared" si="46"/>
        <v>13.14800901577761</v>
      </c>
      <c r="N124" s="1">
        <f t="shared" si="47"/>
        <v>18.793462529563342</v>
      </c>
      <c r="O124" s="260">
        <v>37.19</v>
      </c>
      <c r="P124" s="1">
        <f>O124*0.004047</f>
        <v>0.15050793000000001</v>
      </c>
      <c r="Q124" s="1">
        <f>O124*0.4047</f>
        <v>15.050792999999999</v>
      </c>
      <c r="R124" s="1">
        <f>O124/(E124/1000)</f>
        <v>6.9853493613824194</v>
      </c>
      <c r="S124" s="1">
        <f>E124/1000/P124</f>
        <v>35.373551413536809</v>
      </c>
      <c r="T124" s="260"/>
      <c r="U124" s="1"/>
      <c r="V124" s="1"/>
      <c r="W124" s="260">
        <v>34.297060999999999</v>
      </c>
      <c r="X124" s="260">
        <v>-109.26690000000001</v>
      </c>
      <c r="Y124" s="260" t="s">
        <v>91</v>
      </c>
      <c r="Z124" s="260" t="s">
        <v>88</v>
      </c>
      <c r="AA124" s="260" t="s">
        <v>94</v>
      </c>
      <c r="AB124" s="15">
        <v>0.10970000000000001</v>
      </c>
      <c r="AC124" s="15" t="s">
        <v>81</v>
      </c>
      <c r="AD124" s="15" t="s">
        <v>81</v>
      </c>
      <c r="AE124" s="260" t="s">
        <v>29</v>
      </c>
      <c r="AF124" s="260" t="s">
        <v>80</v>
      </c>
      <c r="AG124" s="15" t="s">
        <v>252</v>
      </c>
      <c r="AH124" s="260">
        <v>1</v>
      </c>
      <c r="AI124" s="260">
        <v>1</v>
      </c>
      <c r="AJ124" s="260"/>
      <c r="AK124" s="260"/>
      <c r="AL124" s="260">
        <v>2129.36</v>
      </c>
      <c r="AM124" s="98">
        <f t="shared" si="59"/>
        <v>6.1746294735402225</v>
      </c>
      <c r="AN124" s="100">
        <f>1/(AL124/$R124/1000)</f>
        <v>3.2804924302994412</v>
      </c>
      <c r="AO124" s="260">
        <v>2201.87</v>
      </c>
      <c r="AP124" s="260">
        <f t="shared" si="60"/>
        <v>5.9712921361286586</v>
      </c>
      <c r="AQ124" s="260">
        <v>1292.8900000000001</v>
      </c>
      <c r="AR124" s="260">
        <f t="shared" si="61"/>
        <v>10.169472279758997</v>
      </c>
      <c r="AS124" s="260"/>
      <c r="AT124" s="260"/>
      <c r="AU124" s="260"/>
      <c r="AV124" s="260"/>
      <c r="AW124" s="260"/>
      <c r="AX124" s="260"/>
    </row>
    <row r="125" spans="1:50" x14ac:dyDescent="0.3">
      <c r="A125" s="11" t="s">
        <v>26</v>
      </c>
      <c r="B125" s="11" t="s">
        <v>515</v>
      </c>
      <c r="C125" s="11"/>
      <c r="D125" s="260">
        <v>2011</v>
      </c>
      <c r="E125" s="18">
        <f>F125*$A$292</f>
        <v>5762.3273758985797</v>
      </c>
      <c r="F125" s="75">
        <v>6768</v>
      </c>
      <c r="G125" s="260">
        <v>18</v>
      </c>
      <c r="H125" s="260">
        <v>29428</v>
      </c>
      <c r="I125" s="260" t="s">
        <v>516</v>
      </c>
      <c r="J125" s="74">
        <v>32</v>
      </c>
      <c r="K125" s="9">
        <f t="shared" si="45"/>
        <v>0.12950400000000001</v>
      </c>
      <c r="L125" s="9">
        <f t="shared" si="58"/>
        <v>12.949940544</v>
      </c>
      <c r="M125" s="1">
        <f t="shared" si="46"/>
        <v>5.5533116937858651</v>
      </c>
      <c r="N125" s="1">
        <f t="shared" si="47"/>
        <v>44.49536211930581</v>
      </c>
      <c r="O125" s="11">
        <v>26.7</v>
      </c>
      <c r="P125" s="1">
        <f>O125*0.004047</f>
        <v>0.10805490000000001</v>
      </c>
      <c r="Q125" s="1">
        <f>O125*0.4047</f>
        <v>10.805490000000001</v>
      </c>
      <c r="R125" s="1">
        <f>O125/(E125/1000)</f>
        <v>4.6335444445025811</v>
      </c>
      <c r="S125" s="1">
        <f>E125/1000/P125</f>
        <v>53.327774824636172</v>
      </c>
      <c r="T125" s="260">
        <v>0.5</v>
      </c>
      <c r="U125" s="1">
        <f>1/T125</f>
        <v>2</v>
      </c>
      <c r="V125" s="1">
        <f>T125*R125</f>
        <v>2.3167722222512905</v>
      </c>
      <c r="W125" s="260">
        <v>36.028709999999997</v>
      </c>
      <c r="X125" s="260">
        <v>-119.07588</v>
      </c>
      <c r="Y125" s="260" t="s">
        <v>91</v>
      </c>
      <c r="Z125" s="260" t="s">
        <v>518</v>
      </c>
      <c r="AA125" s="11"/>
      <c r="AB125" s="15">
        <v>0.14099999999999999</v>
      </c>
      <c r="AC125" s="11" t="s">
        <v>399</v>
      </c>
      <c r="AD125" s="260" t="s">
        <v>517</v>
      </c>
      <c r="AE125" s="260" t="s">
        <v>29</v>
      </c>
      <c r="AF125" s="260" t="s">
        <v>157</v>
      </c>
      <c r="AG125" s="15" t="s">
        <v>380</v>
      </c>
      <c r="AH125" s="260"/>
      <c r="AI125" s="260">
        <v>1</v>
      </c>
      <c r="AJ125" s="260">
        <v>125</v>
      </c>
      <c r="AK125" s="260">
        <v>1548</v>
      </c>
      <c r="AL125" s="260">
        <v>1854.7</v>
      </c>
      <c r="AM125" s="98">
        <f t="shared" si="59"/>
        <v>2.9941832607892733</v>
      </c>
      <c r="AN125" s="100">
        <f>1/(AL125/$R125/1000)</f>
        <v>2.4982716582210496</v>
      </c>
      <c r="AO125" s="260">
        <v>2164.54</v>
      </c>
      <c r="AP125" s="260">
        <f t="shared" si="60"/>
        <v>2.5655851561005409</v>
      </c>
      <c r="AQ125" s="260">
        <v>1282.78</v>
      </c>
      <c r="AR125" s="260">
        <f t="shared" si="61"/>
        <v>4.3291224479535577</v>
      </c>
      <c r="AS125" s="260"/>
      <c r="AT125" s="260"/>
      <c r="AU125" s="260"/>
      <c r="AV125" s="260"/>
      <c r="AW125" s="260"/>
      <c r="AX125" s="260"/>
    </row>
    <row r="126" spans="1:50" x14ac:dyDescent="0.3">
      <c r="A126" s="260" t="s">
        <v>738</v>
      </c>
      <c r="B126" s="260" t="s">
        <v>737</v>
      </c>
      <c r="C126" s="260"/>
      <c r="D126" s="260">
        <v>2013</v>
      </c>
      <c r="E126" s="18">
        <f>F126*$A$292</f>
        <v>8514.0770920487284</v>
      </c>
      <c r="F126" s="260">
        <v>10000</v>
      </c>
      <c r="G126" s="260"/>
      <c r="H126" s="260">
        <v>41000</v>
      </c>
      <c r="I126" s="260" t="s">
        <v>739</v>
      </c>
      <c r="J126" s="260">
        <v>60</v>
      </c>
      <c r="K126" s="9">
        <f t="shared" si="45"/>
        <v>0.24282000000000001</v>
      </c>
      <c r="L126" s="9">
        <f t="shared" si="58"/>
        <v>24.281138519999999</v>
      </c>
      <c r="M126" s="1">
        <f t="shared" si="46"/>
        <v>7.0471525394142631</v>
      </c>
      <c r="N126" s="9">
        <f t="shared" si="47"/>
        <v>35.063327123172421</v>
      </c>
      <c r="O126" s="260"/>
      <c r="P126" s="260"/>
      <c r="Q126" s="260"/>
      <c r="R126" s="260"/>
      <c r="S126" s="260"/>
      <c r="T126" s="260"/>
      <c r="U126" s="260"/>
      <c r="V126" s="260"/>
      <c r="W126" s="260">
        <v>39.69556</v>
      </c>
      <c r="X126" s="260">
        <v>-86.315439999999995</v>
      </c>
      <c r="Y126" s="260" t="s">
        <v>91</v>
      </c>
      <c r="Z126" s="260"/>
      <c r="AA126" s="260"/>
      <c r="AB126" s="15"/>
      <c r="AC126" s="260"/>
      <c r="AD126" s="260" t="s">
        <v>740</v>
      </c>
      <c r="AE126" s="260" t="s">
        <v>109</v>
      </c>
      <c r="AF126" s="260" t="s">
        <v>611</v>
      </c>
      <c r="AG126" s="260" t="s">
        <v>444</v>
      </c>
      <c r="AH126" s="260"/>
      <c r="AI126" s="260">
        <v>1</v>
      </c>
      <c r="AJ126" s="260"/>
      <c r="AK126" s="260"/>
      <c r="AL126" s="260">
        <v>1518.76</v>
      </c>
      <c r="AM126" s="98">
        <f t="shared" si="59"/>
        <v>4.6400698855739311</v>
      </c>
      <c r="AO126" s="260">
        <v>2203.89</v>
      </c>
      <c r="AP126" s="260">
        <f t="shared" si="60"/>
        <v>3.1975972210111498</v>
      </c>
      <c r="AQ126" s="260">
        <v>1289.6600000000001</v>
      </c>
      <c r="AR126" s="260">
        <f t="shared" si="61"/>
        <v>5.4643491613404018</v>
      </c>
      <c r="AS126" s="260"/>
      <c r="AT126" s="260"/>
      <c r="AU126" s="260"/>
      <c r="AV126" s="260"/>
      <c r="AW126" s="260"/>
      <c r="AX126" s="260"/>
    </row>
    <row r="127" spans="1:50" x14ac:dyDescent="0.3">
      <c r="A127" s="11" t="s">
        <v>148</v>
      </c>
      <c r="B127" s="260" t="s">
        <v>152</v>
      </c>
      <c r="C127" s="260"/>
      <c r="D127" s="260">
        <v>2010</v>
      </c>
      <c r="E127" s="94">
        <v>10000</v>
      </c>
      <c r="F127" s="18">
        <f>E127/$A$292</f>
        <v>11745.254232357105</v>
      </c>
      <c r="G127" s="260">
        <v>74</v>
      </c>
      <c r="H127" s="260">
        <v>35000</v>
      </c>
      <c r="I127" s="260" t="s">
        <v>153</v>
      </c>
      <c r="J127" s="260">
        <v>45</v>
      </c>
      <c r="K127" s="9">
        <f t="shared" si="45"/>
        <v>0.182115</v>
      </c>
      <c r="L127" s="9">
        <f t="shared" si="58"/>
        <v>18.210853889999999</v>
      </c>
      <c r="M127" s="1">
        <f t="shared" si="46"/>
        <v>4.5</v>
      </c>
      <c r="N127" s="1">
        <f t="shared" si="47"/>
        <v>54.910358839195013</v>
      </c>
      <c r="O127" s="260">
        <v>30</v>
      </c>
      <c r="P127" s="1">
        <f t="shared" ref="P127:P134" si="62">O127*0.004047</f>
        <v>0.12141</v>
      </c>
      <c r="Q127" s="1">
        <f t="shared" ref="Q127:Q134" si="63">O127*0.4047</f>
        <v>12.141</v>
      </c>
      <c r="R127" s="1">
        <f t="shared" ref="R127:R134" si="64">O127/(E127/1000)</f>
        <v>3</v>
      </c>
      <c r="S127" s="1">
        <f t="shared" ref="S127:S134" si="65">E127/1000/P127</f>
        <v>82.365538258792512</v>
      </c>
      <c r="T127" s="260">
        <v>0.61839999999999995</v>
      </c>
      <c r="U127" s="1">
        <f t="shared" ref="U127:V129" si="66">1/T127</f>
        <v>1.6170763260025875</v>
      </c>
      <c r="V127" s="1">
        <f t="shared" si="66"/>
        <v>0.61839999999999995</v>
      </c>
      <c r="W127" s="260">
        <v>28.48742</v>
      </c>
      <c r="X127" s="260">
        <v>-80.679969999999997</v>
      </c>
      <c r="Y127" s="260" t="s">
        <v>91</v>
      </c>
      <c r="Z127" s="260"/>
      <c r="AA127" s="260" t="s">
        <v>95</v>
      </c>
      <c r="AB127" s="15"/>
      <c r="AC127" s="15"/>
      <c r="AD127" s="15"/>
      <c r="AE127" s="260" t="s">
        <v>29</v>
      </c>
      <c r="AF127" s="260" t="s">
        <v>110</v>
      </c>
      <c r="AG127" s="15" t="s">
        <v>252</v>
      </c>
      <c r="AH127" s="260">
        <v>1</v>
      </c>
      <c r="AI127" s="260">
        <v>1</v>
      </c>
      <c r="AJ127" s="260"/>
      <c r="AK127" s="260"/>
      <c r="AL127" s="260">
        <v>1790.79</v>
      </c>
      <c r="AM127" s="98">
        <f t="shared" si="59"/>
        <v>2.5128574539728277</v>
      </c>
      <c r="AN127" s="100">
        <f t="shared" ref="AN127:AN134" si="67">1/(AL127/$R127/1000)</f>
        <v>1.6752383026485518</v>
      </c>
      <c r="AO127" s="260">
        <v>2182.4</v>
      </c>
      <c r="AP127" s="260">
        <f t="shared" si="60"/>
        <v>2.0619501466275656</v>
      </c>
      <c r="AQ127" s="260">
        <v>1289.48</v>
      </c>
      <c r="AR127" s="260">
        <f t="shared" si="61"/>
        <v>3.4897788255730986</v>
      </c>
      <c r="AS127" s="260"/>
      <c r="AT127" s="260"/>
      <c r="AU127" s="260"/>
      <c r="AV127" s="260"/>
      <c r="AW127" s="260"/>
      <c r="AX127" s="260"/>
    </row>
    <row r="128" spans="1:50" x14ac:dyDescent="0.3">
      <c r="A128" s="11" t="s">
        <v>107</v>
      </c>
      <c r="B128" s="260" t="s">
        <v>185</v>
      </c>
      <c r="C128" s="260"/>
      <c r="D128" s="260">
        <v>2008</v>
      </c>
      <c r="E128" s="42">
        <v>10000</v>
      </c>
      <c r="F128" s="94">
        <v>12000</v>
      </c>
      <c r="G128" s="260"/>
      <c r="H128" s="260">
        <v>167000</v>
      </c>
      <c r="I128" s="260" t="s">
        <v>186</v>
      </c>
      <c r="J128" s="260">
        <v>80</v>
      </c>
      <c r="K128" s="9">
        <f t="shared" si="45"/>
        <v>0.32376000000000005</v>
      </c>
      <c r="L128" s="9">
        <f t="shared" si="58"/>
        <v>32.374851360000001</v>
      </c>
      <c r="M128" s="1">
        <f t="shared" si="46"/>
        <v>8</v>
      </c>
      <c r="N128" s="1">
        <f t="shared" si="47"/>
        <v>30.88707684704719</v>
      </c>
      <c r="O128" s="260">
        <v>70</v>
      </c>
      <c r="P128" s="1">
        <f t="shared" si="62"/>
        <v>0.28329000000000004</v>
      </c>
      <c r="Q128" s="1">
        <f t="shared" si="63"/>
        <v>28.329000000000001</v>
      </c>
      <c r="R128" s="1">
        <f t="shared" si="64"/>
        <v>7</v>
      </c>
      <c r="S128" s="1">
        <f t="shared" si="65"/>
        <v>35.299516396625364</v>
      </c>
      <c r="T128" s="260">
        <v>0.46</v>
      </c>
      <c r="U128" s="1">
        <f t="shared" si="66"/>
        <v>2.1739130434782608</v>
      </c>
      <c r="V128" s="1">
        <f t="shared" si="66"/>
        <v>0.46</v>
      </c>
      <c r="W128" s="260">
        <v>35.788820000000001</v>
      </c>
      <c r="X128" s="260">
        <v>-114.99776</v>
      </c>
      <c r="Y128" s="260" t="s">
        <v>91</v>
      </c>
      <c r="Z128" s="260"/>
      <c r="AA128" s="260" t="s">
        <v>94</v>
      </c>
      <c r="AB128" s="15">
        <v>0.107</v>
      </c>
      <c r="AC128" s="15"/>
      <c r="AD128" s="15" t="s">
        <v>146</v>
      </c>
      <c r="AE128" s="260" t="s">
        <v>29</v>
      </c>
      <c r="AF128" s="260" t="s">
        <v>110</v>
      </c>
      <c r="AG128" s="15" t="s">
        <v>252</v>
      </c>
      <c r="AH128" s="260"/>
      <c r="AI128" s="260">
        <v>1</v>
      </c>
      <c r="AJ128" s="260"/>
      <c r="AK128" s="260"/>
      <c r="AL128" s="260">
        <v>2124.63</v>
      </c>
      <c r="AM128" s="98">
        <f t="shared" si="59"/>
        <v>3.7653614982373398</v>
      </c>
      <c r="AN128" s="100">
        <f t="shared" si="67"/>
        <v>3.2946913109576728</v>
      </c>
      <c r="AO128" s="260">
        <v>2203.4</v>
      </c>
      <c r="AP128" s="260">
        <f t="shared" si="60"/>
        <v>3.630752473450122</v>
      </c>
      <c r="AQ128" s="260">
        <v>1293.23</v>
      </c>
      <c r="AR128" s="260">
        <f t="shared" si="61"/>
        <v>6.1860612574716018</v>
      </c>
      <c r="AS128" s="260"/>
      <c r="AT128" s="260"/>
      <c r="AU128" s="260"/>
      <c r="AV128" s="260"/>
      <c r="AW128" s="260"/>
      <c r="AX128" s="260"/>
    </row>
    <row r="129" spans="1:48" x14ac:dyDescent="0.3">
      <c r="A129" s="11" t="s">
        <v>196</v>
      </c>
      <c r="B129" s="260" t="s">
        <v>197</v>
      </c>
      <c r="C129" s="260"/>
      <c r="D129" s="260">
        <v>2010</v>
      </c>
      <c r="E129" s="42">
        <v>10000</v>
      </c>
      <c r="F129" s="94">
        <v>12600</v>
      </c>
      <c r="G129" s="260"/>
      <c r="H129" s="260">
        <v>159200</v>
      </c>
      <c r="I129" s="260" t="s">
        <v>199</v>
      </c>
      <c r="J129" s="260">
        <v>77</v>
      </c>
      <c r="K129" s="9">
        <f t="shared" si="45"/>
        <v>0.31161900000000003</v>
      </c>
      <c r="L129" s="9">
        <f t="shared" si="58"/>
        <v>31.160794434</v>
      </c>
      <c r="M129" s="1">
        <f t="shared" si="46"/>
        <v>7.7</v>
      </c>
      <c r="N129" s="1">
        <f t="shared" si="47"/>
        <v>32.090469451477603</v>
      </c>
      <c r="O129" s="260">
        <v>61.91</v>
      </c>
      <c r="P129" s="1">
        <f t="shared" si="62"/>
        <v>0.25054977</v>
      </c>
      <c r="Q129" s="1">
        <f t="shared" si="63"/>
        <v>25.054976999999997</v>
      </c>
      <c r="R129" s="1">
        <f t="shared" si="64"/>
        <v>6.1909999999999998</v>
      </c>
      <c r="S129" s="1">
        <f t="shared" si="65"/>
        <v>39.912229813661369</v>
      </c>
      <c r="T129" s="260">
        <v>0.48530000000000001</v>
      </c>
      <c r="U129" s="1">
        <f t="shared" si="66"/>
        <v>2.06058108386565</v>
      </c>
      <c r="V129" s="1">
        <f t="shared" si="66"/>
        <v>0.48530000000000001</v>
      </c>
      <c r="W129" s="260">
        <v>40.879255999999998</v>
      </c>
      <c r="X129" s="260">
        <v>-83.318020000000004</v>
      </c>
      <c r="Y129" s="260" t="s">
        <v>91</v>
      </c>
      <c r="Z129" s="260"/>
      <c r="AA129" s="260" t="s">
        <v>94</v>
      </c>
      <c r="AB129" s="15">
        <v>0.107</v>
      </c>
      <c r="AC129" s="15" t="s">
        <v>366</v>
      </c>
      <c r="AD129" s="15" t="s">
        <v>146</v>
      </c>
      <c r="AE129" s="260" t="s">
        <v>29</v>
      </c>
      <c r="AF129" s="260" t="s">
        <v>110</v>
      </c>
      <c r="AG129" s="15" t="s">
        <v>252</v>
      </c>
      <c r="AH129" s="260"/>
      <c r="AI129" s="260">
        <v>1</v>
      </c>
      <c r="AJ129" s="260"/>
      <c r="AK129" s="260"/>
      <c r="AL129" s="260">
        <v>1453.5</v>
      </c>
      <c r="AM129" s="98">
        <f t="shared" si="59"/>
        <v>5.2975576195390435</v>
      </c>
      <c r="AN129" s="100">
        <f t="shared" si="67"/>
        <v>4.2593739250085996</v>
      </c>
      <c r="AO129" s="260">
        <v>2202.13</v>
      </c>
      <c r="AP129" s="260">
        <f t="shared" si="60"/>
        <v>3.4966146412791255</v>
      </c>
      <c r="AQ129" s="260">
        <v>1284.54</v>
      </c>
      <c r="AR129" s="260">
        <f t="shared" si="61"/>
        <v>5.9943637411057651</v>
      </c>
      <c r="AS129" s="260"/>
      <c r="AT129" s="11"/>
      <c r="AU129" s="11"/>
      <c r="AV129" s="11"/>
    </row>
    <row r="130" spans="1:48" x14ac:dyDescent="0.3">
      <c r="A130" s="11" t="s">
        <v>171</v>
      </c>
      <c r="B130" s="11" t="s">
        <v>577</v>
      </c>
      <c r="C130" s="11"/>
      <c r="D130" s="260">
        <v>2011</v>
      </c>
      <c r="E130" s="42">
        <v>10000</v>
      </c>
      <c r="F130" s="94">
        <f>235*H130/1000</f>
        <v>12502</v>
      </c>
      <c r="G130" s="260">
        <v>41</v>
      </c>
      <c r="H130" s="260">
        <v>53200</v>
      </c>
      <c r="I130" s="260" t="s">
        <v>576</v>
      </c>
      <c r="J130" s="74">
        <v>98</v>
      </c>
      <c r="K130" s="9">
        <f t="shared" si="45"/>
        <v>0.39660600000000001</v>
      </c>
      <c r="L130" s="9">
        <f t="shared" si="58"/>
        <v>39.659192916000002</v>
      </c>
      <c r="M130" s="1">
        <f t="shared" si="46"/>
        <v>9.8000000000000007</v>
      </c>
      <c r="N130" s="1">
        <f t="shared" si="47"/>
        <v>25.213940283303831</v>
      </c>
      <c r="O130" s="11">
        <v>78</v>
      </c>
      <c r="P130" s="25">
        <f t="shared" si="62"/>
        <v>0.315666</v>
      </c>
      <c r="Q130" s="1">
        <f t="shared" si="63"/>
        <v>31.566600000000001</v>
      </c>
      <c r="R130" s="1">
        <f t="shared" si="64"/>
        <v>7.8</v>
      </c>
      <c r="S130" s="1">
        <f t="shared" si="65"/>
        <v>31.679053176458662</v>
      </c>
      <c r="T130" s="260"/>
      <c r="U130" s="11"/>
      <c r="V130" s="11"/>
      <c r="W130" s="260">
        <v>39.380499999999998</v>
      </c>
      <c r="X130" s="260">
        <v>-75.188900000000004</v>
      </c>
      <c r="Y130" s="260" t="s">
        <v>91</v>
      </c>
      <c r="Z130" s="260" t="s">
        <v>579</v>
      </c>
      <c r="AA130" s="11"/>
      <c r="AB130" s="15">
        <v>0.14399999999999999</v>
      </c>
      <c r="AC130" s="11" t="s">
        <v>399</v>
      </c>
      <c r="AD130" s="260" t="s">
        <v>578</v>
      </c>
      <c r="AE130" s="260" t="s">
        <v>29</v>
      </c>
      <c r="AF130" s="11" t="s">
        <v>157</v>
      </c>
      <c r="AG130" s="15" t="s">
        <v>380</v>
      </c>
      <c r="AH130" s="260"/>
      <c r="AI130" s="260">
        <v>1</v>
      </c>
      <c r="AJ130" s="260"/>
      <c r="AK130" s="260"/>
      <c r="AL130" s="260">
        <v>1609.45</v>
      </c>
      <c r="AM130" s="98">
        <f t="shared" si="59"/>
        <v>6.0890366274193051</v>
      </c>
      <c r="AN130" s="100">
        <f t="shared" si="67"/>
        <v>4.8463760912112832</v>
      </c>
      <c r="AO130" s="260">
        <v>2203.34</v>
      </c>
      <c r="AP130" s="260">
        <f t="shared" si="60"/>
        <v>4.4477928962393456</v>
      </c>
      <c r="AQ130" s="260">
        <v>1286.79</v>
      </c>
      <c r="AR130" s="260">
        <f t="shared" si="61"/>
        <v>7.615850294142791</v>
      </c>
      <c r="AS130" s="260"/>
      <c r="AT130" s="11"/>
      <c r="AU130" s="11"/>
      <c r="AV130" s="11"/>
    </row>
    <row r="131" spans="1:48" x14ac:dyDescent="0.3">
      <c r="A131" s="11" t="s">
        <v>148</v>
      </c>
      <c r="B131" s="260" t="s">
        <v>195</v>
      </c>
      <c r="C131" s="260"/>
      <c r="D131" s="260">
        <v>2010</v>
      </c>
      <c r="E131" s="42">
        <f>12600</f>
        <v>12600</v>
      </c>
      <c r="F131" s="94">
        <v>15010</v>
      </c>
      <c r="G131" s="260"/>
      <c r="H131" s="260">
        <v>200000</v>
      </c>
      <c r="I131" s="260" t="s">
        <v>192</v>
      </c>
      <c r="J131" s="260">
        <v>96</v>
      </c>
      <c r="K131" s="9">
        <f t="shared" ref="K131:K161" si="68">J131*0.004047</f>
        <v>0.38851200000000002</v>
      </c>
      <c r="L131" s="9">
        <f t="shared" si="58"/>
        <v>38.849821632000001</v>
      </c>
      <c r="M131" s="1">
        <f t="shared" ref="M131:M161" si="69">J131/(E131/1000)</f>
        <v>7.6190476190476195</v>
      </c>
      <c r="N131" s="1">
        <f t="shared" ref="N131:N161" si="70">E131/1000/K131</f>
        <v>32.431430689399555</v>
      </c>
      <c r="O131" s="260">
        <v>70.400000000000006</v>
      </c>
      <c r="P131" s="1">
        <f t="shared" si="62"/>
        <v>0.28490880000000002</v>
      </c>
      <c r="Q131" s="1">
        <f t="shared" si="63"/>
        <v>28.490880000000004</v>
      </c>
      <c r="R131" s="1">
        <f t="shared" si="64"/>
        <v>5.5873015873015879</v>
      </c>
      <c r="S131" s="1">
        <f t="shared" si="65"/>
        <v>44.224678212817572</v>
      </c>
      <c r="T131" s="1">
        <v>0.56999999999999995</v>
      </c>
      <c r="U131" s="1"/>
      <c r="V131" s="1"/>
      <c r="W131" s="260">
        <v>30.320170000000001</v>
      </c>
      <c r="X131" s="260">
        <v>-81.955389999999994</v>
      </c>
      <c r="Y131" s="260" t="s">
        <v>91</v>
      </c>
      <c r="Z131" s="260"/>
      <c r="AA131" s="260" t="s">
        <v>96</v>
      </c>
      <c r="AB131" s="15">
        <v>0.11</v>
      </c>
      <c r="AC131" s="15" t="s">
        <v>366</v>
      </c>
      <c r="AD131" s="15" t="s">
        <v>602</v>
      </c>
      <c r="AE131" s="260" t="s">
        <v>109</v>
      </c>
      <c r="AF131" s="260" t="s">
        <v>157</v>
      </c>
      <c r="AG131" s="15" t="s">
        <v>352</v>
      </c>
      <c r="AH131" s="260"/>
      <c r="AI131" s="260">
        <v>1</v>
      </c>
      <c r="AJ131" s="260"/>
      <c r="AK131" s="260"/>
      <c r="AL131" s="260">
        <v>1700.72</v>
      </c>
      <c r="AM131" s="98">
        <f t="shared" si="59"/>
        <v>4.4798953496446323</v>
      </c>
      <c r="AN131" s="100">
        <f t="shared" si="67"/>
        <v>3.2852565897393973</v>
      </c>
      <c r="AO131" s="260">
        <v>2191.0100000000002</v>
      </c>
      <c r="AP131" s="260">
        <f t="shared" si="60"/>
        <v>3.477413439029315</v>
      </c>
      <c r="AQ131" s="260">
        <v>1291.77</v>
      </c>
      <c r="AR131" s="260">
        <f t="shared" si="61"/>
        <v>5.8981456598679491</v>
      </c>
      <c r="AS131" s="260"/>
      <c r="AT131" s="260"/>
    </row>
    <row r="132" spans="1:48" x14ac:dyDescent="0.3">
      <c r="A132" s="11" t="s">
        <v>190</v>
      </c>
      <c r="B132" s="260" t="s">
        <v>191</v>
      </c>
      <c r="C132" s="260"/>
      <c r="D132" s="260">
        <v>2010</v>
      </c>
      <c r="E132" s="42">
        <v>14000</v>
      </c>
      <c r="F132" s="94">
        <v>16100</v>
      </c>
      <c r="G132" s="260"/>
      <c r="H132" s="260">
        <v>214500</v>
      </c>
      <c r="I132" s="260" t="s">
        <v>192</v>
      </c>
      <c r="J132" s="260">
        <v>108</v>
      </c>
      <c r="K132" s="9">
        <f t="shared" si="68"/>
        <v>0.43707600000000002</v>
      </c>
      <c r="L132" s="9">
        <f t="shared" si="58"/>
        <v>43.706049336</v>
      </c>
      <c r="M132" s="1">
        <f t="shared" si="69"/>
        <v>7.7142857142857144</v>
      </c>
      <c r="N132" s="1">
        <f t="shared" si="70"/>
        <v>32.031042656197087</v>
      </c>
      <c r="O132" s="260">
        <v>83.2</v>
      </c>
      <c r="P132" s="1">
        <f t="shared" si="62"/>
        <v>0.33671040000000002</v>
      </c>
      <c r="Q132" s="1">
        <f t="shared" si="63"/>
        <v>33.671040000000005</v>
      </c>
      <c r="R132" s="1">
        <f t="shared" si="64"/>
        <v>5.9428571428571431</v>
      </c>
      <c r="S132" s="1">
        <f t="shared" si="65"/>
        <v>41.57875729410199</v>
      </c>
      <c r="T132" s="1">
        <v>0.59</v>
      </c>
      <c r="U132" s="1"/>
      <c r="V132" s="1"/>
      <c r="W132" s="260">
        <v>29.300809999999998</v>
      </c>
      <c r="X132" s="260">
        <v>-98.392099999999999</v>
      </c>
      <c r="Y132" s="260" t="s">
        <v>91</v>
      </c>
      <c r="Z132" s="260" t="s">
        <v>600</v>
      </c>
      <c r="AA132" s="260" t="s">
        <v>95</v>
      </c>
      <c r="AB132" s="15"/>
      <c r="AC132" s="15"/>
      <c r="AD132" s="15"/>
      <c r="AE132" s="260" t="s">
        <v>109</v>
      </c>
      <c r="AF132" s="260" t="s">
        <v>110</v>
      </c>
      <c r="AG132" s="15" t="s">
        <v>252</v>
      </c>
      <c r="AH132" s="260">
        <v>1</v>
      </c>
      <c r="AI132" s="260">
        <v>1</v>
      </c>
      <c r="AJ132" s="260"/>
      <c r="AK132" s="260"/>
      <c r="AL132" s="260">
        <v>1637.73</v>
      </c>
      <c r="AM132" s="98">
        <f t="shared" si="59"/>
        <v>4.7103525698898565</v>
      </c>
      <c r="AN132" s="100">
        <f t="shared" si="67"/>
        <v>3.6287160538410745</v>
      </c>
      <c r="AO132" s="260">
        <v>2123.54</v>
      </c>
      <c r="AP132" s="260">
        <f t="shared" si="60"/>
        <v>3.6327480124159255</v>
      </c>
      <c r="AQ132" s="260">
        <v>1266.03</v>
      </c>
      <c r="AR132" s="260">
        <f t="shared" si="61"/>
        <v>6.0932882430003357</v>
      </c>
      <c r="AS132" s="260"/>
      <c r="AT132" s="260"/>
    </row>
    <row r="133" spans="1:48" x14ac:dyDescent="0.3">
      <c r="A133" s="11" t="s">
        <v>573</v>
      </c>
      <c r="B133" s="11" t="s">
        <v>572</v>
      </c>
      <c r="C133" s="11"/>
      <c r="D133" s="260">
        <v>2012</v>
      </c>
      <c r="E133" s="75">
        <f>F133*$A$292</f>
        <v>14814.494140164788</v>
      </c>
      <c r="F133" s="75">
        <v>17400</v>
      </c>
      <c r="G133" s="260">
        <v>60</v>
      </c>
      <c r="H133" s="260">
        <v>220000</v>
      </c>
      <c r="I133" s="260" t="s">
        <v>574</v>
      </c>
      <c r="J133" s="74">
        <v>135</v>
      </c>
      <c r="K133" s="9">
        <f t="shared" si="68"/>
        <v>0.54634500000000008</v>
      </c>
      <c r="L133" s="9">
        <f t="shared" si="58"/>
        <v>54.632561670000001</v>
      </c>
      <c r="M133" s="1">
        <f t="shared" si="69"/>
        <v>9.1126972492425811</v>
      </c>
      <c r="N133" s="1">
        <f t="shared" si="70"/>
        <v>27.115639641920005</v>
      </c>
      <c r="O133" s="11">
        <v>90</v>
      </c>
      <c r="P133" s="25">
        <f t="shared" si="62"/>
        <v>0.36423</v>
      </c>
      <c r="Q133" s="1">
        <f t="shared" si="63"/>
        <v>36.423000000000002</v>
      </c>
      <c r="R133" s="1">
        <f t="shared" si="64"/>
        <v>6.075131499495054</v>
      </c>
      <c r="S133" s="1">
        <f t="shared" si="65"/>
        <v>40.673459462880018</v>
      </c>
      <c r="T133" s="11"/>
      <c r="U133" s="11"/>
      <c r="V133" s="11"/>
      <c r="W133" s="260">
        <v>39.677639999999997</v>
      </c>
      <c r="X133" s="260">
        <v>-77.341440000000006</v>
      </c>
      <c r="Y133" s="260" t="s">
        <v>91</v>
      </c>
      <c r="Z133" s="260" t="s">
        <v>575</v>
      </c>
      <c r="AA133" s="11"/>
      <c r="AB133" s="15">
        <v>0.107</v>
      </c>
      <c r="AC133" s="11" t="s">
        <v>366</v>
      </c>
      <c r="AD133" s="260" t="s">
        <v>102</v>
      </c>
      <c r="AE133" s="260" t="s">
        <v>109</v>
      </c>
      <c r="AF133" s="11" t="s">
        <v>157</v>
      </c>
      <c r="AG133" s="15" t="s">
        <v>385</v>
      </c>
      <c r="AH133" s="260"/>
      <c r="AI133" s="260">
        <v>1</v>
      </c>
      <c r="AJ133" s="260"/>
      <c r="AK133" s="260"/>
      <c r="AL133" s="260">
        <v>1543.06</v>
      </c>
      <c r="AM133" s="98">
        <f t="shared" si="59"/>
        <v>5.9056013695142004</v>
      </c>
      <c r="AN133" s="100">
        <f t="shared" si="67"/>
        <v>3.9370675796761336</v>
      </c>
      <c r="AO133" s="260">
        <v>2191.13</v>
      </c>
      <c r="AP133" s="260">
        <f t="shared" si="60"/>
        <v>4.1589030542425967</v>
      </c>
      <c r="AQ133" s="260">
        <v>1292.3800000000001</v>
      </c>
      <c r="AR133" s="260">
        <f t="shared" si="61"/>
        <v>7.0510973933692727</v>
      </c>
      <c r="AS133" s="260"/>
      <c r="AT133" s="260"/>
    </row>
    <row r="134" spans="1:48" x14ac:dyDescent="0.3">
      <c r="A134" s="260" t="s">
        <v>168</v>
      </c>
      <c r="B134" s="260" t="s">
        <v>736</v>
      </c>
      <c r="C134" s="260"/>
      <c r="D134" s="260">
        <v>2013</v>
      </c>
      <c r="E134" s="75">
        <f>F134*$A$292</f>
        <v>17028.154184097457</v>
      </c>
      <c r="F134" s="260">
        <v>20000</v>
      </c>
      <c r="G134" s="260"/>
      <c r="H134" s="260"/>
      <c r="I134" s="260" t="s">
        <v>408</v>
      </c>
      <c r="J134" s="260">
        <v>100</v>
      </c>
      <c r="K134" s="9">
        <f t="shared" si="68"/>
        <v>0.4047</v>
      </c>
      <c r="L134" s="9">
        <f t="shared" si="58"/>
        <v>40.468564200000003</v>
      </c>
      <c r="M134" s="1">
        <f t="shared" si="69"/>
        <v>5.8726271161785526</v>
      </c>
      <c r="N134" s="9">
        <f t="shared" si="70"/>
        <v>42.075992547806912</v>
      </c>
      <c r="O134" s="260">
        <v>84.7</v>
      </c>
      <c r="P134" s="1">
        <f t="shared" si="62"/>
        <v>0.34278090000000005</v>
      </c>
      <c r="Q134" s="1">
        <f t="shared" si="63"/>
        <v>34.278089999999999</v>
      </c>
      <c r="R134" s="1">
        <f t="shared" si="64"/>
        <v>4.9741151674032347</v>
      </c>
      <c r="S134" s="1">
        <f t="shared" si="65"/>
        <v>49.676496514529994</v>
      </c>
      <c r="T134" s="260"/>
      <c r="U134" s="260"/>
      <c r="V134" s="260"/>
      <c r="W134" s="260">
        <v>40.120260000000002</v>
      </c>
      <c r="X134" s="260">
        <v>-80.437110000000004</v>
      </c>
      <c r="Y134" s="260" t="s">
        <v>91</v>
      </c>
      <c r="Z134" s="260"/>
      <c r="AA134" s="260"/>
      <c r="AB134" s="15"/>
      <c r="AC134" s="260"/>
      <c r="AD134" s="260"/>
      <c r="AE134" s="260" t="s">
        <v>24</v>
      </c>
      <c r="AF134" s="260" t="s">
        <v>475</v>
      </c>
      <c r="AG134" s="260" t="s">
        <v>252</v>
      </c>
      <c r="AH134" s="260"/>
      <c r="AI134" s="260">
        <v>1</v>
      </c>
      <c r="AJ134" s="260"/>
      <c r="AK134" s="260"/>
      <c r="AL134" s="260">
        <v>1454.98</v>
      </c>
      <c r="AM134" s="98">
        <f t="shared" si="59"/>
        <v>4.0362253200583877</v>
      </c>
      <c r="AN134" s="100">
        <f t="shared" si="67"/>
        <v>3.4186828460894545</v>
      </c>
      <c r="AO134" s="260">
        <v>2202.77</v>
      </c>
      <c r="AP134" s="260">
        <f t="shared" si="60"/>
        <v>2.6660192013594486</v>
      </c>
      <c r="AQ134" s="260">
        <v>1287.79</v>
      </c>
      <c r="AR134" s="260">
        <f t="shared" si="61"/>
        <v>4.5602366194632298</v>
      </c>
      <c r="AS134" s="260"/>
      <c r="AT134" s="260"/>
    </row>
    <row r="135" spans="1:48" x14ac:dyDescent="0.3">
      <c r="A135" s="260" t="s">
        <v>35</v>
      </c>
      <c r="B135" s="260" t="s">
        <v>642</v>
      </c>
      <c r="C135" s="260"/>
      <c r="D135" s="260">
        <v>2011</v>
      </c>
      <c r="E135" s="98">
        <v>17280</v>
      </c>
      <c r="F135" s="18">
        <f>E135/$A$292</f>
        <v>20295.799313513078</v>
      </c>
      <c r="G135" s="260"/>
      <c r="H135" s="260">
        <v>300000</v>
      </c>
      <c r="I135" s="260" t="s">
        <v>644</v>
      </c>
      <c r="J135" s="260">
        <v>200</v>
      </c>
      <c r="K135" s="260">
        <f t="shared" si="68"/>
        <v>0.80940000000000001</v>
      </c>
      <c r="L135" s="9">
        <f t="shared" si="58"/>
        <v>80.937128400000006</v>
      </c>
      <c r="M135" s="1">
        <f t="shared" si="69"/>
        <v>11.574074074074073</v>
      </c>
      <c r="N135" s="98">
        <f t="shared" si="70"/>
        <v>21.349147516679022</v>
      </c>
      <c r="O135" s="260"/>
      <c r="P135" s="260"/>
      <c r="Q135" s="260"/>
      <c r="R135" s="260"/>
      <c r="S135" s="260"/>
      <c r="T135" s="260"/>
      <c r="U135" s="260"/>
      <c r="V135" s="260"/>
      <c r="W135" s="260">
        <v>33.031500000000001</v>
      </c>
      <c r="X135" s="260">
        <v>-112.6606</v>
      </c>
      <c r="Y135" s="260" t="s">
        <v>91</v>
      </c>
      <c r="Z135" s="260"/>
      <c r="AA135" s="260"/>
      <c r="AB135" s="15">
        <v>0.106</v>
      </c>
      <c r="AC135" s="260" t="s">
        <v>366</v>
      </c>
      <c r="AD135" s="260" t="s">
        <v>102</v>
      </c>
      <c r="AE135" s="260" t="s">
        <v>29</v>
      </c>
      <c r="AF135" s="260" t="s">
        <v>645</v>
      </c>
      <c r="AG135" s="260" t="s">
        <v>380</v>
      </c>
      <c r="AH135" s="260"/>
      <c r="AI135" s="260">
        <v>1</v>
      </c>
      <c r="AJ135" s="260"/>
      <c r="AK135" s="260">
        <v>1761</v>
      </c>
      <c r="AL135" s="260">
        <v>2109.5</v>
      </c>
      <c r="AM135" s="98">
        <f t="shared" si="59"/>
        <v>5.4866433155127146</v>
      </c>
      <c r="AO135" s="260">
        <v>2200.21</v>
      </c>
      <c r="AP135" s="260">
        <f t="shared" si="60"/>
        <v>5.2604406279737264</v>
      </c>
      <c r="AQ135" s="260">
        <v>1294.4000000000001</v>
      </c>
      <c r="AR135" s="260">
        <f t="shared" si="61"/>
        <v>8.9416517877580901</v>
      </c>
      <c r="AS135" s="260"/>
      <c r="AT135" s="260"/>
    </row>
    <row r="136" spans="1:48" x14ac:dyDescent="0.3">
      <c r="A136" s="69" t="s">
        <v>107</v>
      </c>
      <c r="B136" s="11" t="s">
        <v>207</v>
      </c>
      <c r="C136" s="11"/>
      <c r="D136" s="260">
        <v>2011</v>
      </c>
      <c r="E136" s="18">
        <f>F136*$A$292</f>
        <v>17532.187547946742</v>
      </c>
      <c r="F136" s="18">
        <v>20592</v>
      </c>
      <c r="G136" s="260"/>
      <c r="H136" s="260">
        <v>52000</v>
      </c>
      <c r="I136" s="260" t="s">
        <v>423</v>
      </c>
      <c r="J136" s="260">
        <v>180</v>
      </c>
      <c r="K136" s="9">
        <f t="shared" si="68"/>
        <v>0.72846</v>
      </c>
      <c r="L136" s="9">
        <f>J136*0.4047</f>
        <v>72.846000000000004</v>
      </c>
      <c r="M136" s="1">
        <f t="shared" si="69"/>
        <v>10.266830622689778</v>
      </c>
      <c r="N136" s="9">
        <f t="shared" si="70"/>
        <v>24.067467737345552</v>
      </c>
      <c r="O136" s="24" t="s">
        <v>598</v>
      </c>
      <c r="P136" s="1"/>
      <c r="Q136" s="1"/>
      <c r="R136" s="1"/>
      <c r="S136" s="1"/>
      <c r="T136" s="1"/>
      <c r="U136" s="1"/>
      <c r="V136" s="1"/>
      <c r="W136" s="69">
        <v>40.098574999999997</v>
      </c>
      <c r="X136" s="69">
        <v>-119.889014</v>
      </c>
      <c r="Y136" s="260" t="s">
        <v>91</v>
      </c>
      <c r="Z136" s="260" t="s">
        <v>209</v>
      </c>
      <c r="AA136" s="10" t="s">
        <v>106</v>
      </c>
      <c r="AB136" s="15">
        <v>0.1</v>
      </c>
      <c r="AC136" s="15" t="s">
        <v>366</v>
      </c>
      <c r="AD136" s="15" t="s">
        <v>208</v>
      </c>
      <c r="AE136" s="260" t="s">
        <v>109</v>
      </c>
      <c r="AF136" s="260" t="s">
        <v>34</v>
      </c>
      <c r="AG136" s="15" t="s">
        <v>353</v>
      </c>
      <c r="AH136" s="260">
        <v>1</v>
      </c>
      <c r="AI136" s="260">
        <v>1</v>
      </c>
      <c r="AJ136" s="260"/>
      <c r="AK136" s="260"/>
      <c r="AL136" s="260">
        <v>1979.37</v>
      </c>
      <c r="AM136" s="98">
        <f t="shared" si="59"/>
        <v>5.1869183743765834</v>
      </c>
      <c r="AO136" s="260">
        <v>2191.13</v>
      </c>
      <c r="AP136" s="260">
        <f t="shared" si="60"/>
        <v>4.6856328116952337</v>
      </c>
      <c r="AQ136" s="260">
        <v>1292.3800000000001</v>
      </c>
      <c r="AR136" s="260">
        <f t="shared" si="61"/>
        <v>7.9441268223663144</v>
      </c>
      <c r="AS136" s="260"/>
      <c r="AT136" s="260"/>
    </row>
    <row r="137" spans="1:48" x14ac:dyDescent="0.3">
      <c r="A137" s="260" t="s">
        <v>26</v>
      </c>
      <c r="B137" s="260" t="s">
        <v>650</v>
      </c>
      <c r="C137" s="260"/>
      <c r="D137" s="260">
        <v>2011</v>
      </c>
      <c r="E137" s="98">
        <v>18000</v>
      </c>
      <c r="F137" s="18">
        <f>E137/$A$292</f>
        <v>21141.457618242788</v>
      </c>
      <c r="G137" s="260"/>
      <c r="H137" s="260">
        <v>281880</v>
      </c>
      <c r="I137" s="260" t="s">
        <v>167</v>
      </c>
      <c r="J137" s="260">
        <v>139.19999999999999</v>
      </c>
      <c r="K137" s="9">
        <f t="shared" si="68"/>
        <v>0.56334240000000002</v>
      </c>
      <c r="L137" s="9">
        <f>J137*0.404685642</f>
        <v>56.332241366399998</v>
      </c>
      <c r="M137" s="1">
        <f t="shared" si="69"/>
        <v>7.7333333333333325</v>
      </c>
      <c r="N137" s="9">
        <f t="shared" si="70"/>
        <v>31.952148462462613</v>
      </c>
      <c r="O137" s="260">
        <v>100.07</v>
      </c>
      <c r="P137" s="1">
        <f>O137*0.004047</f>
        <v>0.40498329</v>
      </c>
      <c r="Q137" s="1">
        <f>O137*0.4047</f>
        <v>40.498328999999998</v>
      </c>
      <c r="R137" s="1">
        <f>O137/(E137/1000)</f>
        <v>5.559444444444444</v>
      </c>
      <c r="S137" s="1">
        <f>E137/1000/P137</f>
        <v>44.446278264962487</v>
      </c>
      <c r="T137" s="260">
        <v>0.58758500000000002</v>
      </c>
      <c r="U137" s="260"/>
      <c r="V137" s="260"/>
      <c r="W137" s="260">
        <v>38.365569999999998</v>
      </c>
      <c r="X137" s="260">
        <v>-121.41294000000001</v>
      </c>
      <c r="Y137" s="260" t="s">
        <v>91</v>
      </c>
      <c r="Z137" s="260" t="s">
        <v>653</v>
      </c>
      <c r="AA137" s="260" t="s">
        <v>96</v>
      </c>
      <c r="AB137" s="15">
        <v>0.107</v>
      </c>
      <c r="AC137" s="260" t="s">
        <v>366</v>
      </c>
      <c r="AD137" s="260" t="s">
        <v>146</v>
      </c>
      <c r="AE137" s="260" t="s">
        <v>29</v>
      </c>
      <c r="AF137" s="260" t="s">
        <v>493</v>
      </c>
      <c r="AG137" s="260" t="s">
        <v>647</v>
      </c>
      <c r="AH137" s="260"/>
      <c r="AI137" s="260">
        <v>1</v>
      </c>
      <c r="AJ137" s="260"/>
      <c r="AK137" s="260">
        <v>1484</v>
      </c>
      <c r="AL137" s="260">
        <v>1805.1</v>
      </c>
      <c r="AM137" s="98">
        <f t="shared" si="59"/>
        <v>4.2841578490573005</v>
      </c>
      <c r="AN137" s="100">
        <f>1/(AL137/$R137/1000)</f>
        <v>3.0798539939307763</v>
      </c>
      <c r="AO137" s="260">
        <v>2123.37</v>
      </c>
      <c r="AP137" s="260">
        <f t="shared" si="60"/>
        <v>3.6420093216600651</v>
      </c>
      <c r="AQ137" s="260">
        <v>1265.07</v>
      </c>
      <c r="AR137" s="260">
        <f t="shared" si="61"/>
        <v>6.1129687158286368</v>
      </c>
      <c r="AS137" s="260"/>
      <c r="AT137" s="260"/>
    </row>
    <row r="138" spans="1:48" x14ac:dyDescent="0.3">
      <c r="A138" s="11" t="s">
        <v>171</v>
      </c>
      <c r="B138" s="11" t="s">
        <v>482</v>
      </c>
      <c r="C138" s="11"/>
      <c r="D138" s="260">
        <v>2011</v>
      </c>
      <c r="E138" s="42">
        <v>18000</v>
      </c>
      <c r="F138" s="94">
        <v>20000</v>
      </c>
      <c r="G138" s="260">
        <v>90</v>
      </c>
      <c r="H138" s="260">
        <v>71400</v>
      </c>
      <c r="I138" s="260" t="s">
        <v>484</v>
      </c>
      <c r="J138" s="74">
        <v>134</v>
      </c>
      <c r="K138" s="9">
        <f t="shared" si="68"/>
        <v>0.54229800000000006</v>
      </c>
      <c r="L138" s="9">
        <f t="shared" ref="L138:L150" si="71">J138*0.4047</f>
        <v>54.229799999999997</v>
      </c>
      <c r="M138" s="1">
        <f t="shared" si="69"/>
        <v>7.4444444444444446</v>
      </c>
      <c r="N138" s="1">
        <f t="shared" si="70"/>
        <v>33.19208258190146</v>
      </c>
      <c r="O138" s="11">
        <v>76.8</v>
      </c>
      <c r="P138" s="1">
        <f>O138*0.004047</f>
        <v>0.31080960000000002</v>
      </c>
      <c r="Q138" s="1">
        <f>O138*0.4047</f>
        <v>31.080959999999997</v>
      </c>
      <c r="R138" s="1">
        <f>O138/(E138/1000)</f>
        <v>4.2666666666666666</v>
      </c>
      <c r="S138" s="1">
        <f>E138/1000/P138</f>
        <v>57.91326908821349</v>
      </c>
      <c r="T138" s="11">
        <v>0.51100000000000001</v>
      </c>
      <c r="U138" s="1">
        <f>1/T138</f>
        <v>1.9569471624266144</v>
      </c>
      <c r="V138" s="1">
        <f>T138*R138</f>
        <v>2.1802666666666668</v>
      </c>
      <c r="W138" s="11">
        <v>39.614260000000002</v>
      </c>
      <c r="X138" s="11">
        <v>-75.309809000000001</v>
      </c>
      <c r="Y138" s="260" t="s">
        <v>91</v>
      </c>
      <c r="Z138" s="260"/>
      <c r="AA138" s="11"/>
      <c r="AB138" s="15">
        <v>0.14000000000000001</v>
      </c>
      <c r="AC138" s="260" t="s">
        <v>399</v>
      </c>
      <c r="AD138" s="260" t="s">
        <v>483</v>
      </c>
      <c r="AE138" s="260" t="s">
        <v>29</v>
      </c>
      <c r="AF138" s="260" t="s">
        <v>157</v>
      </c>
      <c r="AG138" s="15" t="s">
        <v>385</v>
      </c>
      <c r="AH138" s="260"/>
      <c r="AI138" s="260">
        <v>1</v>
      </c>
      <c r="AJ138" s="260"/>
      <c r="AK138" s="260"/>
      <c r="AL138" s="260">
        <v>1600.89</v>
      </c>
      <c r="AM138" s="98">
        <f t="shared" si="59"/>
        <v>4.6501911089734111</v>
      </c>
      <c r="AN138" s="100">
        <f>1/(AL138/$R138/1000)</f>
        <v>2.6651841579787905</v>
      </c>
      <c r="AO138" s="260">
        <v>2203.48</v>
      </c>
      <c r="AP138" s="260">
        <f t="shared" si="60"/>
        <v>3.3784942202536192</v>
      </c>
      <c r="AQ138" s="260">
        <v>1296.2</v>
      </c>
      <c r="AR138" s="260">
        <f t="shared" si="61"/>
        <v>5.7432837867955913</v>
      </c>
      <c r="AS138" s="260"/>
      <c r="AT138" s="260"/>
    </row>
    <row r="139" spans="1:48" x14ac:dyDescent="0.3">
      <c r="A139" s="69" t="s">
        <v>160</v>
      </c>
      <c r="B139" s="11" t="s">
        <v>161</v>
      </c>
      <c r="C139" s="11"/>
      <c r="D139" s="260">
        <v>2010</v>
      </c>
      <c r="E139" s="18">
        <f>F139*$A$292</f>
        <v>18730.969602507204</v>
      </c>
      <c r="F139" s="18">
        <v>22000</v>
      </c>
      <c r="G139" s="260">
        <v>130</v>
      </c>
      <c r="H139" s="260"/>
      <c r="I139" s="260" t="s">
        <v>162</v>
      </c>
      <c r="J139" s="260">
        <v>160</v>
      </c>
      <c r="K139" s="9">
        <f t="shared" si="68"/>
        <v>0.6475200000000001</v>
      </c>
      <c r="L139" s="9">
        <f t="shared" si="71"/>
        <v>64.751999999999995</v>
      </c>
      <c r="M139" s="1">
        <f t="shared" si="69"/>
        <v>8.5420030780778937</v>
      </c>
      <c r="N139" s="9">
        <f t="shared" si="70"/>
        <v>28.927244876617252</v>
      </c>
      <c r="O139" s="260"/>
      <c r="P139" s="1"/>
      <c r="Q139" s="1"/>
      <c r="R139" s="1"/>
      <c r="S139" s="1"/>
      <c r="T139" s="1"/>
      <c r="U139" s="1"/>
      <c r="V139" s="1"/>
      <c r="W139" s="260"/>
      <c r="X139" s="260"/>
      <c r="Y139" s="260" t="s">
        <v>91</v>
      </c>
      <c r="Z139" s="260"/>
      <c r="AA139" s="10" t="s">
        <v>106</v>
      </c>
      <c r="AB139" s="15"/>
      <c r="AC139" s="15"/>
      <c r="AD139" s="15"/>
      <c r="AE139" s="260" t="s">
        <v>109</v>
      </c>
      <c r="AF139" s="260" t="s">
        <v>157</v>
      </c>
      <c r="AG139" s="15" t="s">
        <v>352</v>
      </c>
      <c r="AH139" s="260"/>
      <c r="AI139" s="260">
        <v>1</v>
      </c>
      <c r="AJ139" s="260"/>
      <c r="AK139" s="260"/>
      <c r="AL139" s="260">
        <v>2173.39</v>
      </c>
      <c r="AM139" s="98">
        <f t="shared" si="59"/>
        <v>3.9302670381652138</v>
      </c>
      <c r="AO139" s="260">
        <v>2200.21</v>
      </c>
      <c r="AP139" s="260">
        <f t="shared" si="60"/>
        <v>3.8823580831274711</v>
      </c>
      <c r="AQ139" s="260">
        <v>1294.4000000000001</v>
      </c>
      <c r="AR139" s="260">
        <f t="shared" si="61"/>
        <v>6.5991989169328589</v>
      </c>
      <c r="AS139" s="260"/>
      <c r="AT139" s="260"/>
    </row>
    <row r="140" spans="1:48" x14ac:dyDescent="0.3">
      <c r="A140" s="69" t="s">
        <v>26</v>
      </c>
      <c r="B140" s="11" t="s">
        <v>184</v>
      </c>
      <c r="C140" s="11"/>
      <c r="D140" s="260">
        <v>2009</v>
      </c>
      <c r="E140" s="42">
        <v>21000</v>
      </c>
      <c r="F140" s="94">
        <f>E140*1.2</f>
        <v>25200</v>
      </c>
      <c r="G140" s="260"/>
      <c r="H140" s="260">
        <v>351000</v>
      </c>
      <c r="I140" s="260" t="s">
        <v>102</v>
      </c>
      <c r="J140" s="260">
        <v>186</v>
      </c>
      <c r="K140" s="9">
        <f t="shared" si="68"/>
        <v>0.75274200000000002</v>
      </c>
      <c r="L140" s="9">
        <f t="shared" si="71"/>
        <v>75.274200000000008</v>
      </c>
      <c r="M140" s="1">
        <f t="shared" si="69"/>
        <v>8.8571428571428577</v>
      </c>
      <c r="N140" s="9">
        <f t="shared" si="70"/>
        <v>27.898004894107142</v>
      </c>
      <c r="O140" s="260">
        <v>134.4</v>
      </c>
      <c r="P140" s="1">
        <f>O140*0.004047</f>
        <v>0.54391680000000009</v>
      </c>
      <c r="Q140" s="1">
        <f>O140*0.4047</f>
        <v>54.391680000000001</v>
      </c>
      <c r="R140" s="1">
        <f>O140/(E140/1000)</f>
        <v>6.4</v>
      </c>
      <c r="S140" s="1">
        <f>E140/1000/P140</f>
        <v>38.608846058808986</v>
      </c>
      <c r="T140" s="1">
        <v>0.33</v>
      </c>
      <c r="U140" s="1">
        <f>1/T140</f>
        <v>3.0303030303030303</v>
      </c>
      <c r="V140" s="1">
        <f>T140*R140</f>
        <v>2.1120000000000001</v>
      </c>
      <c r="W140" s="260">
        <v>33.591261000000003</v>
      </c>
      <c r="X140" s="72">
        <f>-114.748228</f>
        <v>-114.748228</v>
      </c>
      <c r="Y140" s="260" t="s">
        <v>91</v>
      </c>
      <c r="Z140" s="260"/>
      <c r="AA140" s="10" t="s">
        <v>96</v>
      </c>
      <c r="AB140" s="15">
        <v>0.1</v>
      </c>
      <c r="AC140" s="15"/>
      <c r="AD140" s="15" t="s">
        <v>102</v>
      </c>
      <c r="AE140" s="260" t="s">
        <v>29</v>
      </c>
      <c r="AF140" s="15" t="s">
        <v>110</v>
      </c>
      <c r="AG140" s="15" t="s">
        <v>252</v>
      </c>
      <c r="AH140" s="260">
        <v>1</v>
      </c>
      <c r="AI140" s="260">
        <v>1</v>
      </c>
      <c r="AJ140" s="260"/>
      <c r="AK140" s="260"/>
      <c r="AL140" s="260">
        <v>2088.94</v>
      </c>
      <c r="AM140" s="98">
        <f t="shared" si="59"/>
        <v>4.240017835429863</v>
      </c>
      <c r="AN140" s="100">
        <f>1/(AL140/$R140/1000)</f>
        <v>3.0637548230202882</v>
      </c>
      <c r="AO140" s="260">
        <v>2204.25</v>
      </c>
      <c r="AP140" s="260">
        <f t="shared" si="60"/>
        <v>4.0182115718012286</v>
      </c>
      <c r="AQ140" s="260">
        <v>1292.6099999999999</v>
      </c>
      <c r="AR140" s="260">
        <f t="shared" si="61"/>
        <v>6.8521385856080794</v>
      </c>
      <c r="AS140" s="260"/>
      <c r="AT140" s="260"/>
    </row>
    <row r="141" spans="1:48" x14ac:dyDescent="0.3">
      <c r="A141" s="69" t="s">
        <v>160</v>
      </c>
      <c r="B141" s="11" t="s">
        <v>204</v>
      </c>
      <c r="C141" s="11"/>
      <c r="D141" s="260">
        <v>2010</v>
      </c>
      <c r="E141" s="94">
        <v>30000</v>
      </c>
      <c r="F141" s="18">
        <f>E141/$A$292</f>
        <v>35235.762697071317</v>
      </c>
      <c r="G141" s="260"/>
      <c r="H141" s="260">
        <v>500000</v>
      </c>
      <c r="I141" s="260" t="s">
        <v>102</v>
      </c>
      <c r="J141" s="260">
        <v>250</v>
      </c>
      <c r="K141" s="9">
        <f t="shared" si="68"/>
        <v>1.0117500000000001</v>
      </c>
      <c r="L141" s="9">
        <f t="shared" si="71"/>
        <v>101.175</v>
      </c>
      <c r="M141" s="1">
        <f t="shared" si="69"/>
        <v>8.3333333333333339</v>
      </c>
      <c r="N141" s="9">
        <f t="shared" si="70"/>
        <v>29.651593773165303</v>
      </c>
      <c r="O141" s="260">
        <v>222</v>
      </c>
      <c r="P141" s="1">
        <f>O141*0.004047</f>
        <v>0.89843400000000007</v>
      </c>
      <c r="Q141" s="1">
        <f>O141*0.4047</f>
        <v>89.843400000000003</v>
      </c>
      <c r="R141" s="1">
        <f>O141/(E141/1000)</f>
        <v>7.4</v>
      </c>
      <c r="S141" s="1">
        <f>E141/1000/P141</f>
        <v>33.391434429240206</v>
      </c>
      <c r="T141" s="1">
        <v>0.48899999999999999</v>
      </c>
      <c r="U141" s="1">
        <f>1/T141</f>
        <v>2.0449897750511248</v>
      </c>
      <c r="V141" s="1">
        <f>T141*R141</f>
        <v>3.6186000000000003</v>
      </c>
      <c r="W141" s="260">
        <v>36.466596000000003</v>
      </c>
      <c r="X141" s="260">
        <v>-104.638834</v>
      </c>
      <c r="Y141" s="260" t="s">
        <v>91</v>
      </c>
      <c r="Z141" s="260"/>
      <c r="AA141" s="69" t="s">
        <v>94</v>
      </c>
      <c r="AB141" s="15">
        <v>0.1</v>
      </c>
      <c r="AC141" s="15" t="s">
        <v>366</v>
      </c>
      <c r="AD141" s="15"/>
      <c r="AE141" s="260" t="s">
        <v>29</v>
      </c>
      <c r="AF141" s="260" t="s">
        <v>110</v>
      </c>
      <c r="AG141" s="15" t="s">
        <v>252</v>
      </c>
      <c r="AH141" s="260"/>
      <c r="AI141" s="260">
        <v>1</v>
      </c>
      <c r="AJ141" s="260"/>
      <c r="AK141" s="260"/>
      <c r="AL141" s="260">
        <v>2139.75</v>
      </c>
      <c r="AM141" s="98">
        <f t="shared" si="59"/>
        <v>3.8945359660396464</v>
      </c>
      <c r="AN141" s="100">
        <f>1/(AL141/$R141/1000)</f>
        <v>3.458347937843206</v>
      </c>
      <c r="AO141" s="260">
        <v>2202.77</v>
      </c>
      <c r="AP141" s="260">
        <f t="shared" si="60"/>
        <v>3.783115501542754</v>
      </c>
      <c r="AQ141" s="260">
        <v>1287.79</v>
      </c>
      <c r="AR141" s="260">
        <f t="shared" si="61"/>
        <v>6.4710343560156032</v>
      </c>
      <c r="AS141" s="260"/>
      <c r="AT141" s="260"/>
    </row>
    <row r="142" spans="1:48" x14ac:dyDescent="0.3">
      <c r="A142" s="69" t="s">
        <v>332</v>
      </c>
      <c r="B142" s="11" t="s">
        <v>333</v>
      </c>
      <c r="C142" s="11"/>
      <c r="D142" s="260">
        <v>2011</v>
      </c>
      <c r="E142" s="42">
        <v>32000</v>
      </c>
      <c r="F142" s="94">
        <v>37000</v>
      </c>
      <c r="G142" s="260"/>
      <c r="H142" s="260">
        <v>167712</v>
      </c>
      <c r="I142" s="260"/>
      <c r="J142" s="260">
        <v>200</v>
      </c>
      <c r="K142" s="9">
        <f t="shared" si="68"/>
        <v>0.80940000000000001</v>
      </c>
      <c r="L142" s="9">
        <f t="shared" si="71"/>
        <v>80.94</v>
      </c>
      <c r="M142" s="1">
        <f t="shared" si="69"/>
        <v>6.25</v>
      </c>
      <c r="N142" s="9">
        <f t="shared" si="70"/>
        <v>39.53545836422041</v>
      </c>
      <c r="O142" s="260">
        <v>195</v>
      </c>
      <c r="P142" s="1">
        <f>O142*0.004047</f>
        <v>0.78916500000000001</v>
      </c>
      <c r="Q142" s="1">
        <f>O142*0.4047</f>
        <v>78.916499999999999</v>
      </c>
      <c r="R142" s="1">
        <f>O142/(E142/1000)</f>
        <v>6.09375</v>
      </c>
      <c r="S142" s="1">
        <f>E142/1000/P142</f>
        <v>40.549188065867085</v>
      </c>
      <c r="T142" s="1">
        <v>0.4264</v>
      </c>
      <c r="U142" s="1">
        <f>1/T142</f>
        <v>2.3452157598499062</v>
      </c>
      <c r="V142" s="1">
        <f>T142*R142</f>
        <v>2.5983749999999999</v>
      </c>
      <c r="W142" s="53">
        <v>40.864069999999998</v>
      </c>
      <c r="X142" s="54">
        <v>-72.855490000000003</v>
      </c>
      <c r="Y142" s="260" t="s">
        <v>91</v>
      </c>
      <c r="Z142" s="260"/>
      <c r="AA142" s="11" t="s">
        <v>95</v>
      </c>
      <c r="AB142" s="15">
        <v>0.13200000000000001</v>
      </c>
      <c r="AC142" s="15" t="s">
        <v>399</v>
      </c>
      <c r="AD142" s="15" t="s">
        <v>335</v>
      </c>
      <c r="AE142" s="260" t="s">
        <v>109</v>
      </c>
      <c r="AF142" s="260" t="s">
        <v>334</v>
      </c>
      <c r="AG142" s="15" t="s">
        <v>353</v>
      </c>
      <c r="AH142" s="260">
        <v>1</v>
      </c>
      <c r="AI142" s="260">
        <v>1</v>
      </c>
      <c r="AJ142" s="260"/>
      <c r="AK142" s="260"/>
      <c r="AL142" s="260">
        <v>1563.89</v>
      </c>
      <c r="AM142" s="98">
        <f t="shared" si="59"/>
        <v>3.9964447627390673</v>
      </c>
      <c r="AN142" s="100">
        <f>1/(AL142/$R142/1000)</f>
        <v>3.8965336436705904</v>
      </c>
      <c r="AO142" s="260">
        <v>2182.5</v>
      </c>
      <c r="AP142" s="260">
        <f t="shared" si="60"/>
        <v>2.86368843069874</v>
      </c>
      <c r="AQ142" s="260">
        <v>1290.1300000000001</v>
      </c>
      <c r="AR142" s="260">
        <f t="shared" si="61"/>
        <v>4.8444730376008618</v>
      </c>
      <c r="AS142" s="260"/>
      <c r="AT142" s="260"/>
    </row>
    <row r="143" spans="1:48" x14ac:dyDescent="0.3">
      <c r="A143" s="11" t="s">
        <v>148</v>
      </c>
      <c r="B143" s="11" t="s">
        <v>566</v>
      </c>
      <c r="C143" s="11"/>
      <c r="D143" s="260">
        <v>2012</v>
      </c>
      <c r="E143" s="75">
        <f>F143*$A$292</f>
        <v>34056.308368194914</v>
      </c>
      <c r="F143" s="75">
        <v>40000</v>
      </c>
      <c r="G143" s="260">
        <v>200</v>
      </c>
      <c r="H143" s="260">
        <v>174000</v>
      </c>
      <c r="I143" s="260" t="s">
        <v>567</v>
      </c>
      <c r="J143" s="74">
        <v>140</v>
      </c>
      <c r="K143" s="9">
        <f t="shared" si="68"/>
        <v>0.56658000000000008</v>
      </c>
      <c r="L143" s="9">
        <f t="shared" si="71"/>
        <v>56.658000000000001</v>
      </c>
      <c r="M143" s="1">
        <f t="shared" si="69"/>
        <v>4.1108389813249868</v>
      </c>
      <c r="N143" s="1">
        <f t="shared" si="70"/>
        <v>60.108560782581293</v>
      </c>
      <c r="O143" s="11"/>
      <c r="P143" s="1"/>
      <c r="Q143" s="1"/>
      <c r="R143" s="1"/>
      <c r="S143" s="1"/>
      <c r="T143" s="11"/>
      <c r="U143" s="11"/>
      <c r="V143" s="11"/>
      <c r="W143" s="11">
        <v>28.837299999999999</v>
      </c>
      <c r="X143" s="11">
        <v>-81.561999999999998</v>
      </c>
      <c r="Y143" s="260" t="s">
        <v>91</v>
      </c>
      <c r="Z143" s="260"/>
      <c r="AA143" s="11"/>
      <c r="AB143" s="15">
        <v>0.14099999999999999</v>
      </c>
      <c r="AC143" s="11" t="s">
        <v>391</v>
      </c>
      <c r="AD143" s="260" t="s">
        <v>569</v>
      </c>
      <c r="AE143" s="260" t="s">
        <v>109</v>
      </c>
      <c r="AF143" s="260" t="s">
        <v>475</v>
      </c>
      <c r="AG143" s="15" t="s">
        <v>385</v>
      </c>
      <c r="AH143" s="260">
        <v>1</v>
      </c>
      <c r="AI143" s="260">
        <v>1</v>
      </c>
      <c r="AJ143" s="22"/>
      <c r="AK143" s="260"/>
      <c r="AL143" s="260">
        <v>1733.32</v>
      </c>
      <c r="AM143" s="98">
        <f t="shared" si="59"/>
        <v>2.371656117349934</v>
      </c>
      <c r="AO143" s="260">
        <v>2202.16</v>
      </c>
      <c r="AP143" s="260">
        <f t="shared" si="60"/>
        <v>1.8667303834984685</v>
      </c>
      <c r="AQ143" s="260">
        <v>1294.43</v>
      </c>
      <c r="AR143" s="260">
        <f t="shared" si="61"/>
        <v>3.1757908742264829</v>
      </c>
      <c r="AS143" s="260"/>
      <c r="AT143" s="260"/>
    </row>
    <row r="144" spans="1:48" x14ac:dyDescent="0.3">
      <c r="A144" s="11" t="s">
        <v>26</v>
      </c>
      <c r="B144" s="11" t="s">
        <v>401</v>
      </c>
      <c r="C144" s="11"/>
      <c r="D144" s="260">
        <v>2011</v>
      </c>
      <c r="E144" s="42">
        <v>45000</v>
      </c>
      <c r="F144" s="94">
        <v>57715</v>
      </c>
      <c r="G144" s="260"/>
      <c r="H144" s="260">
        <v>450900</v>
      </c>
      <c r="I144" s="260" t="s">
        <v>404</v>
      </c>
      <c r="J144" s="74">
        <v>500</v>
      </c>
      <c r="K144" s="9">
        <f t="shared" si="68"/>
        <v>2.0235000000000003</v>
      </c>
      <c r="L144" s="9">
        <f t="shared" si="71"/>
        <v>202.35</v>
      </c>
      <c r="M144" s="1">
        <f t="shared" si="69"/>
        <v>11.111111111111111</v>
      </c>
      <c r="N144" s="1">
        <f t="shared" si="70"/>
        <v>22.238695329873977</v>
      </c>
      <c r="O144" s="260">
        <v>345</v>
      </c>
      <c r="P144" s="1">
        <f>O144*0.004047</f>
        <v>1.396215</v>
      </c>
      <c r="Q144" s="1">
        <f>O144*0.4047</f>
        <v>139.6215</v>
      </c>
      <c r="R144" s="1">
        <f>O144/(E144/1000)</f>
        <v>7.666666666666667</v>
      </c>
      <c r="S144" s="1">
        <f>E144/1000/P144</f>
        <v>32.229993231701421</v>
      </c>
      <c r="T144" s="1">
        <v>0.47220000000000001</v>
      </c>
      <c r="U144" s="1"/>
      <c r="V144" s="1"/>
      <c r="W144" s="260">
        <v>35.984084000000003</v>
      </c>
      <c r="X144" s="260">
        <v>-120.10288199999999</v>
      </c>
      <c r="Y144" s="260" t="s">
        <v>91</v>
      </c>
      <c r="Z144" s="260"/>
      <c r="AA144" s="11" t="s">
        <v>96</v>
      </c>
      <c r="AB144" s="15">
        <v>0.09</v>
      </c>
      <c r="AC144" s="260" t="s">
        <v>366</v>
      </c>
      <c r="AD144" s="260" t="s">
        <v>402</v>
      </c>
      <c r="AE144" s="260" t="s">
        <v>29</v>
      </c>
      <c r="AF144" s="260" t="s">
        <v>405</v>
      </c>
      <c r="AG144" s="15" t="s">
        <v>252</v>
      </c>
      <c r="AH144" s="260"/>
      <c r="AI144" s="260">
        <v>1</v>
      </c>
      <c r="AJ144" s="260"/>
      <c r="AK144" s="260"/>
      <c r="AL144" s="260">
        <v>2135.8200000000002</v>
      </c>
      <c r="AM144" s="98" t="e">
        <f>1/(AL144/#REF!/1000)</f>
        <v>#REF!</v>
      </c>
      <c r="AN144" s="100" t="e">
        <f>1/(AL144/#REF!/1000)</f>
        <v>#REF!</v>
      </c>
      <c r="AO144" s="260">
        <v>2123.37</v>
      </c>
      <c r="AP144" s="260" t="e">
        <f>1/(AO144/#REF!/1000)</f>
        <v>#REF!</v>
      </c>
      <c r="AQ144" s="260">
        <v>1265.07</v>
      </c>
      <c r="AR144" s="260" t="e">
        <f>1/(AQ144/#REF!/1000)</f>
        <v>#REF!</v>
      </c>
      <c r="AS144" s="260"/>
      <c r="AT144" s="260"/>
    </row>
    <row r="145" spans="1:46" x14ac:dyDescent="0.3">
      <c r="A145" s="69" t="s">
        <v>26</v>
      </c>
      <c r="B145" s="11" t="s">
        <v>187</v>
      </c>
      <c r="C145" s="11"/>
      <c r="D145" s="260">
        <v>2010</v>
      </c>
      <c r="E145" s="42">
        <v>48000</v>
      </c>
      <c r="F145" s="94">
        <v>58000</v>
      </c>
      <c r="G145" s="260">
        <v>141</v>
      </c>
      <c r="H145" s="260">
        <v>775000</v>
      </c>
      <c r="I145" s="260" t="s">
        <v>375</v>
      </c>
      <c r="J145" s="260">
        <v>380</v>
      </c>
      <c r="K145" s="9">
        <f t="shared" si="68"/>
        <v>1.53786</v>
      </c>
      <c r="L145" s="9">
        <f t="shared" si="71"/>
        <v>153.786</v>
      </c>
      <c r="M145" s="1">
        <f t="shared" si="69"/>
        <v>7.916666666666667</v>
      </c>
      <c r="N145" s="9">
        <f t="shared" si="70"/>
        <v>31.212203971752956</v>
      </c>
      <c r="O145" s="260">
        <v>326</v>
      </c>
      <c r="P145" s="1">
        <f>O145*0.004047</f>
        <v>1.3193220000000001</v>
      </c>
      <c r="Q145" s="1">
        <f>O145*0.4047</f>
        <v>131.93219999999999</v>
      </c>
      <c r="R145" s="1">
        <f>O145/(E145/1000)</f>
        <v>6.791666666666667</v>
      </c>
      <c r="S145" s="1">
        <f>E145/1000/P145</f>
        <v>36.382323648055589</v>
      </c>
      <c r="T145" s="1">
        <v>0.45341999999999999</v>
      </c>
      <c r="U145" s="1"/>
      <c r="V145" s="1"/>
      <c r="W145" s="260">
        <v>35.783332999999999</v>
      </c>
      <c r="X145" s="260">
        <v>-114.99166700000001</v>
      </c>
      <c r="Y145" s="260" t="s">
        <v>91</v>
      </c>
      <c r="Z145" s="260"/>
      <c r="AA145" s="10" t="s">
        <v>96</v>
      </c>
      <c r="AB145" s="15">
        <v>0.1</v>
      </c>
      <c r="AC145" s="15" t="s">
        <v>366</v>
      </c>
      <c r="AD145" s="15" t="s">
        <v>102</v>
      </c>
      <c r="AE145" s="260" t="s">
        <v>24</v>
      </c>
      <c r="AF145" s="260" t="s">
        <v>110</v>
      </c>
      <c r="AG145" s="15" t="s">
        <v>252</v>
      </c>
      <c r="AH145" s="260"/>
      <c r="AI145" s="260">
        <v>1</v>
      </c>
      <c r="AJ145" s="260"/>
      <c r="AK145" s="260"/>
      <c r="AL145" s="260">
        <v>1878.08</v>
      </c>
      <c r="AM145" s="98">
        <f t="shared" ref="AM145:AM151" si="72">1/(AL145/$M144/1000)</f>
        <v>5.9162075689593161</v>
      </c>
      <c r="AN145" s="100">
        <f>1/(AL145/$R144/1000)</f>
        <v>4.0821832225819277</v>
      </c>
      <c r="AO145" s="260">
        <v>2202.37</v>
      </c>
      <c r="AP145" s="260">
        <f t="shared" ref="AP145:AP151" si="73">1/(AO145/$M144/1000)</f>
        <v>5.0450701340424677</v>
      </c>
      <c r="AQ145" s="260">
        <v>1289.95</v>
      </c>
      <c r="AR145" s="260">
        <f t="shared" ref="AR145:AR151" si="74">1/(AQ145/$M144/1000)</f>
        <v>8.6135982876166608</v>
      </c>
      <c r="AS145" s="260"/>
      <c r="AT145" s="260"/>
    </row>
    <row r="146" spans="1:46" x14ac:dyDescent="0.3">
      <c r="A146" s="69" t="s">
        <v>107</v>
      </c>
      <c r="B146" s="11" t="s">
        <v>368</v>
      </c>
      <c r="C146" s="11"/>
      <c r="D146" s="260">
        <v>2012</v>
      </c>
      <c r="E146" s="42">
        <v>50400</v>
      </c>
      <c r="F146" s="94">
        <v>65100</v>
      </c>
      <c r="G146" s="260"/>
      <c r="H146" s="260">
        <v>840000</v>
      </c>
      <c r="I146" s="260" t="s">
        <v>102</v>
      </c>
      <c r="J146" s="260">
        <v>600</v>
      </c>
      <c r="K146" s="9">
        <f t="shared" si="68"/>
        <v>2.4282000000000004</v>
      </c>
      <c r="L146" s="9">
        <f t="shared" si="71"/>
        <v>242.82</v>
      </c>
      <c r="M146" s="1">
        <f t="shared" si="69"/>
        <v>11.904761904761905</v>
      </c>
      <c r="N146" s="9">
        <f t="shared" si="70"/>
        <v>20.756115641215711</v>
      </c>
      <c r="O146" s="260"/>
      <c r="P146" s="1"/>
      <c r="Q146" s="1"/>
      <c r="R146" s="1"/>
      <c r="S146" s="1"/>
      <c r="T146" s="1"/>
      <c r="U146" s="1"/>
      <c r="V146" s="1"/>
      <c r="W146" s="260">
        <v>34.59751</v>
      </c>
      <c r="X146" s="260">
        <f>-115.33087</f>
        <v>-115.33087</v>
      </c>
      <c r="Y146" s="260" t="s">
        <v>91</v>
      </c>
      <c r="Z146" s="260" t="s">
        <v>370</v>
      </c>
      <c r="AA146" s="260" t="s">
        <v>106</v>
      </c>
      <c r="AB146" s="15">
        <v>0.1</v>
      </c>
      <c r="AC146" s="15" t="s">
        <v>366</v>
      </c>
      <c r="AD146" s="15" t="s">
        <v>102</v>
      </c>
      <c r="AE146" s="260" t="s">
        <v>109</v>
      </c>
      <c r="AF146" s="15" t="s">
        <v>34</v>
      </c>
      <c r="AG146" s="15" t="s">
        <v>353</v>
      </c>
      <c r="AH146" s="260">
        <v>1</v>
      </c>
      <c r="AI146" s="260">
        <v>1</v>
      </c>
      <c r="AJ146" s="260"/>
      <c r="AK146" s="260"/>
      <c r="AL146" s="260">
        <v>2113.94</v>
      </c>
      <c r="AM146" s="98">
        <f t="shared" si="72"/>
        <v>3.7449817244891848</v>
      </c>
      <c r="AN146" s="100">
        <f>1/(AL146/$R145/1000)</f>
        <v>3.2128001110091429</v>
      </c>
      <c r="AO146" s="260">
        <v>2182.09</v>
      </c>
      <c r="AP146" s="260">
        <f t="shared" si="73"/>
        <v>3.6280202313683976</v>
      </c>
      <c r="AQ146" s="260">
        <v>1288.22</v>
      </c>
      <c r="AR146" s="260">
        <f t="shared" si="74"/>
        <v>6.1454306459041668</v>
      </c>
      <c r="AS146" s="260"/>
      <c r="AT146" s="260"/>
    </row>
    <row r="147" spans="1:46" x14ac:dyDescent="0.3">
      <c r="A147" s="11" t="s">
        <v>148</v>
      </c>
      <c r="B147" s="11" t="s">
        <v>568</v>
      </c>
      <c r="C147" s="11"/>
      <c r="D147" s="260">
        <v>2012</v>
      </c>
      <c r="E147" s="75">
        <f>F147*$A$292</f>
        <v>51084.462552292374</v>
      </c>
      <c r="F147" s="75">
        <v>60000</v>
      </c>
      <c r="G147" s="260"/>
      <c r="H147" s="260"/>
      <c r="I147" s="260" t="s">
        <v>567</v>
      </c>
      <c r="J147" s="74">
        <f>500-140</f>
        <v>360</v>
      </c>
      <c r="K147" s="9">
        <f t="shared" si="68"/>
        <v>1.45692</v>
      </c>
      <c r="L147" s="9">
        <f t="shared" si="71"/>
        <v>145.69200000000001</v>
      </c>
      <c r="M147" s="1">
        <f t="shared" si="69"/>
        <v>7.0471525394142631</v>
      </c>
      <c r="N147" s="1">
        <f t="shared" si="70"/>
        <v>35.063327123172428</v>
      </c>
      <c r="O147" s="11"/>
      <c r="P147" s="1"/>
      <c r="Q147" s="1"/>
      <c r="R147" s="1"/>
      <c r="S147" s="1"/>
      <c r="T147" s="11"/>
      <c r="U147" s="11"/>
      <c r="V147" s="11"/>
      <c r="W147" s="11">
        <v>28.837299999999999</v>
      </c>
      <c r="X147" s="11">
        <v>-81.561999999999998</v>
      </c>
      <c r="Y147" s="260" t="s">
        <v>91</v>
      </c>
      <c r="Z147" s="260"/>
      <c r="AA147" s="11"/>
      <c r="AB147" s="15">
        <v>0.158</v>
      </c>
      <c r="AC147" s="11" t="s">
        <v>391</v>
      </c>
      <c r="AD147" s="260" t="s">
        <v>569</v>
      </c>
      <c r="AE147" s="73" t="s">
        <v>24</v>
      </c>
      <c r="AF147" s="260" t="s">
        <v>157</v>
      </c>
      <c r="AG147" s="15" t="s">
        <v>380</v>
      </c>
      <c r="AH147" s="260"/>
      <c r="AI147" s="260">
        <v>1</v>
      </c>
      <c r="AJ147" s="260"/>
      <c r="AK147" s="260"/>
      <c r="AL147" s="260">
        <v>2104</v>
      </c>
      <c r="AM147" s="98">
        <f t="shared" si="72"/>
        <v>5.65815679884121</v>
      </c>
      <c r="AO147" s="260">
        <v>2162.7600000000002</v>
      </c>
      <c r="AP147" s="260">
        <f t="shared" si="73"/>
        <v>5.5044304059451372</v>
      </c>
      <c r="AQ147" s="260">
        <v>1277.98</v>
      </c>
      <c r="AR147" s="260">
        <f t="shared" si="74"/>
        <v>9.3152959394997605</v>
      </c>
      <c r="AS147" s="260"/>
      <c r="AT147" s="260"/>
    </row>
    <row r="148" spans="1:46" x14ac:dyDescent="0.3">
      <c r="A148" s="260" t="s">
        <v>35</v>
      </c>
      <c r="B148" s="260" t="s">
        <v>658</v>
      </c>
      <c r="C148" s="260"/>
      <c r="D148" s="260">
        <v>2014</v>
      </c>
      <c r="E148" s="98">
        <v>290000</v>
      </c>
      <c r="F148" s="18">
        <f>E148/$A$292</f>
        <v>340612.37273835606</v>
      </c>
      <c r="G148" s="260">
        <v>1800</v>
      </c>
      <c r="H148" s="260"/>
      <c r="I148" s="260" t="s">
        <v>659</v>
      </c>
      <c r="J148" s="260">
        <v>2400</v>
      </c>
      <c r="K148" s="9">
        <f t="shared" si="68"/>
        <v>9.7128000000000014</v>
      </c>
      <c r="L148" s="9">
        <f t="shared" si="71"/>
        <v>971.28</v>
      </c>
      <c r="M148" s="1">
        <f t="shared" si="69"/>
        <v>8.2758620689655178</v>
      </c>
      <c r="N148" s="9">
        <f t="shared" si="70"/>
        <v>29.857507618812285</v>
      </c>
      <c r="O148" s="260"/>
      <c r="P148" s="260"/>
      <c r="Q148" s="260"/>
      <c r="R148" s="1"/>
      <c r="S148" s="260"/>
      <c r="T148" s="260"/>
      <c r="U148" s="260"/>
      <c r="V148" s="260"/>
      <c r="W148" s="260">
        <v>32.965800000000002</v>
      </c>
      <c r="X148" s="260">
        <v>-113.52719999999999</v>
      </c>
      <c r="Y148" s="260" t="s">
        <v>91</v>
      </c>
      <c r="Z148" s="260"/>
      <c r="AA148" s="260"/>
      <c r="AB148" s="15">
        <v>0.107</v>
      </c>
      <c r="AC148" s="260" t="s">
        <v>366</v>
      </c>
      <c r="AD148" s="260" t="s">
        <v>660</v>
      </c>
      <c r="AE148" s="260" t="s">
        <v>109</v>
      </c>
      <c r="AF148" s="260" t="s">
        <v>475</v>
      </c>
      <c r="AG148" s="260" t="s">
        <v>252</v>
      </c>
      <c r="AH148" s="260"/>
      <c r="AI148" s="260">
        <v>1</v>
      </c>
      <c r="AJ148" s="260"/>
      <c r="AK148" s="260"/>
      <c r="AL148" s="260">
        <v>1733.32</v>
      </c>
      <c r="AM148" s="98">
        <f t="shared" si="72"/>
        <v>4.0656962011713143</v>
      </c>
      <c r="AO148" s="260">
        <v>2202.16</v>
      </c>
      <c r="AP148" s="260">
        <f t="shared" si="73"/>
        <v>3.200109228854517</v>
      </c>
      <c r="AQ148" s="260">
        <v>1294.43</v>
      </c>
      <c r="AR148" s="260">
        <f t="shared" si="74"/>
        <v>5.4442129272453998</v>
      </c>
      <c r="AS148" s="260"/>
      <c r="AT148" s="260"/>
    </row>
    <row r="149" spans="1:46" x14ac:dyDescent="0.3">
      <c r="A149" s="69" t="s">
        <v>26</v>
      </c>
      <c r="B149" s="11" t="s">
        <v>101</v>
      </c>
      <c r="C149" s="11"/>
      <c r="D149" s="260">
        <v>2013</v>
      </c>
      <c r="E149" s="94">
        <v>550000</v>
      </c>
      <c r="F149" s="18">
        <f>E149/$A$292</f>
        <v>645988.98277964082</v>
      </c>
      <c r="G149" s="260">
        <v>254</v>
      </c>
      <c r="H149" s="260"/>
      <c r="I149" s="260" t="s">
        <v>102</v>
      </c>
      <c r="J149" s="260">
        <v>4245</v>
      </c>
      <c r="K149" s="9">
        <f t="shared" si="68"/>
        <v>17.179515000000002</v>
      </c>
      <c r="L149" s="9">
        <f t="shared" si="71"/>
        <v>1717.9515000000001</v>
      </c>
      <c r="M149" s="1">
        <f t="shared" si="69"/>
        <v>7.7181818181818178</v>
      </c>
      <c r="N149" s="9">
        <f t="shared" si="70"/>
        <v>32.014873528152563</v>
      </c>
      <c r="O149" s="260">
        <v>3005</v>
      </c>
      <c r="P149" s="1">
        <f>O149*0.004047</f>
        <v>12.161235000000001</v>
      </c>
      <c r="Q149" s="1">
        <f>O149*0.4047</f>
        <v>1216.1234999999999</v>
      </c>
      <c r="R149" s="1">
        <f>O149/(E149/1000)</f>
        <v>5.4636363636363638</v>
      </c>
      <c r="S149" s="1">
        <f>E149/1000/P149</f>
        <v>45.225669925792893</v>
      </c>
      <c r="T149" s="1">
        <f>0.51594/1.15094</f>
        <v>0.44827706048968663</v>
      </c>
      <c r="U149" s="1">
        <f>1/T149</f>
        <v>2.230763267046556</v>
      </c>
      <c r="V149" s="1">
        <f>T149*R149</f>
        <v>2.4492228486754697</v>
      </c>
      <c r="W149" s="260">
        <v>33.812399999999997</v>
      </c>
      <c r="X149" s="260">
        <v>-115.39709999999999</v>
      </c>
      <c r="Y149" s="260" t="s">
        <v>91</v>
      </c>
      <c r="Z149" s="260"/>
      <c r="AA149" s="11" t="s">
        <v>95</v>
      </c>
      <c r="AB149" s="15">
        <v>0.1</v>
      </c>
      <c r="AC149" s="15" t="s">
        <v>366</v>
      </c>
      <c r="AD149" s="15" t="s">
        <v>102</v>
      </c>
      <c r="AE149" s="260" t="s">
        <v>24</v>
      </c>
      <c r="AF149" s="15" t="s">
        <v>53</v>
      </c>
      <c r="AG149" s="15" t="s">
        <v>353</v>
      </c>
      <c r="AH149" s="260"/>
      <c r="AI149" s="260">
        <v>1</v>
      </c>
      <c r="AJ149" s="260"/>
      <c r="AK149" s="260"/>
      <c r="AL149" s="260">
        <v>2092.16</v>
      </c>
      <c r="AM149" s="98">
        <f t="shared" si="72"/>
        <v>3.9556544762186059</v>
      </c>
      <c r="AO149" s="260">
        <v>2200.21</v>
      </c>
      <c r="AP149" s="260">
        <f t="shared" si="73"/>
        <v>3.7613964435056282</v>
      </c>
      <c r="AQ149" s="260">
        <v>1294.4000000000001</v>
      </c>
      <c r="AR149" s="260">
        <f t="shared" si="74"/>
        <v>6.3935893610673036</v>
      </c>
      <c r="AS149" s="260"/>
      <c r="AT149" s="260"/>
    </row>
    <row r="150" spans="1:46" x14ac:dyDescent="0.3">
      <c r="A150" s="11" t="s">
        <v>26</v>
      </c>
      <c r="B150" s="11" t="s">
        <v>570</v>
      </c>
      <c r="C150" s="11"/>
      <c r="D150" s="260">
        <v>2014</v>
      </c>
      <c r="E150" s="94">
        <v>550000</v>
      </c>
      <c r="F150" s="18">
        <f>E150/$A$292</f>
        <v>645988.98277964082</v>
      </c>
      <c r="G150" s="260">
        <v>1200</v>
      </c>
      <c r="H150" s="260">
        <v>9000000</v>
      </c>
      <c r="I150" s="260" t="s">
        <v>571</v>
      </c>
      <c r="J150" s="74">
        <v>3500</v>
      </c>
      <c r="K150" s="9">
        <f t="shared" si="68"/>
        <v>14.1645</v>
      </c>
      <c r="L150" s="9">
        <f t="shared" si="71"/>
        <v>1416.45</v>
      </c>
      <c r="M150" s="1">
        <f t="shared" si="69"/>
        <v>6.3636363636363633</v>
      </c>
      <c r="N150" s="1">
        <f t="shared" si="70"/>
        <v>38.829468036287899</v>
      </c>
      <c r="O150" s="260" t="s">
        <v>598</v>
      </c>
      <c r="P150" s="1"/>
      <c r="Q150" s="1"/>
      <c r="R150" s="1"/>
      <c r="S150" s="1"/>
      <c r="T150" s="11"/>
      <c r="U150" s="11"/>
      <c r="V150" s="11"/>
      <c r="W150" s="11">
        <v>35.365969911217697</v>
      </c>
      <c r="X150" s="11">
        <v>-120.040639713407</v>
      </c>
      <c r="Y150" s="260" t="s">
        <v>91</v>
      </c>
      <c r="Z150" s="260"/>
      <c r="AA150" s="11"/>
      <c r="AB150" s="15">
        <v>0.107</v>
      </c>
      <c r="AC150" s="11" t="s">
        <v>366</v>
      </c>
      <c r="AD150" s="260" t="s">
        <v>102</v>
      </c>
      <c r="AE150" s="260" t="s">
        <v>109</v>
      </c>
      <c r="AF150" s="260" t="s">
        <v>475</v>
      </c>
      <c r="AG150" s="15" t="s">
        <v>444</v>
      </c>
      <c r="AH150" s="260"/>
      <c r="AI150" s="260">
        <v>1</v>
      </c>
      <c r="AJ150" s="260"/>
      <c r="AK150" s="260"/>
      <c r="AL150" s="260">
        <v>2142.7800000000002</v>
      </c>
      <c r="AM150" s="98">
        <f t="shared" si="72"/>
        <v>3.6019478519408517</v>
      </c>
      <c r="AN150" s="100">
        <f>1/(AL150/$R149/1000)</f>
        <v>2.5497887620924047</v>
      </c>
      <c r="AO150" s="260">
        <v>2203.56</v>
      </c>
      <c r="AP150" s="260">
        <f t="shared" si="73"/>
        <v>3.5025966246355074</v>
      </c>
      <c r="AQ150" s="260">
        <v>1294.1400000000001</v>
      </c>
      <c r="AR150" s="260">
        <f t="shared" si="74"/>
        <v>5.9639465731542307</v>
      </c>
      <c r="AS150" s="260"/>
      <c r="AT150" s="260"/>
    </row>
    <row r="151" spans="1:46" x14ac:dyDescent="0.3">
      <c r="A151" s="11" t="s">
        <v>491</v>
      </c>
      <c r="B151" s="11" t="s">
        <v>535</v>
      </c>
      <c r="C151" s="11"/>
      <c r="D151" s="260">
        <v>2011</v>
      </c>
      <c r="E151" s="18">
        <f t="shared" ref="E151:E161" si="75">F151*$A$292</f>
        <v>1958.2377311712075</v>
      </c>
      <c r="F151" s="75">
        <v>2300</v>
      </c>
      <c r="G151" s="260"/>
      <c r="H151" s="260">
        <v>8200</v>
      </c>
      <c r="I151" s="260" t="s">
        <v>536</v>
      </c>
      <c r="J151" s="74">
        <v>12</v>
      </c>
      <c r="K151" s="9">
        <f t="shared" si="68"/>
        <v>4.8564000000000003E-2</v>
      </c>
      <c r="L151" s="9">
        <f t="shared" ref="L151:L159" si="76">J151*0.404685642</f>
        <v>4.8562277040000001</v>
      </c>
      <c r="M151" s="1">
        <f t="shared" si="69"/>
        <v>6.1279587299254459</v>
      </c>
      <c r="N151" s="1">
        <f t="shared" si="70"/>
        <v>40.322826191648289</v>
      </c>
      <c r="O151" s="24" t="s">
        <v>598</v>
      </c>
      <c r="P151" s="88"/>
      <c r="Q151" s="88"/>
      <c r="R151" s="88"/>
      <c r="S151" s="88"/>
      <c r="T151" s="11"/>
      <c r="U151" s="11"/>
      <c r="V151" s="11"/>
      <c r="W151" s="260">
        <v>42.152920000000002</v>
      </c>
      <c r="X151" s="260">
        <v>-72.49915</v>
      </c>
      <c r="Y151" s="260" t="s">
        <v>203</v>
      </c>
      <c r="Z151" s="260"/>
      <c r="AA151" s="11"/>
      <c r="AB151" s="15"/>
      <c r="AC151" s="11"/>
      <c r="AD151" s="260"/>
      <c r="AE151" s="260" t="s">
        <v>29</v>
      </c>
      <c r="AF151" s="260" t="s">
        <v>157</v>
      </c>
      <c r="AG151" s="15" t="s">
        <v>444</v>
      </c>
      <c r="AH151" s="260"/>
      <c r="AI151" s="260">
        <v>1</v>
      </c>
      <c r="AJ151" s="260"/>
      <c r="AK151" s="260"/>
      <c r="AL151" s="260">
        <v>2022.86</v>
      </c>
      <c r="AM151" s="98">
        <f t="shared" si="72"/>
        <v>3.1458609906945432</v>
      </c>
      <c r="AO151" s="260">
        <v>2191.13</v>
      </c>
      <c r="AP151" s="260">
        <f t="shared" si="73"/>
        <v>2.9042714780210956</v>
      </c>
      <c r="AQ151" s="260">
        <v>1292.3800000000001</v>
      </c>
      <c r="AR151" s="260">
        <f t="shared" si="74"/>
        <v>4.9239669165697109</v>
      </c>
      <c r="AS151" s="260"/>
      <c r="AT151" s="260"/>
    </row>
    <row r="152" spans="1:46" x14ac:dyDescent="0.3">
      <c r="A152" s="11" t="s">
        <v>171</v>
      </c>
      <c r="B152" s="11" t="s">
        <v>436</v>
      </c>
      <c r="C152" s="11"/>
      <c r="D152" s="260">
        <v>2010</v>
      </c>
      <c r="E152" s="18">
        <f t="shared" si="75"/>
        <v>2724.5046694555931</v>
      </c>
      <c r="F152" s="94">
        <v>3200</v>
      </c>
      <c r="G152" s="260"/>
      <c r="H152" s="260">
        <v>11484</v>
      </c>
      <c r="I152" s="260" t="s">
        <v>438</v>
      </c>
      <c r="J152" s="74">
        <v>10</v>
      </c>
      <c r="K152" s="9">
        <f t="shared" si="68"/>
        <v>4.0470000000000006E-2</v>
      </c>
      <c r="L152" s="9">
        <f t="shared" si="76"/>
        <v>4.0468564200000001</v>
      </c>
      <c r="M152" s="1">
        <f t="shared" si="69"/>
        <v>3.6703919476115949</v>
      </c>
      <c r="N152" s="1">
        <f t="shared" si="70"/>
        <v>67.321588076491054</v>
      </c>
      <c r="O152" s="24" t="s">
        <v>598</v>
      </c>
      <c r="P152" s="88"/>
      <c r="Q152" s="88"/>
      <c r="R152" s="88"/>
      <c r="S152" s="88"/>
      <c r="T152" s="260"/>
      <c r="U152" s="260"/>
      <c r="V152" s="260"/>
      <c r="W152" s="260"/>
      <c r="X152" s="260"/>
      <c r="Y152" s="260" t="s">
        <v>203</v>
      </c>
      <c r="Z152" s="260"/>
      <c r="AA152" s="11"/>
      <c r="AB152" s="111"/>
      <c r="AC152" s="260"/>
      <c r="AD152" s="260"/>
      <c r="AE152" s="260" t="s">
        <v>29</v>
      </c>
      <c r="AF152" s="260" t="s">
        <v>157</v>
      </c>
      <c r="AG152" s="15" t="s">
        <v>444</v>
      </c>
      <c r="AH152" s="260"/>
      <c r="AI152" s="260">
        <v>1</v>
      </c>
      <c r="AJ152" s="260"/>
      <c r="AK152" s="260"/>
      <c r="AL152" s="260"/>
      <c r="AO152" s="260"/>
      <c r="AP152" s="260"/>
      <c r="AQ152" s="260"/>
      <c r="AR152" s="260"/>
      <c r="AS152" s="260"/>
      <c r="AT152" s="260"/>
    </row>
    <row r="153" spans="1:46" x14ac:dyDescent="0.3">
      <c r="A153" s="11" t="s">
        <v>491</v>
      </c>
      <c r="B153" s="11" t="s">
        <v>533</v>
      </c>
      <c r="C153" s="11"/>
      <c r="D153" s="260">
        <v>2011</v>
      </c>
      <c r="E153" s="18">
        <f t="shared" si="75"/>
        <v>3575.9123786604659</v>
      </c>
      <c r="F153" s="75">
        <v>4200</v>
      </c>
      <c r="G153" s="260">
        <v>22</v>
      </c>
      <c r="H153" s="260">
        <v>17000</v>
      </c>
      <c r="I153" s="260" t="s">
        <v>536</v>
      </c>
      <c r="J153" s="74">
        <v>62</v>
      </c>
      <c r="K153" s="9">
        <f t="shared" si="68"/>
        <v>0.25091400000000003</v>
      </c>
      <c r="L153" s="9">
        <f t="shared" si="76"/>
        <v>25.090509804</v>
      </c>
      <c r="M153" s="1">
        <f t="shared" si="69"/>
        <v>17.338232438241441</v>
      </c>
      <c r="N153" s="1">
        <f t="shared" si="70"/>
        <v>14.251545862966855</v>
      </c>
      <c r="O153" s="11">
        <v>40</v>
      </c>
      <c r="P153" s="1">
        <f>O153*0.004047</f>
        <v>0.16188000000000002</v>
      </c>
      <c r="Q153" s="1">
        <f>O153*0.4047</f>
        <v>16.187999999999999</v>
      </c>
      <c r="R153" s="1">
        <f>O153/(E153/1000)</f>
        <v>11.185956411768672</v>
      </c>
      <c r="S153" s="1">
        <f>E153/1000/P153</f>
        <v>22.089896087598625</v>
      </c>
      <c r="T153" s="11"/>
      <c r="U153" s="11"/>
      <c r="V153" s="11"/>
      <c r="W153" s="260">
        <v>42.144219999999997</v>
      </c>
      <c r="X153" s="260">
        <v>-72.543379999999999</v>
      </c>
      <c r="Y153" s="260" t="s">
        <v>203</v>
      </c>
      <c r="Z153" s="260"/>
      <c r="AA153" s="11"/>
      <c r="AB153" s="15"/>
      <c r="AC153" s="11"/>
      <c r="AD153" s="260"/>
      <c r="AE153" s="260" t="s">
        <v>29</v>
      </c>
      <c r="AF153" s="260" t="s">
        <v>157</v>
      </c>
      <c r="AG153" s="15" t="s">
        <v>380</v>
      </c>
      <c r="AH153" s="260"/>
      <c r="AI153" s="260">
        <v>1</v>
      </c>
      <c r="AJ153" s="260"/>
      <c r="AK153" s="260"/>
      <c r="AL153" s="260"/>
      <c r="AO153" s="260"/>
      <c r="AP153" s="260"/>
      <c r="AQ153" s="260"/>
      <c r="AR153" s="260"/>
      <c r="AS153" s="260"/>
      <c r="AT153" s="260"/>
    </row>
    <row r="154" spans="1:46" x14ac:dyDescent="0.3">
      <c r="A154" s="11" t="s">
        <v>47</v>
      </c>
      <c r="B154" s="11" t="s">
        <v>561</v>
      </c>
      <c r="C154" s="11"/>
      <c r="D154" s="260">
        <v>2012</v>
      </c>
      <c r="E154" s="18">
        <f t="shared" si="75"/>
        <v>4257.0385460243642</v>
      </c>
      <c r="F154" s="75">
        <v>5000</v>
      </c>
      <c r="G154" s="260">
        <v>22</v>
      </c>
      <c r="H154" s="260">
        <v>22000</v>
      </c>
      <c r="I154" s="260" t="s">
        <v>562</v>
      </c>
      <c r="J154" s="74">
        <v>28</v>
      </c>
      <c r="K154" s="9">
        <f t="shared" si="68"/>
        <v>0.113316</v>
      </c>
      <c r="L154" s="9">
        <f t="shared" si="76"/>
        <v>11.331197976</v>
      </c>
      <c r="M154" s="1">
        <f t="shared" si="69"/>
        <v>6.5773423701199789</v>
      </c>
      <c r="N154" s="1">
        <f t="shared" si="70"/>
        <v>37.567850489113312</v>
      </c>
      <c r="O154" s="24" t="s">
        <v>598</v>
      </c>
      <c r="P154" s="88"/>
      <c r="Q154" s="88"/>
      <c r="R154" s="88"/>
      <c r="S154" s="88"/>
      <c r="T154" s="11"/>
      <c r="U154" s="11"/>
      <c r="V154" s="11"/>
      <c r="W154" s="260">
        <v>35.199890000000003</v>
      </c>
      <c r="X154" s="260">
        <v>-81.409350000000003</v>
      </c>
      <c r="Y154" s="260" t="s">
        <v>203</v>
      </c>
      <c r="Z154" s="260"/>
      <c r="AA154" s="11"/>
      <c r="AB154" s="15"/>
      <c r="AC154" s="11"/>
      <c r="AD154" s="11" t="s">
        <v>563</v>
      </c>
      <c r="AE154" s="260" t="s">
        <v>29</v>
      </c>
      <c r="AF154" s="260" t="s">
        <v>157</v>
      </c>
      <c r="AG154" s="15" t="s">
        <v>380</v>
      </c>
      <c r="AH154" s="260"/>
      <c r="AI154" s="260">
        <v>1</v>
      </c>
      <c r="AJ154" s="260">
        <v>59.1</v>
      </c>
      <c r="AK154" s="260"/>
      <c r="AL154" s="260"/>
      <c r="AO154" s="260"/>
      <c r="AP154" s="260"/>
      <c r="AQ154" s="260"/>
      <c r="AR154" s="260"/>
      <c r="AS154" s="260"/>
      <c r="AT154" s="260"/>
    </row>
    <row r="155" spans="1:46" x14ac:dyDescent="0.3">
      <c r="A155" s="11" t="s">
        <v>107</v>
      </c>
      <c r="B155" s="11" t="s">
        <v>384</v>
      </c>
      <c r="C155" s="11"/>
      <c r="D155" s="260">
        <v>2012</v>
      </c>
      <c r="E155" s="18">
        <f t="shared" si="75"/>
        <v>4257.0385460243642</v>
      </c>
      <c r="F155" s="18">
        <v>5000</v>
      </c>
      <c r="G155" s="260"/>
      <c r="H155" s="260">
        <v>78000</v>
      </c>
      <c r="I155" s="260" t="s">
        <v>428</v>
      </c>
      <c r="J155" s="74">
        <v>50</v>
      </c>
      <c r="K155" s="9">
        <f t="shared" si="68"/>
        <v>0.20235</v>
      </c>
      <c r="L155" s="9">
        <f t="shared" si="76"/>
        <v>20.234282100000001</v>
      </c>
      <c r="M155" s="1">
        <f t="shared" si="69"/>
        <v>11.745254232357105</v>
      </c>
      <c r="N155" s="1">
        <f t="shared" si="70"/>
        <v>21.037996273903456</v>
      </c>
      <c r="O155" s="24" t="s">
        <v>598</v>
      </c>
      <c r="P155" s="88"/>
      <c r="Q155" s="88"/>
      <c r="R155" s="88"/>
      <c r="S155" s="88"/>
      <c r="T155" s="1"/>
      <c r="U155" s="1"/>
      <c r="V155" s="1"/>
      <c r="W155" s="260"/>
      <c r="X155" s="260"/>
      <c r="Y155" s="260" t="s">
        <v>203</v>
      </c>
      <c r="Z155" s="260"/>
      <c r="AA155" s="24"/>
      <c r="AB155" s="15">
        <v>0.107</v>
      </c>
      <c r="AC155" s="15" t="s">
        <v>366</v>
      </c>
      <c r="AD155" s="15" t="s">
        <v>146</v>
      </c>
      <c r="AE155" s="260" t="s">
        <v>29</v>
      </c>
      <c r="AF155" s="260" t="s">
        <v>157</v>
      </c>
      <c r="AG155" s="15" t="s">
        <v>385</v>
      </c>
      <c r="AH155" s="260"/>
      <c r="AI155" s="260">
        <v>1</v>
      </c>
      <c r="AJ155" s="260"/>
      <c r="AK155" s="260"/>
      <c r="AL155" s="260"/>
      <c r="AO155" s="260"/>
      <c r="AP155" s="260"/>
      <c r="AQ155" s="260"/>
      <c r="AR155" s="260"/>
      <c r="AS155" s="260"/>
      <c r="AT155" s="260"/>
    </row>
    <row r="156" spans="1:46" x14ac:dyDescent="0.3">
      <c r="A156" s="260" t="s">
        <v>148</v>
      </c>
      <c r="B156" s="260" t="s">
        <v>609</v>
      </c>
      <c r="C156" s="260"/>
      <c r="D156" s="260">
        <v>2012</v>
      </c>
      <c r="E156" s="18">
        <f t="shared" si="75"/>
        <v>6811.2616736389828</v>
      </c>
      <c r="F156" s="260">
        <v>8000</v>
      </c>
      <c r="G156" s="260"/>
      <c r="H156" s="260"/>
      <c r="I156" s="260" t="s">
        <v>567</v>
      </c>
      <c r="J156" s="260">
        <v>24</v>
      </c>
      <c r="K156" s="1">
        <f t="shared" si="68"/>
        <v>9.7128000000000006E-2</v>
      </c>
      <c r="L156" s="9">
        <f t="shared" si="76"/>
        <v>9.7124554080000003</v>
      </c>
      <c r="M156" s="1">
        <f t="shared" si="69"/>
        <v>3.5235762697071316</v>
      </c>
      <c r="N156" s="1">
        <f t="shared" si="70"/>
        <v>70.126654246344842</v>
      </c>
      <c r="O156" s="260"/>
      <c r="P156" s="1"/>
      <c r="Q156" s="1"/>
      <c r="R156" s="1"/>
      <c r="S156" s="1"/>
      <c r="T156" s="260"/>
      <c r="U156" s="260"/>
      <c r="V156" s="260"/>
      <c r="W156" s="260">
        <v>28.768840000000001</v>
      </c>
      <c r="X156" s="260">
        <v>-81.348789999999994</v>
      </c>
      <c r="Y156" s="260" t="s">
        <v>203</v>
      </c>
      <c r="Z156" s="260"/>
      <c r="AA156" s="260"/>
      <c r="AB156" s="15">
        <v>0.158</v>
      </c>
      <c r="AC156" s="260" t="s">
        <v>391</v>
      </c>
      <c r="AD156" s="260" t="s">
        <v>610</v>
      </c>
      <c r="AE156" s="260" t="s">
        <v>109</v>
      </c>
      <c r="AF156" s="260" t="s">
        <v>611</v>
      </c>
      <c r="AG156" s="260" t="s">
        <v>252</v>
      </c>
      <c r="AH156" s="260"/>
      <c r="AI156" s="260">
        <v>1</v>
      </c>
      <c r="AJ156" s="260"/>
      <c r="AK156" s="260"/>
      <c r="AL156" s="260"/>
      <c r="AO156" s="260"/>
      <c r="AP156" s="260"/>
      <c r="AQ156" s="260"/>
      <c r="AR156" s="260"/>
      <c r="AS156" s="260"/>
      <c r="AT156" s="260"/>
    </row>
    <row r="157" spans="1:46" x14ac:dyDescent="0.3">
      <c r="A157" s="260" t="s">
        <v>171</v>
      </c>
      <c r="B157" s="260" t="s">
        <v>670</v>
      </c>
      <c r="C157" s="260"/>
      <c r="D157" s="260">
        <v>2012</v>
      </c>
      <c r="E157" s="18">
        <f t="shared" si="75"/>
        <v>16925.985258992871</v>
      </c>
      <c r="F157" s="260">
        <v>19880</v>
      </c>
      <c r="G157" s="260">
        <v>80</v>
      </c>
      <c r="H157" s="260">
        <v>85000</v>
      </c>
      <c r="I157" s="260" t="s">
        <v>671</v>
      </c>
      <c r="J157" s="260">
        <v>95</v>
      </c>
      <c r="K157" s="9">
        <f t="shared" si="68"/>
        <v>0.384465</v>
      </c>
      <c r="L157" s="9">
        <f t="shared" si="76"/>
        <v>38.445135990000004</v>
      </c>
      <c r="M157" s="1">
        <f t="shared" si="69"/>
        <v>5.6126717911163233</v>
      </c>
      <c r="N157" s="9">
        <f t="shared" si="70"/>
        <v>44.024775360547437</v>
      </c>
      <c r="O157" s="260"/>
      <c r="P157" s="260"/>
      <c r="Q157" s="260"/>
      <c r="R157" s="260"/>
      <c r="S157" s="260"/>
      <c r="T157" s="260"/>
      <c r="U157" s="260"/>
      <c r="V157" s="260"/>
      <c r="W157" s="260">
        <v>40.26643</v>
      </c>
      <c r="X157" s="260">
        <v>-74.084199999999996</v>
      </c>
      <c r="Y157" s="260" t="s">
        <v>203</v>
      </c>
      <c r="Z157" s="260"/>
      <c r="AA157" s="260"/>
      <c r="AB157" s="111"/>
      <c r="AC157" s="260"/>
      <c r="AD157" s="260"/>
      <c r="AE157" s="260" t="s">
        <v>109</v>
      </c>
      <c r="AF157" s="260" t="s">
        <v>645</v>
      </c>
      <c r="AG157" s="260" t="s">
        <v>380</v>
      </c>
      <c r="AH157" s="260"/>
      <c r="AI157" s="260">
        <v>1</v>
      </c>
      <c r="AJ157" s="260"/>
      <c r="AK157" s="260"/>
      <c r="AL157" s="260"/>
      <c r="AO157" s="260"/>
      <c r="AP157" s="260"/>
      <c r="AQ157" s="260"/>
      <c r="AR157" s="260"/>
      <c r="AS157" s="260"/>
      <c r="AT157" s="260"/>
    </row>
    <row r="158" spans="1:46" x14ac:dyDescent="0.3">
      <c r="A158" s="260" t="s">
        <v>26</v>
      </c>
      <c r="B158" s="260" t="s">
        <v>672</v>
      </c>
      <c r="C158" s="260"/>
      <c r="D158" s="260">
        <v>2013</v>
      </c>
      <c r="E158" s="18">
        <f t="shared" si="75"/>
        <v>17028.154184097457</v>
      </c>
      <c r="F158" s="260">
        <v>20000</v>
      </c>
      <c r="G158" s="260"/>
      <c r="H158" s="260"/>
      <c r="I158" s="260" t="s">
        <v>8</v>
      </c>
      <c r="J158" s="260">
        <v>200</v>
      </c>
      <c r="K158" s="9">
        <f t="shared" si="68"/>
        <v>0.80940000000000001</v>
      </c>
      <c r="L158" s="9">
        <f t="shared" si="76"/>
        <v>80.937128400000006</v>
      </c>
      <c r="M158" s="1">
        <f t="shared" si="69"/>
        <v>11.745254232357105</v>
      </c>
      <c r="N158" s="9">
        <f t="shared" si="70"/>
        <v>21.037996273903456</v>
      </c>
      <c r="O158" s="260"/>
      <c r="P158" s="260"/>
      <c r="Q158" s="260"/>
      <c r="R158" s="260"/>
      <c r="S158" s="260"/>
      <c r="T158" s="260"/>
      <c r="U158" s="260"/>
      <c r="V158" s="260"/>
      <c r="W158" s="260">
        <v>34.7119</v>
      </c>
      <c r="X158" s="260">
        <v>-118.3296</v>
      </c>
      <c r="Y158" s="260" t="s">
        <v>203</v>
      </c>
      <c r="Z158" s="260"/>
      <c r="AA158" s="260"/>
      <c r="AB158" s="111"/>
      <c r="AC158" s="260"/>
      <c r="AD158" s="260"/>
      <c r="AE158" s="260" t="s">
        <v>24</v>
      </c>
      <c r="AF158" s="260" t="s">
        <v>475</v>
      </c>
      <c r="AG158" s="260" t="s">
        <v>385</v>
      </c>
      <c r="AH158" s="260"/>
      <c r="AI158" s="260">
        <v>1</v>
      </c>
      <c r="AJ158" s="260"/>
      <c r="AK158" s="260"/>
      <c r="AL158" s="260"/>
      <c r="AO158" s="260"/>
      <c r="AP158" s="260"/>
      <c r="AQ158" s="260"/>
      <c r="AR158" s="260"/>
      <c r="AS158" s="260"/>
      <c r="AT158" s="260"/>
    </row>
    <row r="159" spans="1:46" x14ac:dyDescent="0.3">
      <c r="A159" s="260" t="s">
        <v>26</v>
      </c>
      <c r="B159" s="260" t="s">
        <v>674</v>
      </c>
      <c r="C159" s="260"/>
      <c r="D159" s="260">
        <v>2013</v>
      </c>
      <c r="E159" s="18">
        <f t="shared" si="75"/>
        <v>17028.154184097457</v>
      </c>
      <c r="F159" s="260">
        <v>20000</v>
      </c>
      <c r="G159" s="260"/>
      <c r="H159" s="260"/>
      <c r="I159" s="260" t="s">
        <v>8</v>
      </c>
      <c r="J159" s="260">
        <v>174</v>
      </c>
      <c r="K159" s="9">
        <f t="shared" si="68"/>
        <v>0.70417800000000008</v>
      </c>
      <c r="L159" s="9">
        <f t="shared" si="76"/>
        <v>70.415301708000001</v>
      </c>
      <c r="M159" s="1">
        <f t="shared" si="69"/>
        <v>10.218371182150682</v>
      </c>
      <c r="N159" s="9">
        <f t="shared" si="70"/>
        <v>24.181604912532702</v>
      </c>
      <c r="O159" s="260"/>
      <c r="P159" s="260"/>
      <c r="Q159" s="260"/>
      <c r="R159" s="260"/>
      <c r="S159" s="260"/>
      <c r="T159" s="260"/>
      <c r="U159" s="260"/>
      <c r="V159" s="260"/>
      <c r="W159" s="260">
        <v>34.935099999999998</v>
      </c>
      <c r="X159" s="260">
        <v>-118.1452</v>
      </c>
      <c r="Y159" s="260" t="s">
        <v>203</v>
      </c>
      <c r="Z159" s="260"/>
      <c r="AA159" s="260"/>
      <c r="AB159" s="111"/>
      <c r="AC159" s="260"/>
      <c r="AD159" s="260"/>
      <c r="AE159" s="260" t="s">
        <v>24</v>
      </c>
      <c r="AF159" s="260" t="s">
        <v>475</v>
      </c>
      <c r="AG159" s="260" t="s">
        <v>385</v>
      </c>
      <c r="AH159" s="260"/>
      <c r="AI159" s="260">
        <v>1</v>
      </c>
      <c r="AJ159" s="260"/>
      <c r="AK159" s="260"/>
      <c r="AL159" s="260"/>
      <c r="AO159" s="260"/>
      <c r="AP159" s="260"/>
      <c r="AQ159" s="260"/>
      <c r="AR159" s="260"/>
      <c r="AS159" s="260"/>
      <c r="AT159" s="260"/>
    </row>
    <row r="160" spans="1:46" x14ac:dyDescent="0.3">
      <c r="A160" s="69" t="s">
        <v>26</v>
      </c>
      <c r="B160" s="11" t="s">
        <v>378</v>
      </c>
      <c r="C160" s="11"/>
      <c r="D160" s="260">
        <v>2012</v>
      </c>
      <c r="E160" s="18">
        <f t="shared" si="75"/>
        <v>17028.154184097457</v>
      </c>
      <c r="F160" s="18">
        <v>20000</v>
      </c>
      <c r="G160" s="260"/>
      <c r="H160" s="260"/>
      <c r="I160" s="260"/>
      <c r="J160" s="260">
        <v>180</v>
      </c>
      <c r="K160" s="9">
        <f t="shared" si="68"/>
        <v>0.72846</v>
      </c>
      <c r="L160" s="9">
        <f>J160*0.4047</f>
        <v>72.846000000000004</v>
      </c>
      <c r="M160" s="1">
        <f t="shared" si="69"/>
        <v>10.570728809121395</v>
      </c>
      <c r="N160" s="9">
        <f t="shared" si="70"/>
        <v>23.375551415448282</v>
      </c>
      <c r="O160" s="260"/>
      <c r="P160" s="1"/>
      <c r="Q160" s="1"/>
      <c r="R160" s="1"/>
      <c r="S160" s="1"/>
      <c r="T160" s="1"/>
      <c r="U160" s="1"/>
      <c r="V160" s="1"/>
      <c r="W160" s="24"/>
      <c r="X160" s="24"/>
      <c r="Y160" s="260" t="s">
        <v>203</v>
      </c>
      <c r="Z160" s="260"/>
      <c r="AA160" s="24"/>
      <c r="AB160" s="15"/>
      <c r="AC160" s="15"/>
      <c r="AD160" s="15"/>
      <c r="AE160" s="260" t="s">
        <v>24</v>
      </c>
      <c r="AF160" s="260" t="s">
        <v>157</v>
      </c>
      <c r="AG160" s="15" t="s">
        <v>352</v>
      </c>
      <c r="AH160" s="260"/>
      <c r="AI160" s="260">
        <v>1</v>
      </c>
      <c r="AJ160" s="260"/>
      <c r="AK160" s="260"/>
      <c r="AL160" s="260"/>
      <c r="AO160" s="260"/>
      <c r="AP160" s="260"/>
      <c r="AQ160" s="260"/>
      <c r="AR160" s="260"/>
      <c r="AS160" s="260"/>
      <c r="AT160" s="260"/>
    </row>
    <row r="161" spans="1:46" x14ac:dyDescent="0.3">
      <c r="A161" s="260" t="s">
        <v>180</v>
      </c>
      <c r="B161" s="260" t="s">
        <v>615</v>
      </c>
      <c r="C161" s="260"/>
      <c r="D161" s="260">
        <v>2012</v>
      </c>
      <c r="E161" s="18">
        <f t="shared" si="75"/>
        <v>19582.377311712076</v>
      </c>
      <c r="F161" s="260">
        <v>23000</v>
      </c>
      <c r="G161" s="260"/>
      <c r="H161" s="260"/>
      <c r="I161" s="260" t="s">
        <v>616</v>
      </c>
      <c r="J161" s="260">
        <v>160</v>
      </c>
      <c r="K161" s="9">
        <f t="shared" si="68"/>
        <v>0.6475200000000001</v>
      </c>
      <c r="L161" s="9">
        <f>J161*0.404685642</f>
        <v>64.749702720000002</v>
      </c>
      <c r="M161" s="1">
        <f t="shared" si="69"/>
        <v>8.1706116399005939</v>
      </c>
      <c r="N161" s="1">
        <f t="shared" si="70"/>
        <v>30.242119643736213</v>
      </c>
      <c r="O161" s="260"/>
      <c r="P161" s="260"/>
      <c r="Q161" s="260"/>
      <c r="R161" s="260"/>
      <c r="S161" s="260"/>
      <c r="T161" s="260"/>
      <c r="U161" s="260"/>
      <c r="V161" s="260"/>
      <c r="W161" s="260">
        <v>41.150500000000001</v>
      </c>
      <c r="X161" s="260">
        <v>-88.758799999999994</v>
      </c>
      <c r="Y161" s="260" t="s">
        <v>203</v>
      </c>
      <c r="Z161" s="260"/>
      <c r="AA161" s="260"/>
      <c r="AB161" s="15">
        <v>0.12</v>
      </c>
      <c r="AC161" s="260" t="s">
        <v>366</v>
      </c>
      <c r="AD161" s="260" t="s">
        <v>617</v>
      </c>
      <c r="AE161" s="260" t="s">
        <v>109</v>
      </c>
      <c r="AF161" s="260" t="s">
        <v>611</v>
      </c>
      <c r="AG161" s="260" t="s">
        <v>380</v>
      </c>
      <c r="AH161" s="260"/>
      <c r="AI161" s="260">
        <v>1</v>
      </c>
      <c r="AJ161" s="260"/>
      <c r="AK161" s="260"/>
      <c r="AL161" s="260"/>
      <c r="AO161" s="260"/>
      <c r="AP161" s="260"/>
      <c r="AQ161" s="260"/>
      <c r="AR161" s="260"/>
      <c r="AS161" s="260"/>
      <c r="AT161" s="260"/>
    </row>
    <row r="162" spans="1:46" x14ac:dyDescent="0.3">
      <c r="A162" s="260" t="s">
        <v>26</v>
      </c>
      <c r="B162" s="260" t="s">
        <v>656</v>
      </c>
      <c r="C162" s="260"/>
      <c r="D162" s="260">
        <v>2012</v>
      </c>
      <c r="E162" s="108">
        <v>20000</v>
      </c>
      <c r="F162" s="98">
        <v>23500</v>
      </c>
      <c r="G162" s="260"/>
      <c r="H162" s="260">
        <v>187500</v>
      </c>
      <c r="I162" s="260" t="s">
        <v>657</v>
      </c>
      <c r="J162" s="260">
        <v>160</v>
      </c>
      <c r="K162" s="9">
        <f t="shared" ref="K162:K193" si="77">J162*0.004047</f>
        <v>0.6475200000000001</v>
      </c>
      <c r="L162" s="9">
        <f t="shared" ref="L162:L193" si="78">J162*0.4047</f>
        <v>64.751999999999995</v>
      </c>
      <c r="M162" s="1">
        <f t="shared" ref="M162:M193" si="79">J162/(E162/1000)</f>
        <v>8</v>
      </c>
      <c r="N162" s="9">
        <f t="shared" ref="N162:N186" si="80">E162/1000/K162</f>
        <v>30.88707684704719</v>
      </c>
      <c r="O162" s="260"/>
      <c r="P162" s="260"/>
      <c r="Q162" s="260"/>
      <c r="R162" s="260"/>
      <c r="S162" s="260"/>
      <c r="T162" s="260"/>
      <c r="U162" s="260"/>
      <c r="V162" s="260"/>
      <c r="W162" s="260">
        <v>35.856999999999999</v>
      </c>
      <c r="X162" s="260">
        <v>-119.44029999999999</v>
      </c>
      <c r="Y162" s="260" t="s">
        <v>203</v>
      </c>
      <c r="Z162" s="260"/>
      <c r="AA162" s="260"/>
      <c r="AB162" s="111"/>
      <c r="AC162" s="260"/>
      <c r="AD162" s="260" t="s">
        <v>174</v>
      </c>
      <c r="AE162" s="260" t="s">
        <v>109</v>
      </c>
      <c r="AF162" s="260" t="s">
        <v>611</v>
      </c>
      <c r="AG162" s="260" t="s">
        <v>380</v>
      </c>
      <c r="AH162" s="260"/>
      <c r="AI162" s="260">
        <v>1</v>
      </c>
      <c r="AJ162" s="260"/>
      <c r="AK162" s="260"/>
      <c r="AL162" s="260"/>
      <c r="AO162" s="260"/>
      <c r="AP162" s="260"/>
      <c r="AQ162" s="260"/>
      <c r="AR162" s="260"/>
      <c r="AS162" s="260"/>
      <c r="AT162" s="260"/>
    </row>
    <row r="163" spans="1:46" x14ac:dyDescent="0.3">
      <c r="A163" s="260" t="s">
        <v>26</v>
      </c>
      <c r="B163" s="260" t="s">
        <v>673</v>
      </c>
      <c r="C163" s="260"/>
      <c r="D163" s="260">
        <v>2013</v>
      </c>
      <c r="E163" s="98">
        <v>20000</v>
      </c>
      <c r="F163" s="18">
        <f>E163/$A$292</f>
        <v>23490.50846471421</v>
      </c>
      <c r="G163" s="260"/>
      <c r="H163" s="260"/>
      <c r="I163" s="260" t="s">
        <v>8</v>
      </c>
      <c r="J163" s="260">
        <v>160</v>
      </c>
      <c r="K163" s="9">
        <f t="shared" si="77"/>
        <v>0.6475200000000001</v>
      </c>
      <c r="L163" s="9">
        <f t="shared" si="78"/>
        <v>64.751999999999995</v>
      </c>
      <c r="M163" s="1">
        <f t="shared" si="79"/>
        <v>8</v>
      </c>
      <c r="N163" s="9">
        <f t="shared" si="80"/>
        <v>30.88707684704719</v>
      </c>
      <c r="O163" s="260"/>
      <c r="P163" s="260"/>
      <c r="Q163" s="260"/>
      <c r="R163" s="260"/>
      <c r="S163" s="260"/>
      <c r="T163" s="260"/>
      <c r="U163" s="260"/>
      <c r="V163" s="260"/>
      <c r="W163" s="260">
        <v>35.097700000000003</v>
      </c>
      <c r="X163" s="260">
        <v>-118.9539</v>
      </c>
      <c r="Y163" s="260" t="s">
        <v>203</v>
      </c>
      <c r="Z163" s="260"/>
      <c r="AA163" s="260"/>
      <c r="AB163" s="111"/>
      <c r="AC163" s="260"/>
      <c r="AD163" s="260"/>
      <c r="AE163" s="260" t="s">
        <v>24</v>
      </c>
      <c r="AF163" s="260" t="s">
        <v>475</v>
      </c>
      <c r="AG163" s="260" t="s">
        <v>385</v>
      </c>
      <c r="AH163" s="260"/>
      <c r="AI163" s="260">
        <v>1</v>
      </c>
      <c r="AJ163" s="260"/>
      <c r="AK163" s="260"/>
      <c r="AL163" s="260"/>
      <c r="AO163" s="260"/>
      <c r="AP163" s="260"/>
      <c r="AQ163" s="260"/>
      <c r="AR163" s="260"/>
      <c r="AS163" s="260"/>
      <c r="AT163" s="260"/>
    </row>
    <row r="164" spans="1:46" x14ac:dyDescent="0.3">
      <c r="A164" s="260" t="s">
        <v>26</v>
      </c>
      <c r="B164" s="260" t="s">
        <v>675</v>
      </c>
      <c r="C164" s="260"/>
      <c r="D164" s="260">
        <v>2013</v>
      </c>
      <c r="E164" s="98">
        <v>20000</v>
      </c>
      <c r="F164" s="18">
        <f>E164/$A$292</f>
        <v>23490.50846471421</v>
      </c>
      <c r="G164" s="260"/>
      <c r="H164" s="260"/>
      <c r="I164" s="260" t="s">
        <v>8</v>
      </c>
      <c r="J164" s="260">
        <v>265</v>
      </c>
      <c r="K164" s="9">
        <f t="shared" si="77"/>
        <v>1.0724550000000002</v>
      </c>
      <c r="L164" s="9">
        <f t="shared" si="78"/>
        <v>107.24550000000001</v>
      </c>
      <c r="M164" s="1">
        <f t="shared" si="79"/>
        <v>13.25</v>
      </c>
      <c r="N164" s="9">
        <f t="shared" si="80"/>
        <v>18.648801115198303</v>
      </c>
      <c r="O164" s="260"/>
      <c r="P164" s="260"/>
      <c r="Q164" s="260"/>
      <c r="R164" s="260"/>
      <c r="S164" s="260"/>
      <c r="T164" s="260"/>
      <c r="U164" s="260"/>
      <c r="V164" s="260"/>
      <c r="W164" s="260">
        <v>35.147072999999999</v>
      </c>
      <c r="X164" s="260">
        <v>-118.886833</v>
      </c>
      <c r="Y164" s="260" t="s">
        <v>203</v>
      </c>
      <c r="Z164" s="260"/>
      <c r="AA164" s="260"/>
      <c r="AB164" s="111"/>
      <c r="AC164" s="260"/>
      <c r="AD164" s="260"/>
      <c r="AE164" s="260" t="s">
        <v>24</v>
      </c>
      <c r="AF164" s="260" t="s">
        <v>475</v>
      </c>
      <c r="AG164" s="260" t="s">
        <v>385</v>
      </c>
      <c r="AH164" s="260"/>
      <c r="AI164" s="260">
        <v>1</v>
      </c>
      <c r="AJ164" s="260"/>
      <c r="AK164" s="260"/>
      <c r="AL164" s="260"/>
      <c r="AO164" s="260"/>
      <c r="AP164" s="260"/>
      <c r="AQ164" s="260"/>
      <c r="AR164" s="260"/>
      <c r="AS164" s="260"/>
      <c r="AT164" s="260"/>
    </row>
    <row r="165" spans="1:46" x14ac:dyDescent="0.3">
      <c r="A165" s="260" t="s">
        <v>107</v>
      </c>
      <c r="B165" s="260" t="s">
        <v>696</v>
      </c>
      <c r="C165" s="260"/>
      <c r="D165" s="260">
        <v>2012</v>
      </c>
      <c r="E165" s="108">
        <v>20500</v>
      </c>
      <c r="F165" s="98">
        <v>24900</v>
      </c>
      <c r="G165" s="260"/>
      <c r="H165" s="260"/>
      <c r="I165" s="260" t="s">
        <v>8</v>
      </c>
      <c r="J165" s="260">
        <v>154</v>
      </c>
      <c r="K165" s="9">
        <f t="shared" si="77"/>
        <v>0.62323800000000007</v>
      </c>
      <c r="L165" s="9">
        <f t="shared" si="78"/>
        <v>62.323799999999999</v>
      </c>
      <c r="M165" s="1">
        <f t="shared" si="79"/>
        <v>7.5121951219512191</v>
      </c>
      <c r="N165" s="9">
        <f t="shared" si="80"/>
        <v>32.892731187764539</v>
      </c>
      <c r="O165" s="260"/>
      <c r="P165" s="260"/>
      <c r="Q165" s="260"/>
      <c r="R165" s="260"/>
      <c r="S165" s="260"/>
      <c r="T165" s="260"/>
      <c r="U165" s="260"/>
      <c r="V165" s="260"/>
      <c r="W165" s="260">
        <v>36.392789999999998</v>
      </c>
      <c r="X165" s="260">
        <v>-114.9251</v>
      </c>
      <c r="Y165" s="260" t="s">
        <v>203</v>
      </c>
      <c r="Z165" s="260"/>
      <c r="AA165" s="260"/>
      <c r="AB165" s="111"/>
      <c r="AC165" s="260"/>
      <c r="AD165" s="260"/>
      <c r="AE165" s="260" t="s">
        <v>24</v>
      </c>
      <c r="AF165" s="260"/>
      <c r="AG165" s="260"/>
      <c r="AH165" s="260"/>
      <c r="AI165" s="260">
        <v>1</v>
      </c>
      <c r="AJ165" s="260"/>
      <c r="AK165" s="260"/>
      <c r="AL165" s="260"/>
      <c r="AO165" s="260"/>
      <c r="AP165" s="260"/>
      <c r="AQ165" s="260"/>
      <c r="AR165" s="260"/>
      <c r="AS165" s="260"/>
      <c r="AT165" s="260"/>
    </row>
    <row r="166" spans="1:46" x14ac:dyDescent="0.3">
      <c r="A166" s="260" t="s">
        <v>26</v>
      </c>
      <c r="B166" s="260" t="s">
        <v>690</v>
      </c>
      <c r="C166" s="260"/>
      <c r="D166" s="260">
        <v>2015</v>
      </c>
      <c r="E166" s="108">
        <v>23000</v>
      </c>
      <c r="F166" s="98">
        <v>28700</v>
      </c>
      <c r="G166" s="260"/>
      <c r="H166" s="260">
        <v>100000</v>
      </c>
      <c r="I166" s="260" t="s">
        <v>682</v>
      </c>
      <c r="J166" s="260">
        <v>123</v>
      </c>
      <c r="K166" s="9">
        <f t="shared" si="77"/>
        <v>0.49778100000000003</v>
      </c>
      <c r="L166" s="9">
        <f t="shared" si="78"/>
        <v>49.778100000000002</v>
      </c>
      <c r="M166" s="1">
        <f t="shared" si="79"/>
        <v>5.3478260869565215</v>
      </c>
      <c r="N166" s="9">
        <f t="shared" si="80"/>
        <v>46.205058047615317</v>
      </c>
      <c r="O166" s="260"/>
      <c r="P166" s="260"/>
      <c r="Q166" s="260"/>
      <c r="R166" s="260"/>
      <c r="S166" s="260"/>
      <c r="T166" s="260"/>
      <c r="U166" s="260"/>
      <c r="V166" s="260"/>
      <c r="W166" s="260">
        <v>33.245399999999997</v>
      </c>
      <c r="X166" s="260">
        <v>-115.4982</v>
      </c>
      <c r="Y166" s="260" t="s">
        <v>203</v>
      </c>
      <c r="Z166" s="260"/>
      <c r="AA166" s="260"/>
      <c r="AB166" s="15">
        <v>0.14899999999999999</v>
      </c>
      <c r="AC166" s="260" t="s">
        <v>399</v>
      </c>
      <c r="AD166" s="107" t="s">
        <v>689</v>
      </c>
      <c r="AE166" s="260" t="s">
        <v>24</v>
      </c>
      <c r="AF166" s="260"/>
      <c r="AG166" s="260"/>
      <c r="AH166" s="260"/>
      <c r="AI166" s="260">
        <v>1</v>
      </c>
      <c r="AJ166" s="260"/>
      <c r="AK166" s="260"/>
      <c r="AL166" s="260"/>
      <c r="AO166" s="260"/>
      <c r="AP166" s="260"/>
      <c r="AQ166" s="260"/>
      <c r="AR166" s="260"/>
      <c r="AS166" s="260"/>
      <c r="AT166" s="260"/>
    </row>
    <row r="167" spans="1:46" x14ac:dyDescent="0.3">
      <c r="A167" s="11" t="s">
        <v>190</v>
      </c>
      <c r="B167" s="11" t="s">
        <v>551</v>
      </c>
      <c r="C167" s="11"/>
      <c r="D167" s="260">
        <v>2012</v>
      </c>
      <c r="E167" s="42">
        <v>30000</v>
      </c>
      <c r="F167" s="94">
        <v>34290</v>
      </c>
      <c r="G167" s="260"/>
      <c r="H167" s="260">
        <v>127000</v>
      </c>
      <c r="I167" s="260" t="s">
        <v>552</v>
      </c>
      <c r="J167" s="74">
        <v>380</v>
      </c>
      <c r="K167" s="9">
        <f t="shared" si="77"/>
        <v>1.53786</v>
      </c>
      <c r="L167" s="9">
        <f t="shared" si="78"/>
        <v>153.786</v>
      </c>
      <c r="M167" s="1">
        <f t="shared" si="79"/>
        <v>12.666666666666666</v>
      </c>
      <c r="N167" s="1">
        <f t="shared" si="80"/>
        <v>19.507627482345598</v>
      </c>
      <c r="O167" s="260" t="s">
        <v>598</v>
      </c>
      <c r="P167" s="25"/>
      <c r="Q167" s="25"/>
      <c r="R167" s="25"/>
      <c r="S167" s="25"/>
      <c r="T167" s="11"/>
      <c r="U167" s="11"/>
      <c r="V167" s="11"/>
      <c r="W167" s="11">
        <v>30.27187</v>
      </c>
      <c r="X167" s="11">
        <v>-97.499300000000005</v>
      </c>
      <c r="Y167" s="260" t="s">
        <v>203</v>
      </c>
      <c r="Z167" s="260"/>
      <c r="AA167" s="11"/>
      <c r="AB167" s="15">
        <v>0.14699999999999999</v>
      </c>
      <c r="AC167" s="11" t="s">
        <v>399</v>
      </c>
      <c r="AD167" s="260" t="s">
        <v>550</v>
      </c>
      <c r="AE167" s="260" t="s">
        <v>29</v>
      </c>
      <c r="AF167" s="260" t="s">
        <v>157</v>
      </c>
      <c r="AG167" s="15" t="s">
        <v>385</v>
      </c>
      <c r="AH167" s="260"/>
      <c r="AI167" s="260">
        <v>1</v>
      </c>
      <c r="AJ167" s="260"/>
      <c r="AK167" s="260"/>
      <c r="AL167" s="260"/>
      <c r="AO167" s="260"/>
      <c r="AP167" s="260"/>
      <c r="AQ167" s="260"/>
      <c r="AR167" s="260"/>
      <c r="AS167" s="260"/>
      <c r="AT167" s="260"/>
    </row>
    <row r="168" spans="1:46" x14ac:dyDescent="0.3">
      <c r="A168" s="260" t="s">
        <v>26</v>
      </c>
      <c r="B168" s="260" t="s">
        <v>612</v>
      </c>
      <c r="C168" s="260"/>
      <c r="D168" s="260">
        <v>2012</v>
      </c>
      <c r="E168" s="18">
        <f>F168*$A$292</f>
        <v>32353.49294978517</v>
      </c>
      <c r="F168" s="260">
        <v>38000</v>
      </c>
      <c r="G168" s="260"/>
      <c r="H168" s="260"/>
      <c r="I168" s="260" t="s">
        <v>614</v>
      </c>
      <c r="J168" s="260">
        <v>187</v>
      </c>
      <c r="K168" s="9">
        <f t="shared" si="77"/>
        <v>0.75678900000000004</v>
      </c>
      <c r="L168" s="9">
        <f t="shared" si="78"/>
        <v>75.678899999999999</v>
      </c>
      <c r="M168" s="1">
        <f t="shared" si="79"/>
        <v>5.7799014248704692</v>
      </c>
      <c r="N168" s="1">
        <f t="shared" si="80"/>
        <v>42.751008471033764</v>
      </c>
      <c r="O168" s="260"/>
      <c r="P168" s="1"/>
      <c r="Q168" s="1"/>
      <c r="R168" s="1"/>
      <c r="S168" s="1"/>
      <c r="T168" s="260"/>
      <c r="U168" s="260"/>
      <c r="V168" s="260"/>
      <c r="W168" s="260">
        <v>34.69012</v>
      </c>
      <c r="X168" s="260">
        <v>-118.30252</v>
      </c>
      <c r="Y168" s="260" t="s">
        <v>203</v>
      </c>
      <c r="Z168" s="260"/>
      <c r="AA168" s="260" t="s">
        <v>94</v>
      </c>
      <c r="AB168" s="111"/>
      <c r="AC168" s="260"/>
      <c r="AD168" s="260"/>
      <c r="AE168" s="260" t="s">
        <v>109</v>
      </c>
      <c r="AF168" s="260" t="s">
        <v>611</v>
      </c>
      <c r="AG168" s="260" t="s">
        <v>380</v>
      </c>
      <c r="AH168" s="260"/>
      <c r="AI168" s="260">
        <v>1</v>
      </c>
      <c r="AJ168" s="260"/>
      <c r="AK168" s="260"/>
      <c r="AL168" s="260"/>
      <c r="AO168" s="260"/>
      <c r="AP168" s="260"/>
      <c r="AQ168" s="260"/>
      <c r="AR168" s="260"/>
      <c r="AS168" s="260"/>
      <c r="AT168" s="260"/>
    </row>
    <row r="169" spans="1:46" x14ac:dyDescent="0.3">
      <c r="A169" s="260" t="s">
        <v>26</v>
      </c>
      <c r="B169" s="260" t="s">
        <v>681</v>
      </c>
      <c r="C169" s="260"/>
      <c r="D169" s="260">
        <v>2012</v>
      </c>
      <c r="E169" s="18">
        <f>F169*$A$292</f>
        <v>42485.244689323154</v>
      </c>
      <c r="F169" s="260">
        <v>49900</v>
      </c>
      <c r="G169" s="260"/>
      <c r="H169" s="260"/>
      <c r="I169" s="260" t="s">
        <v>677</v>
      </c>
      <c r="J169" s="260">
        <v>320</v>
      </c>
      <c r="K169" s="9">
        <f t="shared" si="77"/>
        <v>1.2950400000000002</v>
      </c>
      <c r="L169" s="9">
        <f t="shared" si="78"/>
        <v>129.50399999999999</v>
      </c>
      <c r="M169" s="1">
        <f t="shared" si="79"/>
        <v>7.5320267622330137</v>
      </c>
      <c r="N169" s="9">
        <f t="shared" si="80"/>
        <v>32.806125439618192</v>
      </c>
      <c r="O169" s="260"/>
      <c r="P169" s="260"/>
      <c r="Q169" s="260"/>
      <c r="R169" s="260"/>
      <c r="S169" s="260"/>
      <c r="T169" s="260"/>
      <c r="U169" s="260"/>
      <c r="V169" s="260"/>
      <c r="W169" s="260">
        <v>33.318300000000001</v>
      </c>
      <c r="X169" s="260">
        <v>-115.58410000000001</v>
      </c>
      <c r="Y169" s="260" t="s">
        <v>203</v>
      </c>
      <c r="Z169" s="260"/>
      <c r="AA169" s="260"/>
      <c r="AB169" s="111"/>
      <c r="AC169" s="260"/>
      <c r="AD169" s="260"/>
      <c r="AE169" s="260" t="s">
        <v>109</v>
      </c>
      <c r="AF169" s="260" t="s">
        <v>475</v>
      </c>
      <c r="AG169" s="260" t="s">
        <v>385</v>
      </c>
      <c r="AH169" s="260"/>
      <c r="AI169" s="260">
        <v>1</v>
      </c>
      <c r="AJ169" s="260"/>
      <c r="AK169" s="260"/>
      <c r="AL169" s="260"/>
      <c r="AO169" s="260"/>
      <c r="AP169" s="260"/>
      <c r="AQ169" s="260"/>
      <c r="AR169" s="260"/>
      <c r="AS169" s="260"/>
      <c r="AT169" s="260"/>
    </row>
    <row r="170" spans="1:46" x14ac:dyDescent="0.3">
      <c r="A170" s="260" t="s">
        <v>26</v>
      </c>
      <c r="B170" s="260" t="s">
        <v>684</v>
      </c>
      <c r="C170" s="260"/>
      <c r="D170" s="260">
        <v>2012</v>
      </c>
      <c r="E170" s="18">
        <f>F170*$A$292</f>
        <v>42570.38546024364</v>
      </c>
      <c r="F170" s="260">
        <v>50000</v>
      </c>
      <c r="G170" s="260"/>
      <c r="H170" s="260"/>
      <c r="I170" s="260" t="s">
        <v>677</v>
      </c>
      <c r="J170" s="260">
        <v>300</v>
      </c>
      <c r="K170" s="9">
        <f t="shared" si="77"/>
        <v>1.2141000000000002</v>
      </c>
      <c r="L170" s="9">
        <f t="shared" si="78"/>
        <v>121.41</v>
      </c>
      <c r="M170" s="1">
        <f t="shared" si="79"/>
        <v>7.0471525394142631</v>
      </c>
      <c r="N170" s="9">
        <f t="shared" si="80"/>
        <v>35.063327123172421</v>
      </c>
      <c r="O170" s="260"/>
      <c r="P170" s="260"/>
      <c r="Q170" s="260"/>
      <c r="R170" s="260"/>
      <c r="S170" s="260"/>
      <c r="T170" s="260"/>
      <c r="U170" s="260"/>
      <c r="V170" s="260"/>
      <c r="W170" s="260">
        <v>33.1539</v>
      </c>
      <c r="X170" s="260">
        <v>-115.501</v>
      </c>
      <c r="Y170" s="260" t="s">
        <v>203</v>
      </c>
      <c r="Z170" s="260"/>
      <c r="AA170" s="260"/>
      <c r="AB170" s="111"/>
      <c r="AC170" s="260"/>
      <c r="AD170" s="260"/>
      <c r="AE170" s="260" t="s">
        <v>24</v>
      </c>
      <c r="AF170" s="260"/>
      <c r="AG170" s="260"/>
      <c r="AH170" s="260"/>
      <c r="AI170" s="260">
        <v>1</v>
      </c>
      <c r="AJ170" s="260"/>
      <c r="AK170" s="260"/>
      <c r="AL170" s="260"/>
      <c r="AO170" s="260"/>
      <c r="AP170" s="260"/>
      <c r="AQ170" s="260"/>
      <c r="AR170" s="260"/>
      <c r="AS170" s="260"/>
      <c r="AT170" s="260"/>
    </row>
    <row r="171" spans="1:46" x14ac:dyDescent="0.3">
      <c r="A171" s="260" t="s">
        <v>26</v>
      </c>
      <c r="B171" s="260" t="s">
        <v>687</v>
      </c>
      <c r="C171" s="260"/>
      <c r="D171" s="260">
        <v>2013</v>
      </c>
      <c r="E171" s="18">
        <f>F171*$A$292</f>
        <v>42570.38546024364</v>
      </c>
      <c r="F171" s="260">
        <v>50000</v>
      </c>
      <c r="G171" s="260"/>
      <c r="H171" s="260"/>
      <c r="I171" s="260" t="s">
        <v>677</v>
      </c>
      <c r="J171" s="260">
        <v>320</v>
      </c>
      <c r="K171" s="9">
        <f t="shared" si="77"/>
        <v>1.2950400000000002</v>
      </c>
      <c r="L171" s="9">
        <f t="shared" si="78"/>
        <v>129.50399999999999</v>
      </c>
      <c r="M171" s="1">
        <f t="shared" si="79"/>
        <v>7.5169627087085473</v>
      </c>
      <c r="N171" s="9">
        <f t="shared" si="80"/>
        <v>32.871869177974148</v>
      </c>
      <c r="O171" s="260"/>
      <c r="P171" s="260"/>
      <c r="Q171" s="260"/>
      <c r="R171" s="260"/>
      <c r="S171" s="260"/>
      <c r="T171" s="260"/>
      <c r="U171" s="260"/>
      <c r="V171" s="260"/>
      <c r="W171" s="260">
        <v>33.1374</v>
      </c>
      <c r="X171" s="260">
        <v>-115.5279</v>
      </c>
      <c r="Y171" s="260" t="s">
        <v>203</v>
      </c>
      <c r="Z171" s="260"/>
      <c r="AA171" s="260"/>
      <c r="AB171" s="111"/>
      <c r="AC171" s="260"/>
      <c r="AD171" s="260"/>
      <c r="AE171" s="260" t="s">
        <v>24</v>
      </c>
      <c r="AF171" s="260" t="s">
        <v>475</v>
      </c>
      <c r="AG171" s="260" t="s">
        <v>385</v>
      </c>
      <c r="AH171" s="260"/>
      <c r="AI171" s="260">
        <v>1</v>
      </c>
      <c r="AJ171" s="260"/>
      <c r="AK171" s="260"/>
      <c r="AL171" s="260"/>
      <c r="AO171" s="260"/>
      <c r="AP171" s="260"/>
      <c r="AQ171" s="260"/>
      <c r="AR171" s="260"/>
      <c r="AS171" s="260"/>
      <c r="AT171" s="260"/>
    </row>
    <row r="172" spans="1:46" x14ac:dyDescent="0.3">
      <c r="A172" s="260" t="s">
        <v>160</v>
      </c>
      <c r="B172" s="260" t="s">
        <v>715</v>
      </c>
      <c r="C172" s="260"/>
      <c r="D172" s="260">
        <v>2015</v>
      </c>
      <c r="E172" s="18">
        <f>F172*$A$292</f>
        <v>42570.38546024364</v>
      </c>
      <c r="F172" s="260">
        <v>50000</v>
      </c>
      <c r="G172" s="260"/>
      <c r="H172" s="260"/>
      <c r="I172" s="260" t="s">
        <v>716</v>
      </c>
      <c r="J172" s="260">
        <v>160</v>
      </c>
      <c r="K172" s="9">
        <f t="shared" si="77"/>
        <v>0.6475200000000001</v>
      </c>
      <c r="L172" s="9">
        <f t="shared" si="78"/>
        <v>64.751999999999995</v>
      </c>
      <c r="M172" s="1">
        <f t="shared" si="79"/>
        <v>3.7584813543542737</v>
      </c>
      <c r="N172" s="9">
        <f t="shared" si="80"/>
        <v>65.743738355948295</v>
      </c>
      <c r="O172" s="260"/>
      <c r="P172" s="260"/>
      <c r="Q172" s="260"/>
      <c r="R172" s="260"/>
      <c r="S172" s="260"/>
      <c r="T172" s="260"/>
      <c r="U172" s="260"/>
      <c r="V172" s="260"/>
      <c r="W172" s="260">
        <v>34.783200000000001</v>
      </c>
      <c r="X172" s="260">
        <v>-106.083</v>
      </c>
      <c r="Y172" s="260" t="s">
        <v>203</v>
      </c>
      <c r="Z172" s="260"/>
      <c r="AA172" s="260"/>
      <c r="AB172" s="111"/>
      <c r="AC172" s="260"/>
      <c r="AD172" s="260"/>
      <c r="AE172" s="260" t="s">
        <v>24</v>
      </c>
      <c r="AF172" s="260" t="s">
        <v>611</v>
      </c>
      <c r="AG172" s="260" t="s">
        <v>380</v>
      </c>
      <c r="AH172" s="260"/>
      <c r="AI172" s="260">
        <v>1</v>
      </c>
      <c r="AJ172" s="260"/>
      <c r="AK172" s="260"/>
      <c r="AL172" s="260"/>
      <c r="AO172" s="260"/>
      <c r="AP172" s="260"/>
      <c r="AQ172" s="260"/>
      <c r="AR172" s="260"/>
      <c r="AS172" s="260"/>
      <c r="AT172" s="260"/>
    </row>
    <row r="173" spans="1:46" x14ac:dyDescent="0.3">
      <c r="A173" s="260" t="s">
        <v>196</v>
      </c>
      <c r="B173" s="260" t="s">
        <v>712</v>
      </c>
      <c r="C173" s="260"/>
      <c r="D173" s="260">
        <v>2014</v>
      </c>
      <c r="E173" s="98">
        <v>49900</v>
      </c>
      <c r="F173" s="18">
        <f>E173/$A$292</f>
        <v>58608.818619461956</v>
      </c>
      <c r="G173" s="260"/>
      <c r="H173" s="260">
        <v>250000</v>
      </c>
      <c r="I173" s="260" t="s">
        <v>713</v>
      </c>
      <c r="J173" s="260">
        <v>422.6</v>
      </c>
      <c r="K173" s="9">
        <f t="shared" si="77"/>
        <v>1.7102622000000003</v>
      </c>
      <c r="L173" s="9">
        <f t="shared" si="78"/>
        <v>171.02622000000002</v>
      </c>
      <c r="M173" s="1">
        <f t="shared" si="79"/>
        <v>8.4689378757515037</v>
      </c>
      <c r="N173" s="9">
        <f t="shared" si="80"/>
        <v>29.176812771749262</v>
      </c>
      <c r="O173" s="260"/>
      <c r="P173" s="260"/>
      <c r="Q173" s="260"/>
      <c r="R173" s="260"/>
      <c r="S173" s="260"/>
      <c r="T173" s="260"/>
      <c r="U173" s="260"/>
      <c r="V173" s="260"/>
      <c r="W173" s="260">
        <v>39.814500000000002</v>
      </c>
      <c r="X173" s="260">
        <v>-82.649500000000003</v>
      </c>
      <c r="Y173" s="260" t="s">
        <v>203</v>
      </c>
      <c r="Z173" s="260"/>
      <c r="AA173" s="260"/>
      <c r="AB173" s="111"/>
      <c r="AC173" s="260" t="s">
        <v>391</v>
      </c>
      <c r="AD173" s="260" t="s">
        <v>714</v>
      </c>
      <c r="AE173" s="260" t="s">
        <v>24</v>
      </c>
      <c r="AF173" s="260" t="s">
        <v>702</v>
      </c>
      <c r="AG173" s="260" t="s">
        <v>709</v>
      </c>
      <c r="AH173" s="260"/>
      <c r="AI173" s="260">
        <v>1</v>
      </c>
      <c r="AJ173" s="260"/>
      <c r="AK173" s="260"/>
      <c r="AL173" s="260"/>
      <c r="AO173" s="260"/>
      <c r="AP173" s="260"/>
      <c r="AQ173" s="260"/>
      <c r="AR173" s="260"/>
      <c r="AS173" s="260"/>
      <c r="AT173" s="260"/>
    </row>
    <row r="174" spans="1:46" x14ac:dyDescent="0.3">
      <c r="A174" s="260" t="s">
        <v>26</v>
      </c>
      <c r="B174" s="260" t="s">
        <v>686</v>
      </c>
      <c r="C174" s="260"/>
      <c r="D174" s="260">
        <v>2013</v>
      </c>
      <c r="E174" s="98">
        <v>50000</v>
      </c>
      <c r="F174" s="18">
        <f>E174/$A$292</f>
        <v>58726.271161785524</v>
      </c>
      <c r="G174" s="260"/>
      <c r="H174" s="260"/>
      <c r="I174" s="260" t="s">
        <v>677</v>
      </c>
      <c r="J174" s="260">
        <v>300</v>
      </c>
      <c r="K174" s="9">
        <f t="shared" si="77"/>
        <v>1.2141000000000002</v>
      </c>
      <c r="L174" s="9">
        <f t="shared" si="78"/>
        <v>121.41</v>
      </c>
      <c r="M174" s="1">
        <f t="shared" si="79"/>
        <v>6</v>
      </c>
      <c r="N174" s="9">
        <f t="shared" si="80"/>
        <v>41.182769129396256</v>
      </c>
      <c r="O174" s="260">
        <v>277</v>
      </c>
      <c r="P174" s="1">
        <f>O174*0.004047</f>
        <v>1.121019</v>
      </c>
      <c r="Q174" s="1">
        <f>O174*0.4047</f>
        <v>112.1019</v>
      </c>
      <c r="R174" s="260">
        <f>O174/(E174/1000)</f>
        <v>5.54</v>
      </c>
      <c r="S174" s="1">
        <f>E174/1000/P174</f>
        <v>44.602277035447216</v>
      </c>
      <c r="T174" s="260"/>
      <c r="U174" s="260"/>
      <c r="V174" s="260"/>
      <c r="W174" s="260">
        <v>33.169400000000003</v>
      </c>
      <c r="X174" s="260">
        <v>-115.5492</v>
      </c>
      <c r="Y174" s="260" t="s">
        <v>203</v>
      </c>
      <c r="Z174" s="260"/>
      <c r="AA174" s="260"/>
      <c r="AB174" s="111"/>
      <c r="AC174" s="260"/>
      <c r="AD174" s="260"/>
      <c r="AE174" s="260" t="s">
        <v>24</v>
      </c>
      <c r="AF174" s="260" t="s">
        <v>475</v>
      </c>
      <c r="AG174" s="260" t="s">
        <v>385</v>
      </c>
      <c r="AH174" s="260"/>
      <c r="AI174" s="260">
        <v>1</v>
      </c>
      <c r="AJ174" s="260"/>
      <c r="AK174" s="260"/>
      <c r="AL174" s="260"/>
      <c r="AO174" s="260"/>
      <c r="AP174" s="260"/>
      <c r="AQ174" s="260"/>
      <c r="AR174" s="260"/>
      <c r="AS174" s="260"/>
      <c r="AT174" s="260"/>
    </row>
    <row r="175" spans="1:46" x14ac:dyDescent="0.3">
      <c r="A175" s="260" t="s">
        <v>190</v>
      </c>
      <c r="B175" s="260" t="s">
        <v>665</v>
      </c>
      <c r="C175" s="260"/>
      <c r="D175" s="260">
        <v>2014</v>
      </c>
      <c r="E175" s="18">
        <f>F175*$A$292</f>
        <v>51084.462552292374</v>
      </c>
      <c r="F175" s="260">
        <v>60000</v>
      </c>
      <c r="G175" s="260"/>
      <c r="H175" s="260"/>
      <c r="I175" s="260" t="s">
        <v>666</v>
      </c>
      <c r="J175" s="260">
        <v>600</v>
      </c>
      <c r="K175" s="9">
        <f t="shared" si="77"/>
        <v>2.4282000000000004</v>
      </c>
      <c r="L175" s="9">
        <f t="shared" si="78"/>
        <v>242.82</v>
      </c>
      <c r="M175" s="1">
        <f t="shared" si="79"/>
        <v>11.745254232357105</v>
      </c>
      <c r="N175" s="9">
        <f t="shared" si="80"/>
        <v>21.037996273903453</v>
      </c>
      <c r="O175" s="260"/>
      <c r="P175" s="260"/>
      <c r="Q175" s="260"/>
      <c r="R175" s="260"/>
      <c r="S175" s="260"/>
      <c r="T175" s="260"/>
      <c r="U175" s="260"/>
      <c r="V175" s="260"/>
      <c r="W175" s="260">
        <v>30.432400000000001</v>
      </c>
      <c r="X175" s="260">
        <v>-97.461100000000002</v>
      </c>
      <c r="Y175" s="260" t="s">
        <v>203</v>
      </c>
      <c r="Z175" s="260"/>
      <c r="AA175" s="260"/>
      <c r="AB175" s="111"/>
      <c r="AC175" s="260"/>
      <c r="AD175" s="260"/>
      <c r="AE175" s="260" t="s">
        <v>109</v>
      </c>
      <c r="AF175" s="260" t="s">
        <v>611</v>
      </c>
      <c r="AG175" s="260" t="s">
        <v>380</v>
      </c>
      <c r="AH175" s="260"/>
      <c r="AI175" s="260">
        <v>1</v>
      </c>
      <c r="AJ175" s="260"/>
      <c r="AK175" s="260"/>
      <c r="AL175" s="260"/>
      <c r="AO175" s="260"/>
      <c r="AP175" s="260"/>
      <c r="AQ175" s="260"/>
      <c r="AR175" s="260"/>
      <c r="AS175" s="260"/>
      <c r="AT175" s="260"/>
    </row>
    <row r="176" spans="1:46" x14ac:dyDescent="0.3">
      <c r="A176" s="69" t="s">
        <v>148</v>
      </c>
      <c r="B176" s="11" t="s">
        <v>376</v>
      </c>
      <c r="C176" s="11"/>
      <c r="D176" s="260">
        <v>2016</v>
      </c>
      <c r="E176" s="18">
        <f>F176*$A$292</f>
        <v>63855.578190365464</v>
      </c>
      <c r="F176" s="18">
        <v>75000</v>
      </c>
      <c r="G176" s="260">
        <v>350</v>
      </c>
      <c r="H176" s="260"/>
      <c r="I176" s="260" t="s">
        <v>377</v>
      </c>
      <c r="J176" s="260">
        <v>400</v>
      </c>
      <c r="K176" s="9">
        <f t="shared" si="77"/>
        <v>1.6188</v>
      </c>
      <c r="L176" s="9">
        <f t="shared" si="78"/>
        <v>161.88</v>
      </c>
      <c r="M176" s="1">
        <f t="shared" si="79"/>
        <v>6.2641355905904561</v>
      </c>
      <c r="N176" s="9">
        <f t="shared" si="80"/>
        <v>39.446243013568981</v>
      </c>
      <c r="O176" s="260"/>
      <c r="P176" s="1"/>
      <c r="Q176" s="1"/>
      <c r="R176" s="1"/>
      <c r="S176" s="1"/>
      <c r="T176" s="1"/>
      <c r="U176" s="1"/>
      <c r="V176" s="1"/>
      <c r="W176" s="260"/>
      <c r="X176" s="260"/>
      <c r="Y176" s="260" t="s">
        <v>203</v>
      </c>
      <c r="Z176" s="260"/>
      <c r="AA176" s="260"/>
      <c r="AB176" s="15"/>
      <c r="AC176" s="15"/>
      <c r="AD176" s="15"/>
      <c r="AE176" s="260" t="s">
        <v>24</v>
      </c>
      <c r="AF176" s="260" t="s">
        <v>110</v>
      </c>
      <c r="AG176" s="15" t="s">
        <v>252</v>
      </c>
      <c r="AH176" s="260"/>
      <c r="AI176" s="260">
        <v>1</v>
      </c>
      <c r="AJ176" s="260"/>
      <c r="AK176" s="260"/>
      <c r="AL176" s="260"/>
      <c r="AO176" s="260"/>
      <c r="AP176" s="260"/>
      <c r="AQ176" s="260"/>
      <c r="AR176" s="260"/>
      <c r="AS176" s="260"/>
      <c r="AT176" s="260"/>
    </row>
    <row r="177" spans="1:46" x14ac:dyDescent="0.3">
      <c r="A177" s="260" t="s">
        <v>26</v>
      </c>
      <c r="B177" s="260" t="s">
        <v>676</v>
      </c>
      <c r="C177" s="260"/>
      <c r="D177" s="260">
        <v>2013</v>
      </c>
      <c r="E177" s="18">
        <f>F177*$A$292</f>
        <v>63855.578190365464</v>
      </c>
      <c r="F177" s="260">
        <v>75000</v>
      </c>
      <c r="G177" s="260"/>
      <c r="H177" s="260"/>
      <c r="I177" s="260" t="s">
        <v>8</v>
      </c>
      <c r="J177" s="260">
        <v>743</v>
      </c>
      <c r="K177" s="9">
        <f t="shared" si="77"/>
        <v>3.0069210000000002</v>
      </c>
      <c r="L177" s="9">
        <f t="shared" si="78"/>
        <v>300.69209999999998</v>
      </c>
      <c r="M177" s="1">
        <f t="shared" si="79"/>
        <v>11.635631859521771</v>
      </c>
      <c r="N177" s="9">
        <f t="shared" si="80"/>
        <v>21.236200814841979</v>
      </c>
      <c r="O177" s="260"/>
      <c r="P177" s="260"/>
      <c r="Q177" s="260"/>
      <c r="R177" s="260"/>
      <c r="S177" s="260"/>
      <c r="T177" s="260"/>
      <c r="U177" s="260"/>
      <c r="V177" s="260"/>
      <c r="W177" s="260">
        <v>35.294499999999999</v>
      </c>
      <c r="X177" s="260">
        <v>-118.8514</v>
      </c>
      <c r="Y177" s="260" t="s">
        <v>203</v>
      </c>
      <c r="Z177" s="260"/>
      <c r="AA177" s="260"/>
      <c r="AB177" s="111"/>
      <c r="AC177" s="260"/>
      <c r="AD177" s="260"/>
      <c r="AE177" s="260" t="s">
        <v>24</v>
      </c>
      <c r="AF177" s="260" t="s">
        <v>475</v>
      </c>
      <c r="AG177" s="260" t="s">
        <v>385</v>
      </c>
      <c r="AH177" s="260"/>
      <c r="AI177" s="260">
        <v>1</v>
      </c>
      <c r="AJ177" s="260"/>
      <c r="AK177" s="260"/>
      <c r="AL177" s="260"/>
      <c r="AO177" s="260"/>
      <c r="AP177" s="260"/>
      <c r="AQ177" s="260"/>
      <c r="AR177" s="260"/>
      <c r="AS177" s="260"/>
      <c r="AT177" s="260"/>
    </row>
    <row r="178" spans="1:46" x14ac:dyDescent="0.3">
      <c r="A178" s="260" t="s">
        <v>26</v>
      </c>
      <c r="B178" s="260" t="s">
        <v>683</v>
      </c>
      <c r="C178" s="260"/>
      <c r="D178" s="260">
        <v>2013</v>
      </c>
      <c r="E178" s="98">
        <v>70000</v>
      </c>
      <c r="F178" s="18">
        <f>E178/$A$292</f>
        <v>82216.779626499731</v>
      </c>
      <c r="G178" s="260"/>
      <c r="H178" s="260"/>
      <c r="I178" s="260" t="s">
        <v>677</v>
      </c>
      <c r="J178" s="260">
        <v>300</v>
      </c>
      <c r="K178" s="9">
        <f t="shared" si="77"/>
        <v>1.2141000000000002</v>
      </c>
      <c r="L178" s="9">
        <f t="shared" si="78"/>
        <v>121.41</v>
      </c>
      <c r="M178" s="1">
        <f t="shared" si="79"/>
        <v>4.2857142857142856</v>
      </c>
      <c r="N178" s="9">
        <f t="shared" si="80"/>
        <v>57.65587678115476</v>
      </c>
      <c r="O178" s="260">
        <v>246</v>
      </c>
      <c r="P178" s="1">
        <f>O178*0.004047</f>
        <v>0.99556200000000006</v>
      </c>
      <c r="Q178" s="1">
        <f>O178*0.4047</f>
        <v>99.556200000000004</v>
      </c>
      <c r="R178" s="1">
        <f>O178/(E178/1000)</f>
        <v>3.5142857142857142</v>
      </c>
      <c r="S178" s="1">
        <f>E178/1000/P178</f>
        <v>70.312044855066787</v>
      </c>
      <c r="T178" s="260"/>
      <c r="U178" s="260"/>
      <c r="V178" s="260"/>
      <c r="W178" s="260">
        <v>33.1539</v>
      </c>
      <c r="X178" s="260">
        <v>-115.501</v>
      </c>
      <c r="Y178" s="260" t="s">
        <v>203</v>
      </c>
      <c r="Z178" s="260"/>
      <c r="AA178" s="260"/>
      <c r="AB178" s="111"/>
      <c r="AC178" s="260"/>
      <c r="AD178" s="260"/>
      <c r="AE178" s="260" t="s">
        <v>24</v>
      </c>
      <c r="AF178" s="260" t="s">
        <v>475</v>
      </c>
      <c r="AG178" s="260" t="s">
        <v>385</v>
      </c>
      <c r="AH178" s="260"/>
      <c r="AI178" s="260">
        <v>1</v>
      </c>
      <c r="AJ178" s="260"/>
      <c r="AK178" s="260"/>
      <c r="AL178" s="260"/>
      <c r="AO178" s="260"/>
      <c r="AP178" s="260"/>
      <c r="AQ178" s="260"/>
      <c r="AR178" s="260"/>
      <c r="AS178" s="260"/>
      <c r="AT178" s="260"/>
    </row>
    <row r="179" spans="1:46" x14ac:dyDescent="0.3">
      <c r="A179" s="260" t="s">
        <v>26</v>
      </c>
      <c r="B179" s="260" t="s">
        <v>688</v>
      </c>
      <c r="C179" s="260"/>
      <c r="D179" s="260">
        <v>2014</v>
      </c>
      <c r="E179" s="18">
        <f>F179*$A$292</f>
        <v>85140.770920487281</v>
      </c>
      <c r="F179" s="260">
        <v>100000</v>
      </c>
      <c r="G179" s="260"/>
      <c r="H179" s="260"/>
      <c r="I179" s="260" t="s">
        <v>677</v>
      </c>
      <c r="J179" s="260">
        <v>622</v>
      </c>
      <c r="K179" s="9">
        <f t="shared" si="77"/>
        <v>2.5172340000000002</v>
      </c>
      <c r="L179" s="9">
        <f t="shared" si="78"/>
        <v>251.7234</v>
      </c>
      <c r="M179" s="1">
        <f t="shared" si="79"/>
        <v>7.3055481325261189</v>
      </c>
      <c r="N179" s="9">
        <f t="shared" si="80"/>
        <v>33.823145134893011</v>
      </c>
      <c r="O179" s="260"/>
      <c r="P179" s="260"/>
      <c r="Q179" s="260"/>
      <c r="R179" s="260"/>
      <c r="S179" s="260"/>
      <c r="T179" s="260"/>
      <c r="U179" s="260"/>
      <c r="V179" s="260"/>
      <c r="W179" s="260">
        <v>33.1374</v>
      </c>
      <c r="X179" s="260">
        <v>-115.5279</v>
      </c>
      <c r="Y179" s="260" t="s">
        <v>203</v>
      </c>
      <c r="Z179" s="260"/>
      <c r="AA179" s="260"/>
      <c r="AB179" s="111"/>
      <c r="AC179" s="260"/>
      <c r="AD179" s="260"/>
      <c r="AE179" s="260" t="s">
        <v>24</v>
      </c>
      <c r="AF179" s="260"/>
      <c r="AG179" s="260"/>
      <c r="AH179" s="260"/>
      <c r="AI179" s="260">
        <v>1</v>
      </c>
      <c r="AJ179" s="260"/>
      <c r="AK179" s="260"/>
      <c r="AL179" s="260"/>
      <c r="AO179" s="260"/>
      <c r="AP179" s="260"/>
      <c r="AQ179" s="260"/>
      <c r="AR179" s="260"/>
      <c r="AS179" s="260"/>
      <c r="AT179" s="260"/>
    </row>
    <row r="180" spans="1:46" x14ac:dyDescent="0.3">
      <c r="A180" s="260" t="s">
        <v>148</v>
      </c>
      <c r="B180" s="260" t="s">
        <v>719</v>
      </c>
      <c r="C180" s="260"/>
      <c r="D180" s="260">
        <v>2017</v>
      </c>
      <c r="E180" s="18">
        <f>F180*$A$292</f>
        <v>85140.770920487281</v>
      </c>
      <c r="F180" s="260">
        <v>100000</v>
      </c>
      <c r="G180" s="260">
        <v>350</v>
      </c>
      <c r="H180" s="260"/>
      <c r="I180" s="260" t="s">
        <v>718</v>
      </c>
      <c r="J180" s="260">
        <v>1000</v>
      </c>
      <c r="K180" s="9">
        <f t="shared" si="77"/>
        <v>4.0470000000000006</v>
      </c>
      <c r="L180" s="9">
        <f t="shared" si="78"/>
        <v>404.7</v>
      </c>
      <c r="M180" s="1">
        <f t="shared" si="79"/>
        <v>11.745254232357105</v>
      </c>
      <c r="N180" s="9">
        <f t="shared" si="80"/>
        <v>21.037996273903453</v>
      </c>
      <c r="O180" s="260"/>
      <c r="P180" s="260"/>
      <c r="Q180" s="260"/>
      <c r="R180" s="260"/>
      <c r="S180" s="260"/>
      <c r="T180" s="260"/>
      <c r="U180" s="260"/>
      <c r="V180" s="260"/>
      <c r="W180" s="260" t="s">
        <v>724</v>
      </c>
      <c r="X180" s="260"/>
      <c r="Y180" s="260" t="s">
        <v>203</v>
      </c>
      <c r="Z180" s="260"/>
      <c r="AA180" s="260"/>
      <c r="AB180" s="111"/>
      <c r="AC180" s="260"/>
      <c r="AD180" s="260"/>
      <c r="AE180" s="260" t="s">
        <v>24</v>
      </c>
      <c r="AF180" s="260" t="s">
        <v>611</v>
      </c>
      <c r="AG180" s="260" t="s">
        <v>252</v>
      </c>
      <c r="AH180" s="260"/>
      <c r="AI180" s="260">
        <v>1</v>
      </c>
      <c r="AJ180" s="260"/>
      <c r="AK180" s="260"/>
      <c r="AL180" s="260"/>
      <c r="AO180" s="260"/>
      <c r="AP180" s="260"/>
      <c r="AQ180" s="260"/>
      <c r="AR180" s="260"/>
      <c r="AS180" s="260"/>
      <c r="AT180" s="260"/>
    </row>
    <row r="181" spans="1:46" x14ac:dyDescent="0.3">
      <c r="A181" s="11" t="s">
        <v>35</v>
      </c>
      <c r="B181" s="11" t="s">
        <v>395</v>
      </c>
      <c r="C181" s="11"/>
      <c r="D181" s="260">
        <v>2013</v>
      </c>
      <c r="E181" s="42">
        <v>150000</v>
      </c>
      <c r="F181" s="94">
        <v>170000</v>
      </c>
      <c r="G181" s="260">
        <v>337</v>
      </c>
      <c r="H181" s="260">
        <v>800000</v>
      </c>
      <c r="I181" s="260" t="s">
        <v>186</v>
      </c>
      <c r="J181" s="74">
        <v>900</v>
      </c>
      <c r="K181" s="9">
        <f t="shared" si="77"/>
        <v>3.6423000000000001</v>
      </c>
      <c r="L181" s="9">
        <f t="shared" si="78"/>
        <v>364.23</v>
      </c>
      <c r="M181" s="1">
        <f t="shared" si="79"/>
        <v>6</v>
      </c>
      <c r="N181" s="1">
        <f t="shared" si="80"/>
        <v>41.182769129396263</v>
      </c>
      <c r="O181" s="260"/>
      <c r="P181" s="260"/>
      <c r="Q181" s="1"/>
      <c r="R181" s="1"/>
      <c r="S181" s="1"/>
      <c r="T181" s="1"/>
      <c r="U181" s="1"/>
      <c r="V181" s="1"/>
      <c r="W181" s="260"/>
      <c r="X181" s="260"/>
      <c r="Y181" s="260" t="s">
        <v>203</v>
      </c>
      <c r="Z181" s="260"/>
      <c r="AA181" s="11"/>
      <c r="AB181" s="15">
        <v>0.14499999999999999</v>
      </c>
      <c r="AC181" s="260" t="s">
        <v>399</v>
      </c>
      <c r="AD181" s="260" t="s">
        <v>400</v>
      </c>
      <c r="AE181" s="260" t="s">
        <v>109</v>
      </c>
      <c r="AF181" s="260" t="s">
        <v>397</v>
      </c>
      <c r="AG181" s="15" t="s">
        <v>398</v>
      </c>
      <c r="AH181" s="260">
        <v>1</v>
      </c>
      <c r="AI181" s="260">
        <v>1</v>
      </c>
      <c r="AJ181" s="260"/>
      <c r="AK181" s="260"/>
      <c r="AL181" s="260"/>
      <c r="AO181" s="260"/>
      <c r="AP181" s="260"/>
      <c r="AQ181" s="260"/>
      <c r="AR181" s="260"/>
      <c r="AS181" s="260"/>
      <c r="AT181" s="260"/>
    </row>
    <row r="182" spans="1:46" x14ac:dyDescent="0.3">
      <c r="A182" s="260" t="s">
        <v>26</v>
      </c>
      <c r="B182" s="260" t="s">
        <v>685</v>
      </c>
      <c r="C182" s="260"/>
      <c r="D182" s="260">
        <v>2013</v>
      </c>
      <c r="E182" s="98">
        <v>155000</v>
      </c>
      <c r="F182" s="18">
        <f>E182/$A$292</f>
        <v>182051.44060153511</v>
      </c>
      <c r="G182" s="260"/>
      <c r="H182" s="260"/>
      <c r="I182" s="260" t="s">
        <v>677</v>
      </c>
      <c r="J182" s="260">
        <v>934.4</v>
      </c>
      <c r="K182" s="9">
        <f t="shared" si="77"/>
        <v>3.7815168000000003</v>
      </c>
      <c r="L182" s="9">
        <f t="shared" si="78"/>
        <v>378.15168</v>
      </c>
      <c r="M182" s="1">
        <f t="shared" si="79"/>
        <v>6.0283870967741935</v>
      </c>
      <c r="N182" s="9">
        <f t="shared" si="80"/>
        <v>40.988843418598584</v>
      </c>
      <c r="O182" s="260"/>
      <c r="P182" s="260"/>
      <c r="Q182" s="260"/>
      <c r="R182" s="260"/>
      <c r="S182" s="260"/>
      <c r="T182" s="260"/>
      <c r="U182" s="260"/>
      <c r="V182" s="260"/>
      <c r="W182" s="260">
        <v>33.159599999999998</v>
      </c>
      <c r="X182" s="260">
        <v>-115.5369</v>
      </c>
      <c r="Y182" s="260" t="s">
        <v>203</v>
      </c>
      <c r="Z182" s="260"/>
      <c r="AA182" s="260"/>
      <c r="AB182" s="111"/>
      <c r="AC182" s="260"/>
      <c r="AD182" s="260"/>
      <c r="AE182" s="260" t="s">
        <v>24</v>
      </c>
      <c r="AF182" s="260"/>
      <c r="AG182" s="260"/>
      <c r="AH182" s="260"/>
      <c r="AI182" s="260">
        <v>1</v>
      </c>
      <c r="AJ182" s="260"/>
      <c r="AK182" s="260"/>
      <c r="AL182" s="260"/>
      <c r="AO182" s="260"/>
      <c r="AP182" s="260"/>
      <c r="AQ182" s="260"/>
      <c r="AR182" s="260"/>
      <c r="AS182" s="260"/>
      <c r="AT182" s="260"/>
    </row>
    <row r="183" spans="1:46" x14ac:dyDescent="0.3">
      <c r="A183" s="260" t="s">
        <v>148</v>
      </c>
      <c r="B183" s="260" t="s">
        <v>720</v>
      </c>
      <c r="C183" s="260"/>
      <c r="D183" s="260">
        <v>2017</v>
      </c>
      <c r="E183" s="18">
        <f>F183*$A$292</f>
        <v>170281.54184097456</v>
      </c>
      <c r="F183" s="260">
        <v>200000</v>
      </c>
      <c r="G183" s="260">
        <v>700</v>
      </c>
      <c r="H183" s="260"/>
      <c r="I183" s="260" t="s">
        <v>718</v>
      </c>
      <c r="J183" s="260">
        <v>2000</v>
      </c>
      <c r="K183" s="9">
        <f t="shared" si="77"/>
        <v>8.0940000000000012</v>
      </c>
      <c r="L183" s="9">
        <f t="shared" si="78"/>
        <v>809.4</v>
      </c>
      <c r="M183" s="1">
        <f t="shared" si="79"/>
        <v>11.745254232357105</v>
      </c>
      <c r="N183" s="9">
        <f t="shared" si="80"/>
        <v>21.037996273903453</v>
      </c>
      <c r="O183" s="260"/>
      <c r="P183" s="260"/>
      <c r="Q183" s="260"/>
      <c r="R183" s="260"/>
      <c r="S183" s="260"/>
      <c r="T183" s="260"/>
      <c r="U183" s="260"/>
      <c r="V183" s="260"/>
      <c r="W183" s="260" t="s">
        <v>724</v>
      </c>
      <c r="X183" s="260"/>
      <c r="Y183" s="260" t="s">
        <v>203</v>
      </c>
      <c r="Z183" s="260"/>
      <c r="AA183" s="260"/>
      <c r="AB183" s="111"/>
      <c r="AC183" s="260"/>
      <c r="AD183" s="260"/>
      <c r="AE183" s="260" t="s">
        <v>24</v>
      </c>
      <c r="AF183" s="260" t="s">
        <v>611</v>
      </c>
      <c r="AG183" s="260" t="s">
        <v>252</v>
      </c>
      <c r="AH183" s="260"/>
      <c r="AI183" s="260">
        <v>1</v>
      </c>
      <c r="AJ183" s="260"/>
      <c r="AK183" s="260"/>
      <c r="AL183" s="260"/>
      <c r="AO183" s="260"/>
      <c r="AP183" s="260"/>
      <c r="AQ183" s="260"/>
      <c r="AR183" s="260"/>
      <c r="AS183" s="260"/>
      <c r="AT183" s="260"/>
    </row>
    <row r="184" spans="1:46" x14ac:dyDescent="0.3">
      <c r="A184" s="260" t="s">
        <v>26</v>
      </c>
      <c r="B184" s="260" t="s">
        <v>678</v>
      </c>
      <c r="C184" s="260"/>
      <c r="D184" s="260">
        <v>2014</v>
      </c>
      <c r="E184" s="98">
        <v>200000</v>
      </c>
      <c r="F184" s="18">
        <f>E184/$A$292</f>
        <v>234905.0846471421</v>
      </c>
      <c r="G184" s="260"/>
      <c r="H184" s="260"/>
      <c r="I184" s="260" t="s">
        <v>677</v>
      </c>
      <c r="J184" s="260">
        <f>2500/2</f>
        <v>1250</v>
      </c>
      <c r="K184" s="9">
        <f t="shared" si="77"/>
        <v>5.0587500000000007</v>
      </c>
      <c r="L184" s="9">
        <f t="shared" si="78"/>
        <v>505.875</v>
      </c>
      <c r="M184" s="1">
        <f t="shared" si="79"/>
        <v>6.25</v>
      </c>
      <c r="N184" s="9">
        <f t="shared" si="80"/>
        <v>39.535458364220403</v>
      </c>
      <c r="O184" s="260"/>
      <c r="P184" s="260"/>
      <c r="Q184" s="260"/>
      <c r="R184" s="260"/>
      <c r="S184" s="260"/>
      <c r="T184" s="260"/>
      <c r="U184" s="260"/>
      <c r="V184" s="260"/>
      <c r="W184" s="260">
        <v>32.6706</v>
      </c>
      <c r="X184" s="260">
        <v>-115.6</v>
      </c>
      <c r="Y184" s="260" t="s">
        <v>203</v>
      </c>
      <c r="Z184" s="260"/>
      <c r="AA184" s="260"/>
      <c r="AB184" s="111"/>
      <c r="AC184" s="260"/>
      <c r="AD184" s="260"/>
      <c r="AE184" s="260" t="s">
        <v>24</v>
      </c>
      <c r="AF184" s="260" t="s">
        <v>475</v>
      </c>
      <c r="AG184" s="260" t="s">
        <v>385</v>
      </c>
      <c r="AH184" s="260"/>
      <c r="AI184" s="260">
        <v>1</v>
      </c>
      <c r="AJ184" s="260"/>
      <c r="AK184" s="260"/>
      <c r="AL184" s="260"/>
      <c r="AO184" s="260"/>
      <c r="AP184" s="260"/>
      <c r="AQ184" s="260"/>
      <c r="AR184" s="260"/>
      <c r="AS184" s="260"/>
      <c r="AT184" s="260"/>
    </row>
    <row r="185" spans="1:46" x14ac:dyDescent="0.3">
      <c r="A185" s="260" t="s">
        <v>26</v>
      </c>
      <c r="B185" s="260" t="s">
        <v>679</v>
      </c>
      <c r="C185" s="260"/>
      <c r="D185" s="260">
        <v>2014</v>
      </c>
      <c r="E185" s="98">
        <v>200000</v>
      </c>
      <c r="F185" s="18">
        <f>E185/$A$292</f>
        <v>234905.0846471421</v>
      </c>
      <c r="G185" s="260"/>
      <c r="H185" s="260"/>
      <c r="I185" s="260" t="s">
        <v>677</v>
      </c>
      <c r="J185" s="260">
        <v>1250</v>
      </c>
      <c r="K185" s="9">
        <f t="shared" si="77"/>
        <v>5.0587500000000007</v>
      </c>
      <c r="L185" s="9">
        <f t="shared" si="78"/>
        <v>505.875</v>
      </c>
      <c r="M185" s="1">
        <f t="shared" si="79"/>
        <v>6.25</v>
      </c>
      <c r="N185" s="9">
        <f t="shared" si="80"/>
        <v>39.535458364220403</v>
      </c>
      <c r="O185" s="260"/>
      <c r="P185" s="260"/>
      <c r="Q185" s="260"/>
      <c r="R185" s="260"/>
      <c r="S185" s="260"/>
      <c r="T185" s="260"/>
      <c r="U185" s="260"/>
      <c r="V185" s="260"/>
      <c r="W185" s="260">
        <v>32.6706</v>
      </c>
      <c r="X185" s="260">
        <v>-115.6</v>
      </c>
      <c r="Y185" s="260" t="s">
        <v>203</v>
      </c>
      <c r="Z185" s="260"/>
      <c r="AA185" s="260"/>
      <c r="AB185" s="111"/>
      <c r="AC185" s="260"/>
      <c r="AD185" s="260"/>
      <c r="AE185" s="260" t="s">
        <v>24</v>
      </c>
      <c r="AF185" s="260" t="s">
        <v>475</v>
      </c>
      <c r="AG185" s="260" t="s">
        <v>385</v>
      </c>
      <c r="AH185" s="260"/>
      <c r="AI185" s="260">
        <v>1</v>
      </c>
      <c r="AJ185" s="260"/>
      <c r="AK185" s="260"/>
      <c r="AL185" s="260"/>
      <c r="AO185" s="260"/>
      <c r="AP185" s="260"/>
      <c r="AQ185" s="260"/>
      <c r="AR185" s="260"/>
      <c r="AS185" s="260"/>
      <c r="AT185" s="260"/>
    </row>
    <row r="186" spans="1:46" x14ac:dyDescent="0.3">
      <c r="A186" s="260" t="s">
        <v>26</v>
      </c>
      <c r="B186" s="260" t="s">
        <v>680</v>
      </c>
      <c r="C186" s="260"/>
      <c r="D186" s="260">
        <v>2014</v>
      </c>
      <c r="E186" s="98">
        <v>200000</v>
      </c>
      <c r="F186" s="18">
        <f>E186/$A$292</f>
        <v>234905.0846471421</v>
      </c>
      <c r="G186" s="260"/>
      <c r="H186" s="260"/>
      <c r="I186" s="260" t="s">
        <v>677</v>
      </c>
      <c r="J186" s="260">
        <v>1400</v>
      </c>
      <c r="K186" s="9">
        <f t="shared" si="77"/>
        <v>5.6657999999999999</v>
      </c>
      <c r="L186" s="9">
        <f t="shared" si="78"/>
        <v>566.58000000000004</v>
      </c>
      <c r="M186" s="1">
        <f t="shared" si="79"/>
        <v>7</v>
      </c>
      <c r="N186" s="9">
        <f t="shared" si="80"/>
        <v>35.299516396625364</v>
      </c>
      <c r="O186" s="260"/>
      <c r="P186" s="260"/>
      <c r="Q186" s="260"/>
      <c r="R186" s="260"/>
      <c r="S186" s="260"/>
      <c r="T186" s="260"/>
      <c r="U186" s="260"/>
      <c r="V186" s="260"/>
      <c r="W186" s="260">
        <v>32.6706</v>
      </c>
      <c r="X186" s="260">
        <v>-115.6</v>
      </c>
      <c r="Y186" s="260" t="s">
        <v>203</v>
      </c>
      <c r="Z186" s="260"/>
      <c r="AA186" s="260"/>
      <c r="AB186" s="111"/>
      <c r="AC186" s="260"/>
      <c r="AD186" s="260"/>
      <c r="AE186" s="260" t="s">
        <v>24</v>
      </c>
      <c r="AF186" s="260" t="s">
        <v>475</v>
      </c>
      <c r="AG186" s="260" t="s">
        <v>385</v>
      </c>
      <c r="AH186" s="260"/>
      <c r="AI186" s="260">
        <v>1</v>
      </c>
      <c r="AJ186" s="260"/>
      <c r="AK186" s="260"/>
      <c r="AL186" s="260"/>
      <c r="AO186" s="260"/>
      <c r="AP186" s="260"/>
      <c r="AQ186" s="260"/>
      <c r="AR186" s="260"/>
      <c r="AS186" s="260"/>
      <c r="AT186" s="260"/>
    </row>
    <row r="187" spans="1:46" x14ac:dyDescent="0.3">
      <c r="A187" s="69" t="s">
        <v>160</v>
      </c>
      <c r="B187" s="11" t="s">
        <v>201</v>
      </c>
      <c r="C187" s="11"/>
      <c r="D187" s="260">
        <v>2016</v>
      </c>
      <c r="E187" s="18">
        <f>F187*$A$292</f>
        <v>255422.31276146186</v>
      </c>
      <c r="F187" s="18">
        <v>300000</v>
      </c>
      <c r="G187" s="260">
        <v>1000</v>
      </c>
      <c r="H187" s="260"/>
      <c r="I187" s="260" t="s">
        <v>202</v>
      </c>
      <c r="J187" s="260">
        <v>2500</v>
      </c>
      <c r="K187" s="9">
        <f t="shared" si="77"/>
        <v>10.117500000000001</v>
      </c>
      <c r="L187" s="9">
        <f t="shared" si="78"/>
        <v>1011.75</v>
      </c>
      <c r="M187" s="1">
        <f t="shared" si="79"/>
        <v>9.7877118602975877</v>
      </c>
      <c r="N187" s="9">
        <f>F187/1000/K187</f>
        <v>29.651593773165303</v>
      </c>
      <c r="O187" s="260"/>
      <c r="P187" s="1"/>
      <c r="Q187" s="1"/>
      <c r="R187" s="1"/>
      <c r="S187" s="1"/>
      <c r="T187" s="1"/>
      <c r="U187" s="1"/>
      <c r="V187" s="1"/>
      <c r="W187" s="260"/>
      <c r="X187" s="260"/>
      <c r="Y187" s="260" t="s">
        <v>203</v>
      </c>
      <c r="Z187" s="260"/>
      <c r="AA187" s="260"/>
      <c r="AB187" s="15"/>
      <c r="AC187" s="15"/>
      <c r="AD187" s="15"/>
      <c r="AE187" s="260" t="s">
        <v>24</v>
      </c>
      <c r="AF187" s="260" t="s">
        <v>157</v>
      </c>
      <c r="AG187" s="15" t="s">
        <v>352</v>
      </c>
      <c r="AH187" s="260"/>
      <c r="AI187" s="260">
        <v>1</v>
      </c>
      <c r="AJ187" s="260"/>
      <c r="AK187" s="260"/>
      <c r="AL187" s="260"/>
      <c r="AO187" s="260"/>
      <c r="AP187" s="260"/>
      <c r="AQ187" s="260"/>
      <c r="AR187" s="260"/>
      <c r="AS187" s="260"/>
      <c r="AT187" s="260"/>
    </row>
    <row r="188" spans="1:46" x14ac:dyDescent="0.3">
      <c r="A188" s="69" t="s">
        <v>26</v>
      </c>
      <c r="B188" s="11" t="s">
        <v>205</v>
      </c>
      <c r="C188" s="11"/>
      <c r="D188" s="260">
        <v>2014</v>
      </c>
      <c r="E188" s="94">
        <v>275000</v>
      </c>
      <c r="F188" s="18">
        <f>E188/$A$292</f>
        <v>322994.49138982041</v>
      </c>
      <c r="G188" s="260">
        <v>600</v>
      </c>
      <c r="H188" s="260"/>
      <c r="I188" s="260" t="s">
        <v>206</v>
      </c>
      <c r="J188" s="260">
        <v>2067</v>
      </c>
      <c r="K188" s="9">
        <f t="shared" si="77"/>
        <v>8.3651490000000006</v>
      </c>
      <c r="L188" s="9">
        <f t="shared" si="78"/>
        <v>836.51490000000001</v>
      </c>
      <c r="M188" s="1">
        <f t="shared" si="79"/>
        <v>7.5163636363636366</v>
      </c>
      <c r="N188" s="9">
        <f t="shared" ref="N188:N193" si="81">E188/1000/K188</f>
        <v>32.874489145381631</v>
      </c>
      <c r="O188" s="260"/>
      <c r="P188" s="260"/>
      <c r="Q188" s="1"/>
      <c r="R188" s="1"/>
      <c r="S188" s="1"/>
      <c r="T188" s="1"/>
      <c r="U188" s="1"/>
      <c r="V188" s="1"/>
      <c r="W188" s="260">
        <v>32.784460000000003</v>
      </c>
      <c r="X188" s="260">
        <v>-115.857739</v>
      </c>
      <c r="Y188" s="260" t="s">
        <v>203</v>
      </c>
      <c r="Z188" s="260"/>
      <c r="AA188" s="260"/>
      <c r="AB188" s="15"/>
      <c r="AC188" s="15"/>
      <c r="AD188" s="15"/>
      <c r="AE188" s="260" t="s">
        <v>24</v>
      </c>
      <c r="AF188" s="260" t="s">
        <v>110</v>
      </c>
      <c r="AG188" s="15" t="s">
        <v>252</v>
      </c>
      <c r="AH188" s="260"/>
      <c r="AI188" s="260">
        <v>1</v>
      </c>
      <c r="AJ188" s="260"/>
      <c r="AK188" s="260"/>
      <c r="AL188" s="260"/>
      <c r="AO188" s="260"/>
      <c r="AP188" s="260"/>
      <c r="AQ188" s="260"/>
      <c r="AR188" s="260"/>
      <c r="AS188" s="260"/>
      <c r="AT188" s="260"/>
    </row>
    <row r="189" spans="1:46" x14ac:dyDescent="0.3">
      <c r="A189" s="260" t="s">
        <v>148</v>
      </c>
      <c r="B189" s="260" t="s">
        <v>717</v>
      </c>
      <c r="C189" s="260"/>
      <c r="D189" s="260">
        <v>2020</v>
      </c>
      <c r="E189" s="18">
        <f>F189*$A$292</f>
        <v>340563.08368194912</v>
      </c>
      <c r="F189" s="260">
        <v>400000</v>
      </c>
      <c r="G189" s="260">
        <v>1500</v>
      </c>
      <c r="H189" s="260"/>
      <c r="I189" s="260" t="s">
        <v>718</v>
      </c>
      <c r="J189" s="260">
        <v>4000</v>
      </c>
      <c r="K189" s="260">
        <f t="shared" si="77"/>
        <v>16.188000000000002</v>
      </c>
      <c r="L189" s="260">
        <f t="shared" si="78"/>
        <v>1618.8</v>
      </c>
      <c r="M189" s="1">
        <f t="shared" si="79"/>
        <v>11.745254232357105</v>
      </c>
      <c r="N189" s="260">
        <f t="shared" si="81"/>
        <v>21.037996273903453</v>
      </c>
      <c r="O189" s="260"/>
      <c r="P189" s="260"/>
      <c r="Q189" s="260"/>
      <c r="R189" s="260"/>
      <c r="S189" s="260"/>
      <c r="T189" s="260"/>
      <c r="U189" s="260"/>
      <c r="V189" s="260"/>
      <c r="W189" s="260" t="s">
        <v>724</v>
      </c>
      <c r="X189" s="260"/>
      <c r="Y189" s="260" t="s">
        <v>203</v>
      </c>
      <c r="Z189" s="260"/>
      <c r="AA189" s="260"/>
      <c r="AB189" s="111"/>
      <c r="AC189" s="260"/>
      <c r="AD189" s="260"/>
      <c r="AE189" s="260" t="s">
        <v>24</v>
      </c>
      <c r="AF189" s="260" t="s">
        <v>611</v>
      </c>
      <c r="AG189" s="260" t="s">
        <v>252</v>
      </c>
      <c r="AH189" s="260"/>
      <c r="AI189" s="260">
        <v>1</v>
      </c>
      <c r="AJ189" s="260"/>
      <c r="AK189" s="260"/>
      <c r="AL189" s="260"/>
      <c r="AO189" s="260"/>
      <c r="AP189" s="260"/>
      <c r="AQ189" s="260"/>
      <c r="AR189" s="260"/>
      <c r="AS189" s="260"/>
      <c r="AT189" s="260"/>
    </row>
    <row r="190" spans="1:46" x14ac:dyDescent="0.3">
      <c r="A190" s="260" t="s">
        <v>26</v>
      </c>
      <c r="B190" s="260" t="s">
        <v>691</v>
      </c>
      <c r="C190" s="260"/>
      <c r="D190" s="260">
        <v>2015</v>
      </c>
      <c r="E190" s="18">
        <f>F190*$A$292</f>
        <v>425703.85460243642</v>
      </c>
      <c r="F190" s="260">
        <v>500000</v>
      </c>
      <c r="G190" s="260"/>
      <c r="H190" s="260"/>
      <c r="I190" s="260" t="s">
        <v>692</v>
      </c>
      <c r="J190" s="260">
        <v>5587</v>
      </c>
      <c r="K190" s="9">
        <f t="shared" si="77"/>
        <v>22.610589000000001</v>
      </c>
      <c r="L190" s="9">
        <f t="shared" si="78"/>
        <v>2261.0589</v>
      </c>
      <c r="M190" s="1">
        <f t="shared" si="79"/>
        <v>13.124147079235829</v>
      </c>
      <c r="N190" s="9">
        <f t="shared" si="81"/>
        <v>18.827632247989488</v>
      </c>
      <c r="O190" s="260"/>
      <c r="P190" s="260"/>
      <c r="Q190" s="260"/>
      <c r="R190" s="260"/>
      <c r="S190" s="260"/>
      <c r="T190" s="260"/>
      <c r="U190" s="260"/>
      <c r="V190" s="260"/>
      <c r="W190" s="260">
        <v>33.036700000000003</v>
      </c>
      <c r="X190" s="260">
        <v>-115.7557</v>
      </c>
      <c r="Y190" s="260" t="s">
        <v>203</v>
      </c>
      <c r="Z190" s="260"/>
      <c r="AA190" s="260"/>
      <c r="AB190" s="111"/>
      <c r="AC190" s="260"/>
      <c r="AD190" s="260"/>
      <c r="AE190" s="260" t="s">
        <v>24</v>
      </c>
      <c r="AF190" s="260" t="s">
        <v>694</v>
      </c>
      <c r="AG190" s="260" t="s">
        <v>695</v>
      </c>
      <c r="AH190" s="260">
        <v>1</v>
      </c>
      <c r="AI190" s="260">
        <v>1</v>
      </c>
      <c r="AJ190" s="260"/>
      <c r="AK190" s="260"/>
      <c r="AL190" s="260"/>
      <c r="AO190" s="260"/>
      <c r="AP190" s="260"/>
      <c r="AQ190" s="260"/>
      <c r="AR190" s="260"/>
      <c r="AS190" s="260"/>
      <c r="AT190" s="260"/>
    </row>
    <row r="191" spans="1:46" x14ac:dyDescent="0.3">
      <c r="A191" s="69" t="s">
        <v>26</v>
      </c>
      <c r="B191" s="11" t="s">
        <v>193</v>
      </c>
      <c r="C191" s="11"/>
      <c r="D191" s="260">
        <v>2013</v>
      </c>
      <c r="E191" s="42">
        <v>440000</v>
      </c>
      <c r="F191" s="94">
        <v>500000</v>
      </c>
      <c r="G191" s="260"/>
      <c r="H191" s="260"/>
      <c r="I191" s="260" t="s">
        <v>194</v>
      </c>
      <c r="J191" s="260">
        <v>3288</v>
      </c>
      <c r="K191" s="9">
        <f t="shared" si="77"/>
        <v>13.306536000000001</v>
      </c>
      <c r="L191" s="9">
        <f t="shared" si="78"/>
        <v>1330.6536000000001</v>
      </c>
      <c r="M191" s="1">
        <f t="shared" si="79"/>
        <v>7.4727272727272727</v>
      </c>
      <c r="N191" s="9">
        <f t="shared" si="81"/>
        <v>33.066456965208673</v>
      </c>
      <c r="O191" s="260"/>
      <c r="P191" s="260"/>
      <c r="Q191" s="1"/>
      <c r="R191" s="1"/>
      <c r="S191" s="1"/>
      <c r="T191" s="1"/>
      <c r="U191" s="1"/>
      <c r="V191" s="1"/>
      <c r="W191" s="260"/>
      <c r="X191" s="260"/>
      <c r="Y191" s="260" t="s">
        <v>203</v>
      </c>
      <c r="Z191" s="260"/>
      <c r="AA191" s="260"/>
      <c r="AB191" s="15"/>
      <c r="AC191" s="15"/>
      <c r="AD191" s="15"/>
      <c r="AE191" s="260" t="s">
        <v>24</v>
      </c>
      <c r="AF191" s="260" t="s">
        <v>110</v>
      </c>
      <c r="AG191" s="15" t="s">
        <v>252</v>
      </c>
      <c r="AH191" s="260"/>
      <c r="AI191" s="260">
        <v>1</v>
      </c>
      <c r="AJ191" s="260"/>
      <c r="AK191" s="260"/>
      <c r="AL191" s="260"/>
      <c r="AO191" s="260"/>
      <c r="AP191" s="260"/>
      <c r="AQ191" s="260"/>
      <c r="AR191" s="260"/>
      <c r="AS191" s="260"/>
      <c r="AT191" s="260"/>
    </row>
    <row r="192" spans="1:46" x14ac:dyDescent="0.3">
      <c r="A192" s="11" t="s">
        <v>35</v>
      </c>
      <c r="B192" s="11" t="s">
        <v>396</v>
      </c>
      <c r="C192" s="11"/>
      <c r="D192" s="260">
        <v>2016</v>
      </c>
      <c r="E192" s="18">
        <f>F192*$A$292</f>
        <v>595985.39644341101</v>
      </c>
      <c r="F192" s="18">
        <v>700000</v>
      </c>
      <c r="G192" s="260"/>
      <c r="H192" s="260"/>
      <c r="I192" s="260" t="s">
        <v>186</v>
      </c>
      <c r="J192" s="74">
        <v>4000</v>
      </c>
      <c r="K192" s="9">
        <f t="shared" si="77"/>
        <v>16.188000000000002</v>
      </c>
      <c r="L192" s="9">
        <f t="shared" si="78"/>
        <v>1618.8</v>
      </c>
      <c r="M192" s="1">
        <f t="shared" si="79"/>
        <v>6.711573847061203</v>
      </c>
      <c r="N192" s="1">
        <f t="shared" si="81"/>
        <v>36.816493479331044</v>
      </c>
      <c r="O192" s="260"/>
      <c r="P192" s="260"/>
      <c r="Q192" s="1"/>
      <c r="R192" s="1"/>
      <c r="S192" s="1"/>
      <c r="T192" s="1"/>
      <c r="U192" s="1"/>
      <c r="V192" s="1"/>
      <c r="W192" s="260"/>
      <c r="X192" s="260"/>
      <c r="Y192" s="260" t="s">
        <v>203</v>
      </c>
      <c r="Z192" s="260"/>
      <c r="AA192" s="11"/>
      <c r="AB192" s="15"/>
      <c r="AC192" s="260"/>
      <c r="AD192" s="260"/>
      <c r="AE192" s="260" t="s">
        <v>24</v>
      </c>
      <c r="AF192" s="260"/>
      <c r="AG192" s="15"/>
      <c r="AH192" s="260">
        <v>1</v>
      </c>
      <c r="AI192" s="260">
        <v>1</v>
      </c>
      <c r="AJ192" s="260"/>
      <c r="AK192" s="260"/>
      <c r="AL192" s="260"/>
      <c r="AO192" s="260"/>
      <c r="AP192" s="260"/>
      <c r="AQ192" s="260"/>
      <c r="AR192" s="260"/>
      <c r="AS192" s="260"/>
      <c r="AT192" s="260"/>
    </row>
    <row r="193" spans="1:57" x14ac:dyDescent="0.3">
      <c r="A193" s="260" t="s">
        <v>107</v>
      </c>
      <c r="B193" s="260" t="s">
        <v>734</v>
      </c>
      <c r="C193" s="260"/>
      <c r="D193" s="260">
        <v>2015</v>
      </c>
      <c r="E193" s="18">
        <f>F193*$A$292</f>
        <v>613013.55062750843</v>
      </c>
      <c r="F193" s="260">
        <v>720000</v>
      </c>
      <c r="G193" s="260"/>
      <c r="H193" s="260"/>
      <c r="I193" s="260" t="s">
        <v>733</v>
      </c>
      <c r="J193" s="260">
        <f>5436</f>
        <v>5436</v>
      </c>
      <c r="K193" s="9">
        <f t="shared" si="77"/>
        <v>21.999492</v>
      </c>
      <c r="L193" s="9">
        <f t="shared" si="78"/>
        <v>2199.9492</v>
      </c>
      <c r="M193" s="1">
        <f t="shared" si="79"/>
        <v>8.8676669454296153</v>
      </c>
      <c r="N193" s="9">
        <f t="shared" si="81"/>
        <v>27.86489572702444</v>
      </c>
      <c r="O193" s="260"/>
      <c r="P193" s="260"/>
      <c r="Q193" s="260"/>
      <c r="R193" s="260"/>
      <c r="S193" s="260"/>
      <c r="T193" s="260"/>
      <c r="U193" s="260"/>
      <c r="V193" s="260"/>
      <c r="W193" s="260">
        <v>35.077634000000003</v>
      </c>
      <c r="X193" s="260">
        <v>-114.639931</v>
      </c>
      <c r="Y193" s="260" t="s">
        <v>203</v>
      </c>
      <c r="Z193" s="260"/>
      <c r="AA193" s="260"/>
      <c r="AB193" s="15"/>
      <c r="AC193" s="260" t="s">
        <v>366</v>
      </c>
      <c r="AD193" s="260" t="s">
        <v>735</v>
      </c>
      <c r="AE193" s="260" t="s">
        <v>24</v>
      </c>
      <c r="AF193" s="260" t="s">
        <v>611</v>
      </c>
      <c r="AG193" s="260" t="s">
        <v>380</v>
      </c>
      <c r="AH193" s="260"/>
      <c r="AI193" s="260">
        <v>1</v>
      </c>
      <c r="AJ193" s="260"/>
      <c r="AK193" s="260"/>
      <c r="AL193" s="260"/>
      <c r="AO193" s="260"/>
      <c r="AP193" s="260"/>
      <c r="AQ193" s="260"/>
      <c r="AR193" s="260"/>
      <c r="AS193" s="260"/>
      <c r="AT193" s="260"/>
    </row>
    <row r="194" spans="1:57" x14ac:dyDescent="0.3">
      <c r="AJ194" s="260"/>
      <c r="AK194" s="260"/>
      <c r="AL194" s="260"/>
      <c r="AO194" s="260"/>
      <c r="AP194" s="260"/>
      <c r="AQ194" s="260"/>
      <c r="AR194" s="260"/>
      <c r="AS194" s="260"/>
      <c r="AT194" s="260"/>
    </row>
    <row r="195" spans="1:57" s="260" customFormat="1" x14ac:dyDescent="0.3">
      <c r="AM195" s="98"/>
      <c r="AN195" s="100"/>
    </row>
    <row r="196" spans="1:57" s="260" customFormat="1" x14ac:dyDescent="0.3">
      <c r="A196"/>
      <c r="B196"/>
      <c r="C196"/>
      <c r="D196"/>
      <c r="E196"/>
      <c r="F196"/>
      <c r="G196"/>
      <c r="H196"/>
      <c r="I196"/>
      <c r="J196"/>
      <c r="K196"/>
      <c r="L196"/>
      <c r="M196"/>
      <c r="N196"/>
      <c r="O196"/>
      <c r="P196"/>
      <c r="Q196" s="98"/>
      <c r="R196" s="100"/>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row>
    <row r="197" spans="1:57" s="260" customFormat="1" x14ac:dyDescent="0.3">
      <c r="I197" s="427" t="s">
        <v>13</v>
      </c>
      <c r="J197" s="427"/>
      <c r="K197" s="427"/>
      <c r="L197" s="420"/>
      <c r="M197" s="420"/>
      <c r="N197" s="428" t="s">
        <v>9</v>
      </c>
      <c r="O197" s="428"/>
      <c r="P197" s="428"/>
      <c r="Q197" s="421"/>
      <c r="R197" s="5"/>
      <c r="AM197" s="260" t="s">
        <v>331</v>
      </c>
      <c r="AN197" s="260" t="s">
        <v>920</v>
      </c>
    </row>
    <row r="198" spans="1:57" s="260" customFormat="1" x14ac:dyDescent="0.3">
      <c r="A198" s="261" t="s">
        <v>0</v>
      </c>
      <c r="B198" s="261" t="s">
        <v>1</v>
      </c>
      <c r="C198" s="261" t="s">
        <v>2</v>
      </c>
      <c r="D198" s="261" t="s">
        <v>62</v>
      </c>
      <c r="E198" s="261" t="s">
        <v>803</v>
      </c>
      <c r="F198" s="261" t="s">
        <v>5</v>
      </c>
      <c r="G198" s="261" t="s">
        <v>259</v>
      </c>
      <c r="H198" s="261" t="s">
        <v>7</v>
      </c>
      <c r="I198" s="2" t="s">
        <v>10</v>
      </c>
      <c r="J198" s="2" t="s">
        <v>11</v>
      </c>
      <c r="K198" s="2" t="s">
        <v>12</v>
      </c>
      <c r="L198" s="2" t="s">
        <v>239</v>
      </c>
      <c r="M198" s="2" t="s">
        <v>239</v>
      </c>
      <c r="N198" s="3" t="s">
        <v>10</v>
      </c>
      <c r="O198" s="3" t="s">
        <v>11</v>
      </c>
      <c r="P198" s="3" t="s">
        <v>12</v>
      </c>
      <c r="Q198" s="3" t="s">
        <v>239</v>
      </c>
      <c r="R198" s="3" t="s">
        <v>239</v>
      </c>
      <c r="S198" s="7" t="s">
        <v>15</v>
      </c>
      <c r="T198" s="7" t="s">
        <v>16</v>
      </c>
      <c r="U198" s="7" t="s">
        <v>20</v>
      </c>
      <c r="V198" s="7" t="s">
        <v>808</v>
      </c>
      <c r="W198" s="7" t="s">
        <v>789</v>
      </c>
      <c r="X198" s="7" t="s">
        <v>93</v>
      </c>
      <c r="Y198" s="7" t="s">
        <v>929</v>
      </c>
      <c r="Z198" s="7" t="s">
        <v>263</v>
      </c>
      <c r="AA198" s="7" t="s">
        <v>356</v>
      </c>
      <c r="AB198" s="7" t="s">
        <v>17</v>
      </c>
      <c r="AC198" s="7" t="s">
        <v>18</v>
      </c>
      <c r="AF198" s="260">
        <v>1</v>
      </c>
      <c r="AI198" s="260" t="s">
        <v>918</v>
      </c>
      <c r="AJ198" s="260" t="s">
        <v>919</v>
      </c>
      <c r="AM198" s="260" t="s">
        <v>968</v>
      </c>
      <c r="AN198" s="260" t="s">
        <v>968</v>
      </c>
    </row>
    <row r="199" spans="1:57" s="260" customFormat="1" x14ac:dyDescent="0.3">
      <c r="A199" s="260" t="s">
        <v>26</v>
      </c>
      <c r="B199" s="260" t="s">
        <v>27</v>
      </c>
      <c r="C199" s="260">
        <v>1990</v>
      </c>
      <c r="D199" s="260">
        <v>354000</v>
      </c>
      <c r="G199" s="260">
        <v>936384</v>
      </c>
      <c r="H199" s="260" t="s">
        <v>791</v>
      </c>
      <c r="I199" s="260">
        <v>2057</v>
      </c>
      <c r="J199" s="1">
        <v>8.3246789999999997</v>
      </c>
      <c r="K199" s="1">
        <v>832.46789999999999</v>
      </c>
      <c r="L199" s="1">
        <v>5.8107344632768365</v>
      </c>
      <c r="M199" s="1">
        <v>5.8107344632768365</v>
      </c>
      <c r="N199" s="260">
        <v>2057</v>
      </c>
      <c r="O199" s="1">
        <v>8.3246789999999997</v>
      </c>
      <c r="P199" s="1">
        <v>832.46789999999999</v>
      </c>
      <c r="Q199" s="1">
        <v>5.8107344632768365</v>
      </c>
      <c r="R199" s="1">
        <v>5.8107344632768365</v>
      </c>
      <c r="S199" s="260">
        <v>35.018760999999998</v>
      </c>
      <c r="T199" s="260">
        <v>-117.558825</v>
      </c>
      <c r="U199" s="98" t="s">
        <v>112</v>
      </c>
      <c r="V199" s="260" t="s">
        <v>796</v>
      </c>
      <c r="W199" s="260" t="s">
        <v>790</v>
      </c>
      <c r="X199" s="260" t="s">
        <v>94</v>
      </c>
      <c r="Z199" s="260">
        <v>0</v>
      </c>
      <c r="AA199" s="260">
        <v>1.25</v>
      </c>
      <c r="AB199" s="260" t="s">
        <v>29</v>
      </c>
      <c r="AC199" s="260" t="s">
        <v>30</v>
      </c>
      <c r="AF199" s="260">
        <v>1</v>
      </c>
      <c r="AI199" s="98">
        <v>844673824</v>
      </c>
      <c r="AJ199" s="260">
        <v>844.67382399999997</v>
      </c>
      <c r="AM199" s="100">
        <v>2.4352595541068882</v>
      </c>
      <c r="AN199" s="159">
        <v>2.4352595541068882</v>
      </c>
    </row>
    <row r="200" spans="1:57" s="260" customFormat="1" x14ac:dyDescent="0.3">
      <c r="A200" s="260" t="s">
        <v>26</v>
      </c>
      <c r="B200" s="260" t="s">
        <v>830</v>
      </c>
      <c r="D200" s="260">
        <v>50000</v>
      </c>
      <c r="H200" s="260" t="s">
        <v>833</v>
      </c>
      <c r="I200" s="260">
        <v>265</v>
      </c>
      <c r="J200" s="260">
        <v>1.0724550000000002</v>
      </c>
      <c r="K200" s="260">
        <v>107.24550000000001</v>
      </c>
      <c r="L200" s="1">
        <v>5.3</v>
      </c>
      <c r="M200" s="1">
        <v>5.3</v>
      </c>
      <c r="N200" s="260">
        <v>230</v>
      </c>
      <c r="O200" s="260">
        <v>0.93081000000000003</v>
      </c>
      <c r="P200" s="260">
        <v>93.081000000000003</v>
      </c>
      <c r="Q200" s="1">
        <v>4.5999999999999996</v>
      </c>
      <c r="R200" s="1">
        <v>4.5999999999999996</v>
      </c>
      <c r="S200" s="260">
        <v>34.636699999999998</v>
      </c>
      <c r="T200" s="260">
        <v>-117.37220000000001</v>
      </c>
      <c r="U200" s="98" t="s">
        <v>113</v>
      </c>
      <c r="V200" s="260" t="s">
        <v>835</v>
      </c>
      <c r="W200" s="260" t="s">
        <v>834</v>
      </c>
      <c r="X200" s="260" t="s">
        <v>96</v>
      </c>
      <c r="Z200" s="260">
        <v>0</v>
      </c>
      <c r="AA200" s="260">
        <v>1.25</v>
      </c>
      <c r="AB200" s="260" t="s">
        <v>831</v>
      </c>
      <c r="AC200" s="260" t="s">
        <v>147</v>
      </c>
      <c r="AD200" s="260" t="s">
        <v>832</v>
      </c>
      <c r="AF200" s="260">
        <v>1</v>
      </c>
      <c r="AH200" s="155"/>
      <c r="AI200" s="98">
        <v>115853479</v>
      </c>
      <c r="AJ200" s="260">
        <v>115.85347899999999</v>
      </c>
      <c r="AM200" s="100">
        <v>2.2873719657568508</v>
      </c>
      <c r="AN200" s="159">
        <v>1.9852662344304741</v>
      </c>
      <c r="AS200" s="155"/>
    </row>
    <row r="201" spans="1:57" s="260" customFormat="1" x14ac:dyDescent="0.3">
      <c r="A201" s="260" t="s">
        <v>26</v>
      </c>
      <c r="B201" s="260" t="s">
        <v>828</v>
      </c>
      <c r="D201" s="260">
        <v>57000</v>
      </c>
      <c r="H201" s="260" t="s">
        <v>829</v>
      </c>
      <c r="I201" s="260">
        <v>377</v>
      </c>
      <c r="J201" s="260">
        <v>1.525719</v>
      </c>
      <c r="K201" s="260">
        <v>152.5719</v>
      </c>
      <c r="L201" s="1">
        <v>6.6140350877192979</v>
      </c>
      <c r="M201" s="1">
        <v>6.6140350877192979</v>
      </c>
      <c r="N201" s="260">
        <v>250</v>
      </c>
      <c r="O201" s="260">
        <v>1.0117500000000001</v>
      </c>
      <c r="P201" s="260">
        <v>101.175</v>
      </c>
      <c r="Q201" s="1">
        <v>4.3859649122807021</v>
      </c>
      <c r="R201" s="1">
        <v>4.3859649122807021</v>
      </c>
      <c r="S201" s="260">
        <v>34.641399999999997</v>
      </c>
      <c r="T201" s="260">
        <v>-118.11020000000001</v>
      </c>
      <c r="U201" s="98" t="s">
        <v>113</v>
      </c>
      <c r="X201" s="260" t="s">
        <v>94</v>
      </c>
      <c r="Z201" s="260">
        <v>0</v>
      </c>
      <c r="AA201" s="260">
        <v>1.25</v>
      </c>
      <c r="AB201" s="260" t="s">
        <v>24</v>
      </c>
      <c r="AC201" s="260" t="s">
        <v>147</v>
      </c>
      <c r="AF201" s="260">
        <v>1</v>
      </c>
      <c r="AH201" s="155"/>
      <c r="AI201" s="271">
        <v>125538862</v>
      </c>
      <c r="AJ201" s="260">
        <v>125.53886199999999</v>
      </c>
      <c r="AM201" s="100">
        <v>3.0030541458946796</v>
      </c>
      <c r="AN201" s="159">
        <v>1.9914152161105301</v>
      </c>
      <c r="AS201" s="155"/>
    </row>
    <row r="202" spans="1:57" s="260" customFormat="1" x14ac:dyDescent="0.3">
      <c r="A202" s="260" t="s">
        <v>26</v>
      </c>
      <c r="B202" s="260" t="s">
        <v>792</v>
      </c>
      <c r="C202" s="260">
        <v>2014</v>
      </c>
      <c r="D202" s="260">
        <v>250000</v>
      </c>
      <c r="H202" s="260" t="s">
        <v>794</v>
      </c>
      <c r="I202" s="260">
        <v>1765</v>
      </c>
      <c r="J202" s="260">
        <v>7.1429550000000006</v>
      </c>
      <c r="K202" s="260">
        <v>714.29550000000006</v>
      </c>
      <c r="L202" s="1">
        <v>7.06</v>
      </c>
      <c r="M202" s="1">
        <v>7.06</v>
      </c>
      <c r="S202" s="260">
        <v>35.003279999999997</v>
      </c>
      <c r="T202" s="260">
        <v>-117.30377</v>
      </c>
      <c r="U202" s="98" t="s">
        <v>113</v>
      </c>
      <c r="X202" s="260" t="s">
        <v>94</v>
      </c>
      <c r="Z202" s="260">
        <v>0</v>
      </c>
      <c r="AA202" s="260">
        <v>1.25</v>
      </c>
      <c r="AB202" s="260" t="s">
        <v>342</v>
      </c>
      <c r="AC202" s="260" t="s">
        <v>260</v>
      </c>
      <c r="AF202" s="260">
        <v>1</v>
      </c>
      <c r="AH202" s="155"/>
      <c r="AI202" s="271">
        <v>597152770</v>
      </c>
      <c r="AJ202" s="260">
        <v>597.15277000000003</v>
      </c>
      <c r="AM202" s="100">
        <v>2.9556925608835405</v>
      </c>
      <c r="AN202" s="159"/>
    </row>
    <row r="203" spans="1:57" s="260" customFormat="1" x14ac:dyDescent="0.3">
      <c r="A203" s="260" t="s">
        <v>35</v>
      </c>
      <c r="B203" s="260" t="s">
        <v>264</v>
      </c>
      <c r="C203" s="260">
        <v>2013</v>
      </c>
      <c r="D203" s="260">
        <v>280000</v>
      </c>
      <c r="H203" s="260" t="s">
        <v>794</v>
      </c>
      <c r="I203" s="260">
        <v>3107</v>
      </c>
      <c r="J203" s="260">
        <v>12.574029000000001</v>
      </c>
      <c r="K203" s="260">
        <v>1257.4029</v>
      </c>
      <c r="L203" s="1">
        <v>11.096428571428572</v>
      </c>
      <c r="M203" s="1">
        <v>11.096428571428572</v>
      </c>
      <c r="N203" s="260">
        <v>1932.7</v>
      </c>
      <c r="O203" s="260">
        <v>7.8216369000000006</v>
      </c>
      <c r="P203" s="260">
        <v>782.16368999999997</v>
      </c>
      <c r="Q203" s="1">
        <v>6.9024999999999999</v>
      </c>
      <c r="R203" s="1">
        <v>6.9024999999999999</v>
      </c>
      <c r="S203" s="260">
        <v>32.929380000000002</v>
      </c>
      <c r="T203" s="260">
        <v>-112.97833</v>
      </c>
      <c r="U203" s="98" t="s">
        <v>262</v>
      </c>
      <c r="W203" s="260" t="s">
        <v>793</v>
      </c>
      <c r="X203" s="260" t="s">
        <v>96</v>
      </c>
      <c r="Z203" s="260">
        <v>6</v>
      </c>
      <c r="AA203" s="260">
        <v>2</v>
      </c>
      <c r="AB203" s="260" t="s">
        <v>342</v>
      </c>
      <c r="AC203" s="260" t="s">
        <v>260</v>
      </c>
      <c r="AF203" s="260">
        <v>1</v>
      </c>
      <c r="AH203" s="155"/>
      <c r="AI203" s="271">
        <v>1037274375</v>
      </c>
      <c r="AJ203" s="260">
        <v>1037.274375</v>
      </c>
      <c r="AM203" s="100">
        <v>2.9953501936264453</v>
      </c>
      <c r="AN203" s="159">
        <v>1.8632485739368623</v>
      </c>
    </row>
    <row r="204" spans="1:57" s="260" customFormat="1" x14ac:dyDescent="0.3">
      <c r="A204" s="260" t="s">
        <v>148</v>
      </c>
      <c r="B204" s="260" t="s">
        <v>272</v>
      </c>
      <c r="C204" s="260">
        <v>2010</v>
      </c>
      <c r="D204" s="260">
        <v>75000</v>
      </c>
      <c r="F204" s="260">
        <v>476.3</v>
      </c>
      <c r="H204" s="260" t="s">
        <v>273</v>
      </c>
      <c r="I204" s="260">
        <v>500</v>
      </c>
      <c r="J204" s="260">
        <v>2.0235000000000003</v>
      </c>
      <c r="K204" s="260">
        <v>202.35</v>
      </c>
      <c r="L204" s="1">
        <v>6.666666666666667</v>
      </c>
      <c r="M204" s="1">
        <v>6.666666666666667</v>
      </c>
      <c r="N204" s="260">
        <v>400</v>
      </c>
      <c r="O204" s="260">
        <v>1.6188</v>
      </c>
      <c r="P204" s="260">
        <v>161.88</v>
      </c>
      <c r="Q204" s="1">
        <v>5.333333333333333</v>
      </c>
      <c r="R204" s="1">
        <v>5.333333333333333</v>
      </c>
      <c r="S204" s="260">
        <v>27.053259000000001</v>
      </c>
      <c r="T204" s="260">
        <v>-80.558505999999994</v>
      </c>
      <c r="U204" s="98" t="s">
        <v>113</v>
      </c>
      <c r="V204" s="260" t="s">
        <v>795</v>
      </c>
      <c r="W204" s="260" t="s">
        <v>790</v>
      </c>
      <c r="X204" s="260" t="s">
        <v>94</v>
      </c>
      <c r="Z204" s="260">
        <v>0</v>
      </c>
      <c r="AA204" s="260">
        <v>1.25</v>
      </c>
      <c r="AB204" s="260" t="s">
        <v>29</v>
      </c>
      <c r="AC204" s="260" t="s">
        <v>274</v>
      </c>
      <c r="AF204" s="260">
        <v>1</v>
      </c>
      <c r="AH204" s="155"/>
      <c r="AI204" s="271">
        <v>88935173</v>
      </c>
      <c r="AJ204" s="260">
        <v>88.935173000000006</v>
      </c>
      <c r="AM204" s="100">
        <v>5.6220726078758512</v>
      </c>
      <c r="AN204" s="159">
        <v>4.4976580863006808</v>
      </c>
    </row>
    <row r="205" spans="1:57" s="260" customFormat="1" x14ac:dyDescent="0.3">
      <c r="A205" s="260" t="s">
        <v>107</v>
      </c>
      <c r="B205" s="260" t="s">
        <v>276</v>
      </c>
      <c r="C205" s="260">
        <v>2007</v>
      </c>
      <c r="D205" s="260">
        <v>64000</v>
      </c>
      <c r="F205" s="260">
        <v>266</v>
      </c>
      <c r="G205" s="260">
        <v>760</v>
      </c>
      <c r="H205" s="260" t="s">
        <v>277</v>
      </c>
      <c r="I205" s="260">
        <v>400</v>
      </c>
      <c r="J205" s="260">
        <v>1.6188</v>
      </c>
      <c r="K205" s="260">
        <v>161.88</v>
      </c>
      <c r="L205" s="1">
        <v>6.25</v>
      </c>
      <c r="M205" s="1">
        <v>6.25</v>
      </c>
      <c r="N205" s="260">
        <v>290</v>
      </c>
      <c r="O205" s="260">
        <v>1.1736300000000002</v>
      </c>
      <c r="P205" s="260">
        <v>117.363</v>
      </c>
      <c r="Q205" s="1">
        <v>4.53125</v>
      </c>
      <c r="R205" s="1">
        <v>4.53125</v>
      </c>
      <c r="S205" s="260">
        <v>35.801360000000003</v>
      </c>
      <c r="T205" s="260">
        <v>-114.97644</v>
      </c>
      <c r="U205" s="98" t="s">
        <v>113</v>
      </c>
      <c r="V205" s="260" t="s">
        <v>797</v>
      </c>
      <c r="X205" s="260" t="s">
        <v>94</v>
      </c>
      <c r="Z205" s="260">
        <v>0.5</v>
      </c>
      <c r="AA205" s="260">
        <v>1.35</v>
      </c>
      <c r="AB205" s="260" t="s">
        <v>29</v>
      </c>
      <c r="AC205" s="260" t="s">
        <v>260</v>
      </c>
      <c r="AF205" s="260">
        <v>1</v>
      </c>
      <c r="AI205" s="271">
        <v>135033927</v>
      </c>
      <c r="AJ205" s="260">
        <v>135.03392700000001</v>
      </c>
      <c r="AM205" s="100">
        <v>2.9622185245342081</v>
      </c>
      <c r="AN205" s="159">
        <v>2.1476084302873009</v>
      </c>
    </row>
    <row r="206" spans="1:57" s="260" customFormat="1" x14ac:dyDescent="0.3">
      <c r="L206" s="1"/>
      <c r="M206" s="1"/>
      <c r="Q206" s="1"/>
      <c r="R206" s="1"/>
      <c r="U206" s="98"/>
      <c r="Z206" s="10"/>
      <c r="AI206" s="271"/>
      <c r="AM206" s="100"/>
      <c r="AN206" s="159"/>
    </row>
    <row r="207" spans="1:57" s="260" customFormat="1" x14ac:dyDescent="0.3">
      <c r="A207" s="260" t="s">
        <v>26</v>
      </c>
      <c r="B207" s="260" t="s">
        <v>270</v>
      </c>
      <c r="C207" s="260">
        <v>2013</v>
      </c>
      <c r="D207" s="260">
        <v>250000</v>
      </c>
      <c r="F207" s="260">
        <v>1000</v>
      </c>
      <c r="H207" s="260" t="s">
        <v>800</v>
      </c>
      <c r="I207" s="260">
        <v>4640</v>
      </c>
      <c r="J207" s="260">
        <v>18.778080000000003</v>
      </c>
      <c r="K207" s="260">
        <v>1877.808</v>
      </c>
      <c r="L207" s="1">
        <v>18.559999999999999</v>
      </c>
      <c r="M207" s="1">
        <v>18.559999999999999</v>
      </c>
      <c r="N207" s="260">
        <v>1800</v>
      </c>
      <c r="O207" s="260">
        <v>7.2846000000000002</v>
      </c>
      <c r="P207" s="260">
        <v>728.46</v>
      </c>
      <c r="Q207" s="1">
        <v>7.2</v>
      </c>
      <c r="R207" s="1">
        <v>7.2</v>
      </c>
      <c r="S207" s="260">
        <v>33.428699999999999</v>
      </c>
      <c r="T207" s="260">
        <v>-114.6506</v>
      </c>
      <c r="U207" s="98" t="s">
        <v>113</v>
      </c>
      <c r="V207" s="260" t="s">
        <v>809</v>
      </c>
      <c r="X207" s="260" t="s">
        <v>96</v>
      </c>
      <c r="Z207" s="260">
        <v>0</v>
      </c>
      <c r="AA207" s="260">
        <v>1.25</v>
      </c>
      <c r="AB207" s="260" t="s">
        <v>342</v>
      </c>
      <c r="AC207" s="260" t="s">
        <v>147</v>
      </c>
      <c r="AF207" s="260">
        <v>1</v>
      </c>
      <c r="AI207" s="271">
        <v>559545807</v>
      </c>
      <c r="AJ207" s="260">
        <v>559.54580699999997</v>
      </c>
      <c r="AM207" s="100">
        <v>8.2924399431698372</v>
      </c>
      <c r="AN207" s="159">
        <v>3.2168948055400226</v>
      </c>
    </row>
    <row r="208" spans="1:57" s="260" customFormat="1" x14ac:dyDescent="0.3">
      <c r="A208" s="260" t="s">
        <v>26</v>
      </c>
      <c r="B208" s="260" t="s">
        <v>354</v>
      </c>
      <c r="C208" s="260">
        <v>2008</v>
      </c>
      <c r="D208" s="260">
        <v>7500</v>
      </c>
      <c r="E208" s="260">
        <v>25000</v>
      </c>
      <c r="G208" s="260">
        <v>4</v>
      </c>
      <c r="H208" s="260" t="s">
        <v>804</v>
      </c>
      <c r="I208" s="260">
        <v>35</v>
      </c>
      <c r="J208" s="260">
        <v>0.14164500000000002</v>
      </c>
      <c r="K208" s="260">
        <v>14.1645</v>
      </c>
      <c r="L208" s="1">
        <v>4.666666666666667</v>
      </c>
      <c r="M208" s="1">
        <v>4.666666666666667</v>
      </c>
      <c r="N208" s="260">
        <v>14.9</v>
      </c>
      <c r="O208" s="260">
        <v>6.0300300000000008E-2</v>
      </c>
      <c r="P208" s="260">
        <v>6.03003</v>
      </c>
      <c r="Q208" s="1">
        <v>1.9866666666666668</v>
      </c>
      <c r="R208" s="1">
        <v>1.9866666666666668</v>
      </c>
      <c r="S208" s="260">
        <v>35.568024000000001</v>
      </c>
      <c r="T208" s="260" t="s">
        <v>357</v>
      </c>
      <c r="U208" s="159" t="s">
        <v>355</v>
      </c>
      <c r="V208" s="260" t="s">
        <v>809</v>
      </c>
      <c r="W208" s="260" t="s">
        <v>801</v>
      </c>
      <c r="X208" s="260" t="s">
        <v>94</v>
      </c>
      <c r="Z208" s="260">
        <v>0</v>
      </c>
      <c r="AA208" s="260">
        <v>1.25</v>
      </c>
      <c r="AB208" s="260" t="s">
        <v>29</v>
      </c>
      <c r="AC208" s="260" t="s">
        <v>358</v>
      </c>
      <c r="AF208" s="260">
        <v>1</v>
      </c>
      <c r="AI208" s="271">
        <v>8718484</v>
      </c>
      <c r="AJ208" s="260">
        <v>8.7184840000000001</v>
      </c>
      <c r="AM208" s="100">
        <v>4.0144593945461162</v>
      </c>
      <c r="AN208" s="159">
        <v>1.7090127136782036</v>
      </c>
      <c r="AS208" s="155"/>
    </row>
    <row r="209" spans="1:45" s="260" customFormat="1" x14ac:dyDescent="0.3">
      <c r="A209" s="260" t="s">
        <v>35</v>
      </c>
      <c r="B209" s="260" t="s">
        <v>258</v>
      </c>
      <c r="C209" s="260">
        <v>2010</v>
      </c>
      <c r="D209" s="260">
        <v>1500</v>
      </c>
      <c r="G209" s="260">
        <v>60</v>
      </c>
      <c r="I209" s="260">
        <v>15</v>
      </c>
      <c r="J209" s="260">
        <v>6.0705000000000002E-2</v>
      </c>
      <c r="K209" s="260">
        <v>6.0705</v>
      </c>
      <c r="L209" s="1">
        <v>10</v>
      </c>
      <c r="M209" s="1">
        <v>10</v>
      </c>
      <c r="N209" s="260">
        <v>4.2300000000000004</v>
      </c>
      <c r="O209" s="260">
        <v>1.7118810000000002E-2</v>
      </c>
      <c r="P209" s="260">
        <v>1.7118810000000002</v>
      </c>
      <c r="Q209" s="1">
        <v>2.8200000000000003</v>
      </c>
      <c r="R209" s="1">
        <v>2.8200000000000003</v>
      </c>
      <c r="S209" s="260">
        <v>33.558669999999999</v>
      </c>
      <c r="T209" s="260">
        <v>-112.21833100000001</v>
      </c>
      <c r="U209" s="100" t="s">
        <v>114</v>
      </c>
      <c r="W209" s="260" t="s">
        <v>810</v>
      </c>
      <c r="X209" s="260" t="s">
        <v>94</v>
      </c>
      <c r="Z209" s="260">
        <v>0</v>
      </c>
      <c r="AB209" s="260" t="s">
        <v>29</v>
      </c>
      <c r="AC209" s="260" t="s">
        <v>260</v>
      </c>
      <c r="AF209" s="260">
        <v>1</v>
      </c>
      <c r="AI209" s="271">
        <v>2807420</v>
      </c>
      <c r="AJ209" s="260">
        <v>2.80742</v>
      </c>
      <c r="AM209" s="100">
        <v>5.3429839496762153</v>
      </c>
      <c r="AN209" s="159">
        <v>1.5067214738086929</v>
      </c>
      <c r="AS209" s="155"/>
    </row>
    <row r="210" spans="1:45" s="260" customFormat="1" x14ac:dyDescent="0.3">
      <c r="A210" s="260" t="s">
        <v>26</v>
      </c>
      <c r="B210" s="260" t="s">
        <v>98</v>
      </c>
      <c r="C210" s="260">
        <v>1995</v>
      </c>
      <c r="D210" s="260">
        <v>10000</v>
      </c>
      <c r="I210" s="260">
        <v>132</v>
      </c>
      <c r="J210" s="260">
        <v>0.53420400000000001</v>
      </c>
      <c r="K210" s="260">
        <v>53.420400000000001</v>
      </c>
      <c r="L210" s="1">
        <v>13.2</v>
      </c>
      <c r="M210" s="1">
        <v>13.2</v>
      </c>
      <c r="N210" s="260">
        <v>110</v>
      </c>
      <c r="O210" s="260">
        <v>0.44517000000000001</v>
      </c>
      <c r="P210" s="260">
        <v>44.517000000000003</v>
      </c>
      <c r="Q210" s="1">
        <v>11</v>
      </c>
      <c r="R210" s="1">
        <v>11</v>
      </c>
      <c r="S210" s="260">
        <v>34.871813000000003</v>
      </c>
      <c r="T210" s="260">
        <v>-116.83414999999999</v>
      </c>
      <c r="U210" s="98" t="s">
        <v>99</v>
      </c>
      <c r="W210" s="260" t="s">
        <v>837</v>
      </c>
      <c r="X210" s="260" t="s">
        <v>95</v>
      </c>
      <c r="Y210" s="260">
        <v>63</v>
      </c>
      <c r="Z210" s="100">
        <v>3</v>
      </c>
      <c r="AA210" s="260">
        <v>1.75</v>
      </c>
      <c r="AB210" s="260" t="s">
        <v>100</v>
      </c>
      <c r="AC210" s="260" t="s">
        <v>30</v>
      </c>
      <c r="AF210" s="260">
        <v>1</v>
      </c>
      <c r="AI210" s="272">
        <v>32870503</v>
      </c>
      <c r="AJ210" s="260">
        <v>32.870502999999999</v>
      </c>
      <c r="AM210" s="100">
        <v>4.0157584445848</v>
      </c>
      <c r="AN210" s="159">
        <v>3.3464653704873335</v>
      </c>
      <c r="AS210" s="155"/>
    </row>
    <row r="211" spans="1:45" s="260" customFormat="1" x14ac:dyDescent="0.3">
      <c r="A211" s="260" t="s">
        <v>26</v>
      </c>
      <c r="B211" s="260" t="s">
        <v>280</v>
      </c>
      <c r="C211" s="260">
        <v>2013</v>
      </c>
      <c r="D211" s="260">
        <v>150000</v>
      </c>
      <c r="G211" s="260">
        <v>17170</v>
      </c>
      <c r="H211" s="260" t="s">
        <v>281</v>
      </c>
      <c r="I211" s="260">
        <v>2560</v>
      </c>
      <c r="J211" s="260">
        <v>10.360320000000002</v>
      </c>
      <c r="K211" s="260">
        <v>1036.0319999999999</v>
      </c>
      <c r="L211" s="1">
        <v>17.066666666666666</v>
      </c>
      <c r="M211" s="1">
        <v>17.066666666666666</v>
      </c>
      <c r="N211" s="260">
        <v>1410</v>
      </c>
      <c r="O211" s="260">
        <v>5.70627</v>
      </c>
      <c r="P211" s="260">
        <v>570.62699999999995</v>
      </c>
      <c r="Q211" s="1">
        <v>9.4</v>
      </c>
      <c r="R211" s="1">
        <v>9.4</v>
      </c>
      <c r="S211" s="260">
        <v>34.066490000000002</v>
      </c>
      <c r="T211" s="260">
        <v>-114.81309</v>
      </c>
      <c r="U211" s="98" t="s">
        <v>99</v>
      </c>
      <c r="W211" s="260" t="s">
        <v>837</v>
      </c>
      <c r="X211" s="260" t="s">
        <v>95</v>
      </c>
      <c r="Y211" s="260">
        <v>200</v>
      </c>
      <c r="Z211" s="260">
        <v>7</v>
      </c>
      <c r="AA211" s="260">
        <v>2.125</v>
      </c>
      <c r="AB211" s="260" t="s">
        <v>342</v>
      </c>
      <c r="AC211" s="260" t="s">
        <v>297</v>
      </c>
      <c r="AF211" s="260">
        <v>1</v>
      </c>
      <c r="AI211" s="273">
        <v>669229627</v>
      </c>
      <c r="AJ211" s="260">
        <v>669.22962700000005</v>
      </c>
      <c r="AM211" s="100">
        <v>3.825293885263092</v>
      </c>
      <c r="AN211" s="159">
        <v>2.1069001477425622</v>
      </c>
      <c r="AS211" s="155"/>
    </row>
    <row r="212" spans="1:45" s="260" customFormat="1" x14ac:dyDescent="0.3">
      <c r="A212" s="260" t="s">
        <v>35</v>
      </c>
      <c r="B212" s="260" t="s">
        <v>838</v>
      </c>
      <c r="C212" s="260">
        <v>2014</v>
      </c>
      <c r="D212" s="260">
        <v>100000</v>
      </c>
      <c r="H212" s="260" t="s">
        <v>839</v>
      </c>
      <c r="I212" s="260">
        <v>1675</v>
      </c>
      <c r="J212" s="260">
        <v>6.7787250000000006</v>
      </c>
      <c r="K212" s="260">
        <v>677.87250000000006</v>
      </c>
      <c r="L212" s="1">
        <v>16.75</v>
      </c>
      <c r="M212" s="1">
        <v>16.75</v>
      </c>
      <c r="S212" s="260">
        <v>33.848199999999999</v>
      </c>
      <c r="T212" s="260">
        <v>-114.1994</v>
      </c>
      <c r="U212" s="98" t="s">
        <v>99</v>
      </c>
      <c r="V212" s="260">
        <v>1000</v>
      </c>
      <c r="W212" s="260" t="s">
        <v>837</v>
      </c>
      <c r="X212" s="260" t="s">
        <v>840</v>
      </c>
      <c r="Y212" s="260">
        <v>200</v>
      </c>
      <c r="Z212" s="260">
        <v>10</v>
      </c>
      <c r="AA212" s="260">
        <v>2.5</v>
      </c>
      <c r="AB212" s="260" t="s">
        <v>24</v>
      </c>
      <c r="AF212" s="260">
        <v>1</v>
      </c>
      <c r="AI212" s="273">
        <v>547346817</v>
      </c>
      <c r="AJ212" s="260">
        <v>547.34681699999999</v>
      </c>
      <c r="AM212" s="100">
        <v>3.0602169373719041</v>
      </c>
      <c r="AN212" s="159"/>
    </row>
    <row r="213" spans="1:45" s="260" customFormat="1" x14ac:dyDescent="0.3">
      <c r="A213" s="260" t="s">
        <v>35</v>
      </c>
      <c r="B213" s="260" t="s">
        <v>836</v>
      </c>
      <c r="C213" s="260">
        <v>2014</v>
      </c>
      <c r="D213" s="260">
        <v>150000</v>
      </c>
      <c r="H213" s="260" t="s">
        <v>839</v>
      </c>
      <c r="I213" s="260">
        <v>2560</v>
      </c>
      <c r="J213" s="260">
        <v>10.360320000000002</v>
      </c>
      <c r="K213" s="260">
        <v>1036.0319999999999</v>
      </c>
      <c r="L213" s="1">
        <v>17.066666666666666</v>
      </c>
      <c r="M213" s="1">
        <v>17.066666666666666</v>
      </c>
      <c r="S213" s="260">
        <v>32.946199999999997</v>
      </c>
      <c r="T213" s="260">
        <v>-112.89190000000001</v>
      </c>
      <c r="U213" s="98" t="s">
        <v>99</v>
      </c>
      <c r="V213" s="260">
        <v>1000</v>
      </c>
      <c r="W213" s="260" t="s">
        <v>837</v>
      </c>
      <c r="X213" s="260" t="s">
        <v>840</v>
      </c>
      <c r="Y213" s="260">
        <v>200</v>
      </c>
      <c r="Z213" s="260">
        <v>10</v>
      </c>
      <c r="AA213" s="260">
        <v>2.5</v>
      </c>
      <c r="AB213" s="260" t="s">
        <v>24</v>
      </c>
      <c r="AF213" s="260">
        <v>1</v>
      </c>
      <c r="AH213" s="155"/>
      <c r="AI213" s="273">
        <v>774720936</v>
      </c>
      <c r="AJ213" s="260">
        <v>774.72093600000005</v>
      </c>
      <c r="AM213" s="100">
        <v>3.3044156689732209</v>
      </c>
      <c r="AN213" s="159"/>
      <c r="AS213" s="155"/>
    </row>
    <row r="214" spans="1:45" s="260" customFormat="1" x14ac:dyDescent="0.3">
      <c r="A214" s="260" t="s">
        <v>107</v>
      </c>
      <c r="B214" s="260" t="s">
        <v>275</v>
      </c>
      <c r="C214" s="260">
        <v>2013</v>
      </c>
      <c r="D214" s="260">
        <v>110000</v>
      </c>
      <c r="G214" s="260">
        <v>17170</v>
      </c>
      <c r="H214" s="260" t="s">
        <v>281</v>
      </c>
      <c r="I214" s="260">
        <v>1600</v>
      </c>
      <c r="J214" s="260">
        <v>6.4752000000000001</v>
      </c>
      <c r="K214" s="260">
        <v>647.52</v>
      </c>
      <c r="L214" s="1">
        <v>14.545454545454545</v>
      </c>
      <c r="M214" s="1">
        <v>14.545454545454545</v>
      </c>
      <c r="N214" s="260">
        <v>1527</v>
      </c>
      <c r="O214" s="260">
        <v>6.1797690000000003</v>
      </c>
      <c r="P214" s="260">
        <v>617.9769</v>
      </c>
      <c r="Q214" s="1">
        <v>13.881818181818181</v>
      </c>
      <c r="R214" s="1">
        <v>13.881818181818181</v>
      </c>
      <c r="S214" s="260">
        <v>38.210940000000001</v>
      </c>
      <c r="T214" s="260">
        <v>-117.33725</v>
      </c>
      <c r="U214" s="98" t="s">
        <v>99</v>
      </c>
      <c r="V214" s="260" t="s">
        <v>814</v>
      </c>
      <c r="W214" s="260" t="s">
        <v>837</v>
      </c>
      <c r="X214" s="260" t="s">
        <v>840</v>
      </c>
      <c r="Z214" s="260">
        <v>10</v>
      </c>
      <c r="AA214" s="260">
        <v>2.5</v>
      </c>
      <c r="AB214" s="260" t="s">
        <v>342</v>
      </c>
      <c r="AC214" s="260" t="s">
        <v>269</v>
      </c>
      <c r="AF214" s="260">
        <v>1</v>
      </c>
      <c r="AI214" s="273">
        <v>564002105</v>
      </c>
      <c r="AJ214" s="260">
        <v>564.00210500000003</v>
      </c>
      <c r="AM214" s="100">
        <v>2.8368688446650387</v>
      </c>
      <c r="AN214" s="159">
        <v>2.7074367036271965</v>
      </c>
      <c r="AS214" s="155"/>
    </row>
    <row r="215" spans="1:45" s="260" customFormat="1" x14ac:dyDescent="0.3">
      <c r="A215" s="260" t="s">
        <v>3</v>
      </c>
      <c r="B215" s="260" t="s">
        <v>811</v>
      </c>
      <c r="D215" s="260">
        <v>200000</v>
      </c>
      <c r="G215" s="260">
        <v>35000</v>
      </c>
      <c r="H215" s="260" t="s">
        <v>281</v>
      </c>
      <c r="I215" s="260">
        <v>3000</v>
      </c>
      <c r="J215" s="260">
        <v>12.141</v>
      </c>
      <c r="K215" s="260">
        <v>1214.0999999999999</v>
      </c>
      <c r="L215" s="1">
        <v>15</v>
      </c>
      <c r="M215" s="1">
        <v>15</v>
      </c>
      <c r="N215" s="260">
        <v>2669</v>
      </c>
      <c r="O215" s="260">
        <v>10.801443000000001</v>
      </c>
      <c r="P215" s="260">
        <v>1080.1442999999999</v>
      </c>
      <c r="Q215" s="1">
        <v>13.345000000000001</v>
      </c>
      <c r="R215" s="1">
        <v>13.345000000000001</v>
      </c>
      <c r="S215" s="260">
        <v>37.79607</v>
      </c>
      <c r="T215" s="260">
        <v>-106.03045</v>
      </c>
      <c r="U215" s="98" t="s">
        <v>99</v>
      </c>
      <c r="W215" s="260" t="s">
        <v>837</v>
      </c>
      <c r="X215" s="260" t="s">
        <v>94</v>
      </c>
      <c r="Z215" s="260">
        <v>15</v>
      </c>
      <c r="AA215" s="260">
        <v>3.125</v>
      </c>
      <c r="AB215" s="260" t="s">
        <v>342</v>
      </c>
      <c r="AC215" s="260" t="s">
        <v>147</v>
      </c>
      <c r="AF215" s="260">
        <v>1</v>
      </c>
      <c r="AH215" s="155"/>
      <c r="AI215" s="273">
        <v>1180428401</v>
      </c>
      <c r="AJ215" s="260">
        <v>1180.4284009999999</v>
      </c>
      <c r="AM215" s="100">
        <v>2.5414502035519901</v>
      </c>
      <c r="AN215" s="159">
        <v>2.2610435310934207</v>
      </c>
    </row>
    <row r="216" spans="1:45" s="260" customFormat="1" x14ac:dyDescent="0.3">
      <c r="A216" s="260" t="s">
        <v>26</v>
      </c>
      <c r="B216" s="260" t="s">
        <v>266</v>
      </c>
      <c r="C216" s="260">
        <v>2009</v>
      </c>
      <c r="D216" s="260">
        <v>5000</v>
      </c>
      <c r="G216" s="260">
        <v>24360</v>
      </c>
      <c r="H216" s="260" t="s">
        <v>265</v>
      </c>
      <c r="I216" s="260">
        <v>50</v>
      </c>
      <c r="J216" s="260">
        <v>0.20235</v>
      </c>
      <c r="K216" s="260">
        <v>20.234999999999999</v>
      </c>
      <c r="L216" s="1">
        <v>10</v>
      </c>
      <c r="M216" s="1">
        <v>10</v>
      </c>
      <c r="N216" s="260">
        <v>21.76</v>
      </c>
      <c r="O216" s="260">
        <v>8.8062720000000011E-2</v>
      </c>
      <c r="P216" s="260">
        <v>8.8062719999999999</v>
      </c>
      <c r="Q216" s="1">
        <v>4.3520000000000003</v>
      </c>
      <c r="R216" s="1">
        <v>4.3520000000000003</v>
      </c>
      <c r="S216" s="260">
        <v>34.731693999999997</v>
      </c>
      <c r="T216" s="260" t="s">
        <v>267</v>
      </c>
      <c r="U216" s="98" t="s">
        <v>99</v>
      </c>
      <c r="W216" s="260" t="s">
        <v>801</v>
      </c>
      <c r="X216" s="260" t="s">
        <v>94</v>
      </c>
      <c r="Y216" s="260">
        <v>55</v>
      </c>
      <c r="Z216" s="260">
        <v>0</v>
      </c>
      <c r="AA216" s="260">
        <v>1.25</v>
      </c>
      <c r="AB216" s="260" t="s">
        <v>29</v>
      </c>
      <c r="AC216" s="260" t="s">
        <v>110</v>
      </c>
      <c r="AF216" s="260">
        <v>1</v>
      </c>
      <c r="AI216" s="270">
        <v>4938365</v>
      </c>
      <c r="AJ216" s="260">
        <v>4.9383650000000001</v>
      </c>
      <c r="AM216" s="100">
        <v>10.124808514558968</v>
      </c>
      <c r="AN216" s="159">
        <v>4.406316665536063</v>
      </c>
      <c r="AS216" s="155"/>
    </row>
    <row r="217" spans="1:45" s="260" customFormat="1" x14ac:dyDescent="0.3">
      <c r="A217" s="260" t="s">
        <v>26</v>
      </c>
      <c r="B217" s="260" t="s">
        <v>823</v>
      </c>
      <c r="C217" s="260">
        <v>2015</v>
      </c>
      <c r="D217" s="260">
        <v>250000</v>
      </c>
      <c r="H217" s="260" t="s">
        <v>818</v>
      </c>
      <c r="I217" s="260">
        <v>1640</v>
      </c>
      <c r="J217" s="260">
        <v>6.6370800000000001</v>
      </c>
      <c r="K217" s="260">
        <v>663.70799999999997</v>
      </c>
      <c r="L217" s="1">
        <v>6.56</v>
      </c>
      <c r="M217" s="1">
        <v>6.56</v>
      </c>
      <c r="N217" s="260">
        <v>1559.5</v>
      </c>
      <c r="O217" s="260">
        <v>6.3112965000000001</v>
      </c>
      <c r="P217" s="260">
        <v>631.12964999999997</v>
      </c>
      <c r="Q217" s="1">
        <v>6.2380000000000004</v>
      </c>
      <c r="R217" s="1">
        <v>6.2380000000000004</v>
      </c>
      <c r="S217" s="260">
        <v>35.976999999999997</v>
      </c>
      <c r="T217" s="260">
        <v>-115.8742</v>
      </c>
      <c r="U217" s="98" t="s">
        <v>99</v>
      </c>
      <c r="V217" s="260">
        <v>1000</v>
      </c>
      <c r="W217" s="260" t="s">
        <v>801</v>
      </c>
      <c r="X217" s="260" t="s">
        <v>96</v>
      </c>
      <c r="Y217" s="260">
        <v>227</v>
      </c>
      <c r="Z217" s="260">
        <v>0</v>
      </c>
      <c r="AA217" s="260">
        <v>1.25</v>
      </c>
      <c r="AB217" s="260" t="s">
        <v>24</v>
      </c>
      <c r="AF217" s="260">
        <v>1</v>
      </c>
      <c r="AI217" s="272">
        <v>610566907</v>
      </c>
      <c r="AJ217" s="260">
        <v>610.56690700000001</v>
      </c>
      <c r="AM217" s="100">
        <v>2.6860283143383663</v>
      </c>
      <c r="AN217" s="159">
        <v>2.5541836318357816</v>
      </c>
    </row>
    <row r="218" spans="1:45" s="260" customFormat="1" x14ac:dyDescent="0.3">
      <c r="A218" s="260" t="s">
        <v>26</v>
      </c>
      <c r="B218" s="260" t="s">
        <v>824</v>
      </c>
      <c r="C218" s="260">
        <v>2015</v>
      </c>
      <c r="D218" s="260">
        <v>250000</v>
      </c>
      <c r="H218" s="260" t="s">
        <v>818</v>
      </c>
      <c r="I218" s="260">
        <v>1640</v>
      </c>
      <c r="J218" s="260">
        <v>6.6370800000000001</v>
      </c>
      <c r="K218" s="260">
        <v>663.70799999999997</v>
      </c>
      <c r="L218" s="1">
        <v>6.56</v>
      </c>
      <c r="M218" s="1">
        <v>6.56</v>
      </c>
      <c r="N218" s="260">
        <v>1559.5</v>
      </c>
      <c r="O218" s="260">
        <v>6.3112965000000001</v>
      </c>
      <c r="P218" s="260">
        <v>631.12964999999997</v>
      </c>
      <c r="Q218" s="1">
        <v>6.2380000000000004</v>
      </c>
      <c r="R218" s="1">
        <v>6.2380000000000004</v>
      </c>
      <c r="S218" s="260">
        <v>35.976999999999997</v>
      </c>
      <c r="T218" s="260">
        <v>-115.8742</v>
      </c>
      <c r="U218" s="98" t="s">
        <v>99</v>
      </c>
      <c r="V218" s="260">
        <v>1000</v>
      </c>
      <c r="W218" s="260" t="s">
        <v>801</v>
      </c>
      <c r="X218" s="260" t="s">
        <v>96</v>
      </c>
      <c r="Y218" s="260">
        <v>227</v>
      </c>
      <c r="Z218" s="260">
        <v>0</v>
      </c>
      <c r="AA218" s="260">
        <v>1.25</v>
      </c>
      <c r="AB218" s="260" t="s">
        <v>24</v>
      </c>
      <c r="AF218" s="260">
        <v>1</v>
      </c>
      <c r="AI218" s="272">
        <v>610566907</v>
      </c>
      <c r="AJ218" s="260">
        <v>610.56690700000001</v>
      </c>
      <c r="AM218" s="100">
        <v>2.6860283143383663</v>
      </c>
      <c r="AN218" s="159">
        <v>2.5541836318357816</v>
      </c>
    </row>
    <row r="219" spans="1:45" s="260" customFormat="1" x14ac:dyDescent="0.3">
      <c r="A219" s="260" t="s">
        <v>26</v>
      </c>
      <c r="B219" s="260" t="s">
        <v>820</v>
      </c>
      <c r="C219" s="260">
        <v>2016</v>
      </c>
      <c r="D219" s="260">
        <v>250000</v>
      </c>
      <c r="G219" s="260">
        <v>75000</v>
      </c>
      <c r="H219" s="260" t="s">
        <v>818</v>
      </c>
      <c r="I219" s="260">
        <v>1916.6666666666667</v>
      </c>
      <c r="J219" s="260">
        <v>7.7567500000000011</v>
      </c>
      <c r="K219" s="260">
        <v>775.67500000000007</v>
      </c>
      <c r="L219" s="1">
        <v>7.666666666666667</v>
      </c>
      <c r="M219" s="1">
        <v>7.666666666666667</v>
      </c>
      <c r="S219" s="260">
        <v>33.4833</v>
      </c>
      <c r="T219" s="260">
        <v>-114.762</v>
      </c>
      <c r="U219" s="98" t="s">
        <v>99</v>
      </c>
      <c r="V219" s="260">
        <v>1000</v>
      </c>
      <c r="W219" s="260" t="s">
        <v>801</v>
      </c>
      <c r="X219" s="260" t="s">
        <v>95</v>
      </c>
      <c r="Y219" s="260">
        <v>286</v>
      </c>
      <c r="Z219" s="260">
        <v>0</v>
      </c>
      <c r="AA219" s="260">
        <v>1.25</v>
      </c>
      <c r="AB219" s="260" t="s">
        <v>24</v>
      </c>
      <c r="AF219" s="260">
        <v>1</v>
      </c>
      <c r="AI219" s="271">
        <v>605454842</v>
      </c>
      <c r="AJ219" s="260">
        <v>605.45484199999999</v>
      </c>
      <c r="AM219" s="100">
        <v>3.1656641151557046</v>
      </c>
      <c r="AN219" s="159"/>
    </row>
    <row r="220" spans="1:45" s="260" customFormat="1" x14ac:dyDescent="0.3">
      <c r="A220" s="260" t="s">
        <v>26</v>
      </c>
      <c r="B220" s="260" t="s">
        <v>821</v>
      </c>
      <c r="C220" s="260">
        <v>2016</v>
      </c>
      <c r="D220" s="260">
        <v>250000</v>
      </c>
      <c r="G220" s="260">
        <v>75000</v>
      </c>
      <c r="H220" s="260" t="s">
        <v>818</v>
      </c>
      <c r="I220" s="260">
        <v>1916.6666666666667</v>
      </c>
      <c r="J220" s="260">
        <v>7.7567500000000011</v>
      </c>
      <c r="K220" s="260">
        <v>775.67500000000007</v>
      </c>
      <c r="L220" s="1">
        <v>7.666666666666667</v>
      </c>
      <c r="M220" s="1">
        <v>7.666666666666667</v>
      </c>
      <c r="S220" s="260">
        <v>33.4833</v>
      </c>
      <c r="T220" s="260">
        <v>-114.762</v>
      </c>
      <c r="U220" s="98" t="s">
        <v>99</v>
      </c>
      <c r="V220" s="260">
        <v>1000</v>
      </c>
      <c r="W220" s="260" t="s">
        <v>801</v>
      </c>
      <c r="X220" s="260" t="s">
        <v>95</v>
      </c>
      <c r="Z220" s="260">
        <v>0</v>
      </c>
      <c r="AA220" s="260">
        <v>1.25</v>
      </c>
      <c r="AB220" s="260" t="s">
        <v>24</v>
      </c>
      <c r="AF220" s="260">
        <v>1</v>
      </c>
      <c r="AH220" s="155"/>
      <c r="AI220" s="271">
        <v>605454842</v>
      </c>
      <c r="AJ220" s="260">
        <v>605.45484199999999</v>
      </c>
      <c r="AM220" s="100">
        <v>3.1656641151557046</v>
      </c>
      <c r="AN220" s="159"/>
    </row>
    <row r="221" spans="1:45" s="260" customFormat="1" x14ac:dyDescent="0.3">
      <c r="A221" s="260" t="s">
        <v>26</v>
      </c>
      <c r="B221" s="260" t="s">
        <v>822</v>
      </c>
      <c r="C221" s="260">
        <v>2016</v>
      </c>
      <c r="D221" s="260">
        <v>250000</v>
      </c>
      <c r="G221" s="260">
        <v>75000</v>
      </c>
      <c r="H221" s="260" t="s">
        <v>818</v>
      </c>
      <c r="I221" s="260">
        <v>1916.6666666666667</v>
      </c>
      <c r="J221" s="260">
        <v>7.7567500000000011</v>
      </c>
      <c r="K221" s="260">
        <v>775.67500000000007</v>
      </c>
      <c r="L221" s="1">
        <v>7.666666666666667</v>
      </c>
      <c r="M221" s="1">
        <v>7.666666666666667</v>
      </c>
      <c r="S221" s="260">
        <v>33.4833</v>
      </c>
      <c r="T221" s="260">
        <v>-114.762</v>
      </c>
      <c r="U221" s="98" t="s">
        <v>99</v>
      </c>
      <c r="V221" s="260">
        <v>1000</v>
      </c>
      <c r="W221" s="260" t="s">
        <v>801</v>
      </c>
      <c r="X221" s="260" t="s">
        <v>95</v>
      </c>
      <c r="Z221" s="260">
        <v>0</v>
      </c>
      <c r="AA221" s="260">
        <v>1.25</v>
      </c>
      <c r="AB221" s="260" t="s">
        <v>24</v>
      </c>
      <c r="AF221" s="260">
        <v>1</v>
      </c>
      <c r="AI221" s="271">
        <v>605454842</v>
      </c>
      <c r="AJ221" s="260">
        <v>605.45484199999999</v>
      </c>
      <c r="AM221" s="100">
        <v>3.1656641151557046</v>
      </c>
      <c r="AN221" s="159"/>
    </row>
    <row r="222" spans="1:45" s="260" customFormat="1" x14ac:dyDescent="0.3">
      <c r="A222" s="260" t="s">
        <v>26</v>
      </c>
      <c r="B222" s="260" t="s">
        <v>819</v>
      </c>
      <c r="C222" s="260">
        <v>2011</v>
      </c>
      <c r="D222" s="260">
        <v>13000</v>
      </c>
      <c r="G222" s="260">
        <v>7644</v>
      </c>
      <c r="H222" s="260" t="s">
        <v>818</v>
      </c>
      <c r="I222" s="260">
        <v>86</v>
      </c>
      <c r="J222" s="260">
        <v>0.34804200000000002</v>
      </c>
      <c r="K222" s="260">
        <v>34.804200000000002</v>
      </c>
      <c r="L222" s="1">
        <v>6.615384615384615</v>
      </c>
      <c r="M222" s="1">
        <v>6.615384615384615</v>
      </c>
      <c r="N222" s="260">
        <v>57</v>
      </c>
      <c r="O222" s="260">
        <v>0.23067900000000002</v>
      </c>
      <c r="P222" s="260">
        <v>23.067900000000002</v>
      </c>
      <c r="Q222" s="1">
        <v>4.384615384615385</v>
      </c>
      <c r="R222" s="1">
        <v>4.384615384615385</v>
      </c>
      <c r="S222" s="260">
        <v>36.174239999999998</v>
      </c>
      <c r="T222" s="260">
        <v>-120.38603999999999</v>
      </c>
      <c r="U222" s="98" t="s">
        <v>99</v>
      </c>
      <c r="V222" s="260">
        <v>1000</v>
      </c>
      <c r="W222" s="260" t="s">
        <v>801</v>
      </c>
      <c r="X222" s="260" t="s">
        <v>96</v>
      </c>
      <c r="Z222" s="260">
        <v>0</v>
      </c>
      <c r="AA222" s="260">
        <v>1.25</v>
      </c>
      <c r="AB222" s="260" t="s">
        <v>24</v>
      </c>
      <c r="AF222" s="260">
        <v>1</v>
      </c>
      <c r="AI222" s="273">
        <v>10783204</v>
      </c>
      <c r="AJ222" s="260">
        <v>10.783204</v>
      </c>
      <c r="AM222" s="100">
        <v>7.975366134221332</v>
      </c>
      <c r="AN222" s="159">
        <v>5.2859984843094878</v>
      </c>
      <c r="AS222" s="155"/>
    </row>
    <row r="223" spans="1:45" s="260" customFormat="1" x14ac:dyDescent="0.3">
      <c r="A223" s="260" t="s">
        <v>26</v>
      </c>
      <c r="B223" s="260" t="s">
        <v>825</v>
      </c>
      <c r="C223" s="260">
        <v>2013</v>
      </c>
      <c r="D223" s="260">
        <v>377000</v>
      </c>
      <c r="F223" s="260">
        <v>2200</v>
      </c>
      <c r="G223" s="260">
        <v>214000</v>
      </c>
      <c r="H223" s="260" t="s">
        <v>818</v>
      </c>
      <c r="I223" s="260">
        <v>3582</v>
      </c>
      <c r="J223" s="260">
        <v>14.496354</v>
      </c>
      <c r="K223" s="260">
        <v>1449.6354000000001</v>
      </c>
      <c r="L223" s="1">
        <v>9.5013262599469499</v>
      </c>
      <c r="M223" s="1">
        <v>9.5013262599469499</v>
      </c>
      <c r="N223" s="260">
        <v>3297</v>
      </c>
      <c r="O223" s="260">
        <v>13.342959</v>
      </c>
      <c r="P223" s="260">
        <v>1334.2959000000001</v>
      </c>
      <c r="Q223" s="1">
        <v>8.7453580901856771</v>
      </c>
      <c r="R223" s="1">
        <v>8.7453580901856771</v>
      </c>
      <c r="S223" s="260">
        <v>35.560899999999997</v>
      </c>
      <c r="T223" s="260">
        <v>-115.4764</v>
      </c>
      <c r="U223" s="98" t="s">
        <v>99</v>
      </c>
      <c r="V223" s="260">
        <v>1000</v>
      </c>
      <c r="W223" s="260" t="s">
        <v>801</v>
      </c>
      <c r="X223" s="260" t="s">
        <v>95</v>
      </c>
      <c r="Z223" s="260">
        <v>0</v>
      </c>
      <c r="AA223" s="260">
        <v>1.25</v>
      </c>
      <c r="AB223" s="260" t="s">
        <v>342</v>
      </c>
      <c r="AC223" s="260" t="s">
        <v>147</v>
      </c>
      <c r="AF223" s="260">
        <v>1</v>
      </c>
      <c r="AI223" s="273">
        <v>888108984</v>
      </c>
      <c r="AJ223" s="260">
        <v>888.10898399999996</v>
      </c>
      <c r="AM223" s="100">
        <v>4.0332887793419729</v>
      </c>
      <c r="AN223" s="159">
        <v>3.7123822181715482</v>
      </c>
    </row>
    <row r="224" spans="1:45" s="260" customFormat="1" x14ac:dyDescent="0.3">
      <c r="AM224" s="98"/>
      <c r="AN224" s="100"/>
    </row>
    <row r="233" spans="1:19" x14ac:dyDescent="0.3">
      <c r="A233" t="s">
        <v>1108</v>
      </c>
      <c r="M233" t="s">
        <v>1175</v>
      </c>
      <c r="N233" t="s">
        <v>1176</v>
      </c>
      <c r="O233">
        <f>COUNT(AM3:AM223)</f>
        <v>167</v>
      </c>
      <c r="Q233" s="260" t="s">
        <v>1179</v>
      </c>
      <c r="R233" s="260" t="s">
        <v>1176</v>
      </c>
      <c r="S233" s="260">
        <f>COUNTIF(M3:M223,"&gt;0.1")</f>
        <v>215</v>
      </c>
    </row>
    <row r="234" spans="1:19" x14ac:dyDescent="0.3">
      <c r="A234">
        <v>2</v>
      </c>
      <c r="Q234" s="260"/>
      <c r="R234" s="260"/>
      <c r="S234" s="260"/>
    </row>
    <row r="235" spans="1:19" x14ac:dyDescent="0.3">
      <c r="A235">
        <v>3</v>
      </c>
      <c r="M235" t="s">
        <v>1175</v>
      </c>
      <c r="N235" s="426" t="s">
        <v>1174</v>
      </c>
      <c r="O235">
        <f>COUNTIFS(AM3:AM223,"&gt;=3",AM3:AM223,"&lt;4")</f>
        <v>66</v>
      </c>
      <c r="Q235" s="260" t="s">
        <v>1179</v>
      </c>
      <c r="R235" s="426" t="s">
        <v>1181</v>
      </c>
      <c r="S235" s="260">
        <f>COUNTIFS(M3:M223,"&gt;=8",M3:M223,"&lt;10")</f>
        <v>48</v>
      </c>
    </row>
    <row r="236" spans="1:19" x14ac:dyDescent="0.3">
      <c r="A236">
        <v>4</v>
      </c>
      <c r="O236" s="23">
        <f>O235/O233</f>
        <v>0.39520958083832336</v>
      </c>
      <c r="Q236" s="260"/>
      <c r="R236" s="260"/>
      <c r="S236" s="23">
        <f>S235/S233</f>
        <v>0.22325581395348837</v>
      </c>
    </row>
    <row r="237" spans="1:19" x14ac:dyDescent="0.3">
      <c r="A237">
        <v>5</v>
      </c>
      <c r="Q237" s="260"/>
      <c r="R237" s="260"/>
      <c r="S237" s="260"/>
    </row>
    <row r="238" spans="1:19" x14ac:dyDescent="0.3">
      <c r="A238" s="260">
        <v>6</v>
      </c>
      <c r="M238" t="s">
        <v>1177</v>
      </c>
      <c r="N238" t="s">
        <v>1176</v>
      </c>
      <c r="O238" s="260">
        <f>COUNT(AN3:AN223)</f>
        <v>123</v>
      </c>
      <c r="Q238" s="260" t="s">
        <v>1180</v>
      </c>
      <c r="R238" s="260" t="s">
        <v>1176</v>
      </c>
      <c r="S238" s="260">
        <f>COUNT(R3:R223)</f>
        <v>128</v>
      </c>
    </row>
    <row r="239" spans="1:19" x14ac:dyDescent="0.3">
      <c r="A239" s="260">
        <v>7</v>
      </c>
      <c r="Q239" s="260"/>
      <c r="R239" s="260"/>
      <c r="S239" s="260"/>
    </row>
    <row r="240" spans="1:19" x14ac:dyDescent="0.3">
      <c r="A240" s="260">
        <v>8</v>
      </c>
      <c r="M240" t="s">
        <v>1177</v>
      </c>
      <c r="N240" t="s">
        <v>1178</v>
      </c>
      <c r="O240" s="260">
        <f>COUNTIFS(AN3:AN223,"&gt;=2.5",AN3:AN223,"&lt;3.5")</f>
        <v>60</v>
      </c>
      <c r="Q240" s="260" t="s">
        <v>1180</v>
      </c>
      <c r="R240" s="260" t="s">
        <v>1178</v>
      </c>
      <c r="S240" s="260">
        <f>COUNTIFS(AR3:AR223,"&gt;=6",AR3:AR223,"&lt;8")</f>
        <v>51</v>
      </c>
    </row>
    <row r="241" spans="1:19" x14ac:dyDescent="0.3">
      <c r="A241" s="260">
        <v>9</v>
      </c>
      <c r="O241" s="23">
        <f>O240/O238</f>
        <v>0.48780487804878048</v>
      </c>
      <c r="S241" s="23">
        <f>S240/S238</f>
        <v>0.3984375</v>
      </c>
    </row>
    <row r="242" spans="1:19" x14ac:dyDescent="0.3">
      <c r="A242" s="260">
        <v>10</v>
      </c>
    </row>
    <row r="243" spans="1:19" x14ac:dyDescent="0.3">
      <c r="A243" s="260">
        <v>11</v>
      </c>
    </row>
    <row r="244" spans="1:19" x14ac:dyDescent="0.3">
      <c r="A244" s="260">
        <v>12</v>
      </c>
    </row>
    <row r="245" spans="1:19" x14ac:dyDescent="0.3">
      <c r="A245" s="260"/>
    </row>
    <row r="246" spans="1:19" x14ac:dyDescent="0.3">
      <c r="A246" s="260"/>
    </row>
    <row r="248" spans="1:19" ht="15" thickBot="1" x14ac:dyDescent="0.35">
      <c r="A248" t="s">
        <v>242</v>
      </c>
    </row>
    <row r="249" spans="1:19" x14ac:dyDescent="0.3">
      <c r="A249" s="324" t="s">
        <v>1105</v>
      </c>
      <c r="B249" s="324" t="s">
        <v>1107</v>
      </c>
    </row>
    <row r="250" spans="1:19" x14ac:dyDescent="0.3">
      <c r="A250" s="321" t="s">
        <v>1109</v>
      </c>
      <c r="B250" s="322">
        <v>0</v>
      </c>
    </row>
    <row r="251" spans="1:19" x14ac:dyDescent="0.3">
      <c r="A251" s="321">
        <v>5</v>
      </c>
      <c r="B251" s="322">
        <v>1</v>
      </c>
    </row>
    <row r="252" spans="1:19" x14ac:dyDescent="0.3">
      <c r="A252" s="321">
        <v>6</v>
      </c>
      <c r="B252" s="322">
        <v>6</v>
      </c>
    </row>
    <row r="253" spans="1:19" x14ac:dyDescent="0.3">
      <c r="A253" s="321">
        <v>7</v>
      </c>
      <c r="B253" s="322">
        <v>4</v>
      </c>
    </row>
    <row r="254" spans="1:19" x14ac:dyDescent="0.3">
      <c r="A254" s="321">
        <v>8</v>
      </c>
      <c r="B254" s="322">
        <v>17</v>
      </c>
    </row>
    <row r="255" spans="1:19" x14ac:dyDescent="0.3">
      <c r="A255" s="321">
        <v>9</v>
      </c>
      <c r="B255" s="322">
        <v>11</v>
      </c>
    </row>
    <row r="256" spans="1:19" x14ac:dyDescent="0.3">
      <c r="A256" s="321">
        <v>10</v>
      </c>
      <c r="B256" s="322">
        <v>11</v>
      </c>
    </row>
    <row r="257" spans="1:2" x14ac:dyDescent="0.3">
      <c r="A257" s="321">
        <v>11</v>
      </c>
      <c r="B257" s="322">
        <v>10</v>
      </c>
    </row>
    <row r="258" spans="1:2" x14ac:dyDescent="0.3">
      <c r="A258" s="321">
        <v>12</v>
      </c>
      <c r="B258" s="322">
        <v>5</v>
      </c>
    </row>
    <row r="259" spans="1:2" x14ac:dyDescent="0.3">
      <c r="A259" s="321">
        <v>13</v>
      </c>
      <c r="B259" s="322">
        <v>5</v>
      </c>
    </row>
    <row r="260" spans="1:2" x14ac:dyDescent="0.3">
      <c r="A260" s="321" t="s">
        <v>1110</v>
      </c>
      <c r="B260" s="322">
        <v>0</v>
      </c>
    </row>
    <row r="261" spans="1:2" ht="15" thickBot="1" x14ac:dyDescent="0.35">
      <c r="A261" s="323" t="s">
        <v>1111</v>
      </c>
      <c r="B261" s="323">
        <v>0</v>
      </c>
    </row>
    <row r="268" spans="1:2" ht="15" thickBot="1" x14ac:dyDescent="0.35">
      <c r="A268" t="s">
        <v>138</v>
      </c>
    </row>
    <row r="269" spans="1:2" x14ac:dyDescent="0.3">
      <c r="A269" s="324" t="s">
        <v>1105</v>
      </c>
      <c r="B269" s="324" t="s">
        <v>1107</v>
      </c>
    </row>
    <row r="270" spans="1:2" x14ac:dyDescent="0.3">
      <c r="A270" s="321" t="s">
        <v>1112</v>
      </c>
      <c r="B270" s="322">
        <v>0</v>
      </c>
    </row>
    <row r="271" spans="1:2" x14ac:dyDescent="0.3">
      <c r="A271" s="325" t="s">
        <v>1114</v>
      </c>
      <c r="B271" s="322">
        <v>1</v>
      </c>
    </row>
    <row r="272" spans="1:2" x14ac:dyDescent="0.3">
      <c r="A272" s="321">
        <v>4</v>
      </c>
      <c r="B272" s="322">
        <v>3</v>
      </c>
    </row>
    <row r="273" spans="1:2" x14ac:dyDescent="0.3">
      <c r="A273" s="321">
        <v>5</v>
      </c>
      <c r="B273" s="322">
        <v>8</v>
      </c>
    </row>
    <row r="274" spans="1:2" x14ac:dyDescent="0.3">
      <c r="A274" s="321">
        <v>6</v>
      </c>
      <c r="B274" s="322">
        <v>9</v>
      </c>
    </row>
    <row r="275" spans="1:2" x14ac:dyDescent="0.3">
      <c r="A275" s="321">
        <v>7</v>
      </c>
      <c r="B275" s="322">
        <v>10</v>
      </c>
    </row>
    <row r="276" spans="1:2" x14ac:dyDescent="0.3">
      <c r="A276" s="321">
        <v>8</v>
      </c>
      <c r="B276" s="322">
        <v>13</v>
      </c>
    </row>
    <row r="277" spans="1:2" x14ac:dyDescent="0.3">
      <c r="A277" s="321">
        <v>9</v>
      </c>
      <c r="B277" s="322">
        <v>8</v>
      </c>
    </row>
    <row r="278" spans="1:2" x14ac:dyDescent="0.3">
      <c r="A278" s="321">
        <v>10</v>
      </c>
      <c r="B278" s="322">
        <v>6</v>
      </c>
    </row>
    <row r="279" spans="1:2" x14ac:dyDescent="0.3">
      <c r="A279" s="321">
        <v>11</v>
      </c>
      <c r="B279" s="322">
        <v>3</v>
      </c>
    </row>
    <row r="280" spans="1:2" x14ac:dyDescent="0.3">
      <c r="A280" s="321">
        <v>12</v>
      </c>
      <c r="B280" s="322">
        <v>5</v>
      </c>
    </row>
    <row r="281" spans="1:2" x14ac:dyDescent="0.3">
      <c r="A281" s="321">
        <v>13</v>
      </c>
      <c r="B281" s="322">
        <v>1</v>
      </c>
    </row>
    <row r="282" spans="1:2" x14ac:dyDescent="0.3">
      <c r="A282" s="321" t="s">
        <v>1113</v>
      </c>
      <c r="B282" s="322">
        <v>2</v>
      </c>
    </row>
    <row r="283" spans="1:2" ht="15" thickBot="1" x14ac:dyDescent="0.35">
      <c r="A283" s="323" t="s">
        <v>1111</v>
      </c>
      <c r="B283" s="323">
        <v>0</v>
      </c>
    </row>
    <row r="292" spans="1:2" x14ac:dyDescent="0.3">
      <c r="A292" s="67">
        <f>'DC to AC conversion'!H47</f>
        <v>0.85140770920487285</v>
      </c>
    </row>
    <row r="293" spans="1:2" ht="15" thickBot="1" x14ac:dyDescent="0.35">
      <c r="A293" t="s">
        <v>1115</v>
      </c>
    </row>
    <row r="294" spans="1:2" x14ac:dyDescent="0.3">
      <c r="A294" s="324" t="s">
        <v>1105</v>
      </c>
      <c r="B294" s="324" t="s">
        <v>1107</v>
      </c>
    </row>
    <row r="295" spans="1:2" x14ac:dyDescent="0.3">
      <c r="A295" s="321">
        <v>2</v>
      </c>
      <c r="B295" s="322">
        <v>0</v>
      </c>
    </row>
    <row r="296" spans="1:2" x14ac:dyDescent="0.3">
      <c r="A296" s="321">
        <v>3</v>
      </c>
      <c r="B296" s="322">
        <v>0</v>
      </c>
    </row>
    <row r="297" spans="1:2" x14ac:dyDescent="0.3">
      <c r="A297" s="321">
        <v>4</v>
      </c>
      <c r="B297" s="322">
        <v>2</v>
      </c>
    </row>
    <row r="298" spans="1:2" x14ac:dyDescent="0.3">
      <c r="A298" s="321">
        <v>5</v>
      </c>
      <c r="B298" s="322">
        <v>3</v>
      </c>
    </row>
    <row r="299" spans="1:2" x14ac:dyDescent="0.3">
      <c r="A299" s="321">
        <v>6</v>
      </c>
      <c r="B299" s="322">
        <v>13</v>
      </c>
    </row>
    <row r="300" spans="1:2" x14ac:dyDescent="0.3">
      <c r="A300" s="321">
        <v>7</v>
      </c>
      <c r="B300" s="322">
        <v>9</v>
      </c>
    </row>
    <row r="301" spans="1:2" x14ac:dyDescent="0.3">
      <c r="A301" s="321">
        <v>8</v>
      </c>
      <c r="B301" s="322">
        <v>11</v>
      </c>
    </row>
    <row r="302" spans="1:2" x14ac:dyDescent="0.3">
      <c r="A302" s="321">
        <v>9</v>
      </c>
      <c r="B302" s="322">
        <v>6</v>
      </c>
    </row>
    <row r="303" spans="1:2" x14ac:dyDescent="0.3">
      <c r="A303" s="321">
        <v>10</v>
      </c>
      <c r="B303" s="322">
        <v>2</v>
      </c>
    </row>
    <row r="304" spans="1:2" x14ac:dyDescent="0.3">
      <c r="A304" s="321">
        <v>11</v>
      </c>
      <c r="B304" s="322">
        <v>1</v>
      </c>
    </row>
    <row r="305" spans="1:2" x14ac:dyDescent="0.3">
      <c r="A305" s="321">
        <v>12</v>
      </c>
      <c r="B305" s="322">
        <v>0</v>
      </c>
    </row>
    <row r="306" spans="1:2" ht="15" thickBot="1" x14ac:dyDescent="0.35">
      <c r="A306" s="323" t="s">
        <v>1106</v>
      </c>
      <c r="B306" s="323">
        <v>0</v>
      </c>
    </row>
    <row r="313" spans="1:2" ht="15" thickBot="1" x14ac:dyDescent="0.35"/>
    <row r="314" spans="1:2" x14ac:dyDescent="0.3">
      <c r="A314" s="324" t="s">
        <v>1105</v>
      </c>
      <c r="B314" s="324" t="s">
        <v>1107</v>
      </c>
    </row>
    <row r="315" spans="1:2" x14ac:dyDescent="0.3">
      <c r="A315" s="321">
        <v>2</v>
      </c>
      <c r="B315" s="322">
        <v>0</v>
      </c>
    </row>
    <row r="316" spans="1:2" x14ac:dyDescent="0.3">
      <c r="A316" s="321">
        <v>3</v>
      </c>
      <c r="B316" s="322">
        <v>4</v>
      </c>
    </row>
    <row r="317" spans="1:2" x14ac:dyDescent="0.3">
      <c r="A317" s="321">
        <v>4</v>
      </c>
      <c r="B317" s="322">
        <v>7</v>
      </c>
    </row>
    <row r="318" spans="1:2" x14ac:dyDescent="0.3">
      <c r="A318" s="321">
        <v>5</v>
      </c>
      <c r="B318" s="322">
        <v>11</v>
      </c>
    </row>
    <row r="319" spans="1:2" x14ac:dyDescent="0.3">
      <c r="A319" s="321">
        <v>6</v>
      </c>
      <c r="B319" s="322">
        <v>11</v>
      </c>
    </row>
    <row r="320" spans="1:2" x14ac:dyDescent="0.3">
      <c r="A320" s="321">
        <v>7</v>
      </c>
      <c r="B320" s="322">
        <v>12</v>
      </c>
    </row>
    <row r="321" spans="1:2" x14ac:dyDescent="0.3">
      <c r="A321" s="321">
        <v>8</v>
      </c>
      <c r="B321" s="322">
        <v>5</v>
      </c>
    </row>
    <row r="322" spans="1:2" x14ac:dyDescent="0.3">
      <c r="A322" s="321">
        <v>9</v>
      </c>
      <c r="B322" s="322">
        <v>1</v>
      </c>
    </row>
    <row r="323" spans="1:2" x14ac:dyDescent="0.3">
      <c r="A323" s="321">
        <v>10</v>
      </c>
      <c r="B323" s="322">
        <v>0</v>
      </c>
    </row>
    <row r="324" spans="1:2" x14ac:dyDescent="0.3">
      <c r="A324" s="321">
        <v>11</v>
      </c>
      <c r="B324" s="322">
        <v>0</v>
      </c>
    </row>
    <row r="325" spans="1:2" x14ac:dyDescent="0.3">
      <c r="A325" s="321">
        <v>12</v>
      </c>
      <c r="B325" s="322">
        <v>1</v>
      </c>
    </row>
    <row r="326" spans="1:2" ht="15" thickBot="1" x14ac:dyDescent="0.35">
      <c r="A326" s="323" t="s">
        <v>1106</v>
      </c>
      <c r="B326" s="323">
        <v>0</v>
      </c>
    </row>
  </sheetData>
  <sortState ref="A286:A296">
    <sortCondition ref="A286"/>
  </sortState>
  <mergeCells count="4">
    <mergeCell ref="J1:L1"/>
    <mergeCell ref="O1:Q1"/>
    <mergeCell ref="I197:K197"/>
    <mergeCell ref="N197:P197"/>
  </mergeCell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K194"/>
  <sheetViews>
    <sheetView workbookViewId="0">
      <selection activeCell="B12" sqref="B12"/>
    </sheetView>
  </sheetViews>
  <sheetFormatPr defaultRowHeight="14.4" x14ac:dyDescent="0.3"/>
  <cols>
    <col min="6" max="17" width="0" hidden="1" customWidth="1"/>
    <col min="19" max="24" width="0" hidden="1" customWidth="1"/>
    <col min="27" max="27" width="0" hidden="1" customWidth="1"/>
    <col min="29" max="29" width="0" hidden="1" customWidth="1"/>
    <col min="31" max="32" width="0" hidden="1" customWidth="1"/>
  </cols>
  <sheetData>
    <row r="1" spans="1:37" x14ac:dyDescent="0.3">
      <c r="A1" s="11"/>
      <c r="B1" s="260"/>
      <c r="C1" s="260"/>
      <c r="D1" s="260"/>
      <c r="E1" s="260"/>
      <c r="F1" s="260"/>
      <c r="G1" s="260"/>
      <c r="H1" s="260"/>
      <c r="I1" s="260"/>
      <c r="J1" s="427" t="s">
        <v>13</v>
      </c>
      <c r="K1" s="427"/>
      <c r="L1" s="427"/>
      <c r="M1" s="300"/>
      <c r="N1" s="300"/>
      <c r="O1" s="428" t="s">
        <v>9</v>
      </c>
      <c r="P1" s="428"/>
      <c r="Q1" s="428"/>
      <c r="R1" s="301"/>
      <c r="S1" s="301"/>
      <c r="T1" s="16"/>
      <c r="U1" s="16"/>
      <c r="V1" s="16"/>
      <c r="W1" s="260"/>
      <c r="X1" s="260"/>
      <c r="Y1" s="260"/>
      <c r="Z1" s="260"/>
      <c r="AA1" s="260"/>
      <c r="AB1" s="260"/>
      <c r="AC1" s="260"/>
      <c r="AD1" s="260"/>
      <c r="AE1" s="260"/>
      <c r="AF1" s="260"/>
    </row>
    <row r="2" spans="1:37" x14ac:dyDescent="0.3">
      <c r="A2" s="76" t="s">
        <v>0</v>
      </c>
      <c r="B2" s="261" t="s">
        <v>1</v>
      </c>
      <c r="C2" s="261" t="s">
        <v>908</v>
      </c>
      <c r="D2" s="261" t="s">
        <v>2</v>
      </c>
      <c r="E2" s="261" t="s">
        <v>62</v>
      </c>
      <c r="F2" s="261" t="s">
        <v>63</v>
      </c>
      <c r="G2" s="261" t="s">
        <v>5</v>
      </c>
      <c r="H2" s="261" t="s">
        <v>6</v>
      </c>
      <c r="I2" s="261" t="s">
        <v>7</v>
      </c>
      <c r="J2" s="2" t="s">
        <v>10</v>
      </c>
      <c r="K2" s="2" t="s">
        <v>11</v>
      </c>
      <c r="L2" s="2" t="s">
        <v>12</v>
      </c>
      <c r="M2" s="2" t="s">
        <v>965</v>
      </c>
      <c r="N2" s="2" t="s">
        <v>22</v>
      </c>
      <c r="O2" s="3" t="s">
        <v>10</v>
      </c>
      <c r="P2" s="3" t="s">
        <v>11</v>
      </c>
      <c r="Q2" s="3" t="s">
        <v>12</v>
      </c>
      <c r="R2" s="3" t="s">
        <v>966</v>
      </c>
      <c r="S2" s="3" t="s">
        <v>22</v>
      </c>
      <c r="T2" s="17" t="s">
        <v>92</v>
      </c>
      <c r="U2" s="17" t="s">
        <v>329</v>
      </c>
      <c r="V2" s="17" t="s">
        <v>97</v>
      </c>
      <c r="W2" s="7" t="s">
        <v>15</v>
      </c>
      <c r="X2" s="7" t="s">
        <v>16</v>
      </c>
      <c r="Y2" s="7" t="s">
        <v>20</v>
      </c>
      <c r="Z2" s="7" t="s">
        <v>86</v>
      </c>
      <c r="AA2" s="7" t="s">
        <v>93</v>
      </c>
      <c r="AB2" s="7" t="s">
        <v>64</v>
      </c>
      <c r="AC2" s="7" t="s">
        <v>65</v>
      </c>
      <c r="AD2" s="7" t="s">
        <v>68</v>
      </c>
      <c r="AE2" s="7" t="s">
        <v>17</v>
      </c>
      <c r="AF2" s="7" t="s">
        <v>18</v>
      </c>
    </row>
    <row r="3" spans="1:37" x14ac:dyDescent="0.3">
      <c r="A3" s="260" t="s">
        <v>3</v>
      </c>
      <c r="B3" s="260" t="s">
        <v>661</v>
      </c>
      <c r="C3" s="260"/>
      <c r="D3" s="260">
        <v>2012</v>
      </c>
      <c r="E3" s="98">
        <v>30720</v>
      </c>
      <c r="F3" s="18">
        <v>37000</v>
      </c>
      <c r="G3" s="260">
        <v>140</v>
      </c>
      <c r="H3" s="260"/>
      <c r="I3" s="260" t="s">
        <v>663</v>
      </c>
      <c r="J3" s="260">
        <v>225</v>
      </c>
      <c r="K3" s="9">
        <v>0.91057500000000002</v>
      </c>
      <c r="L3" s="9">
        <v>91.057500000000005</v>
      </c>
      <c r="M3" s="1">
        <v>7.32421875</v>
      </c>
      <c r="N3" s="9">
        <v>33.736924470801412</v>
      </c>
      <c r="O3" s="260">
        <v>186</v>
      </c>
      <c r="P3" s="1">
        <v>0.75274200000000002</v>
      </c>
      <c r="Q3" s="1">
        <v>75.274200000000008</v>
      </c>
      <c r="R3" s="1">
        <v>6.0546875</v>
      </c>
      <c r="S3" s="1">
        <v>40.810795730808159</v>
      </c>
      <c r="T3" s="260">
        <v>0.24359348049999999</v>
      </c>
      <c r="U3" s="1">
        <v>4.105200180018775</v>
      </c>
      <c r="V3" s="1">
        <v>1.4748824014648436</v>
      </c>
      <c r="W3" s="260">
        <v>37.598750000000003</v>
      </c>
      <c r="X3" s="260">
        <v>-105.95184999999999</v>
      </c>
      <c r="Y3" s="260" t="s">
        <v>732</v>
      </c>
      <c r="Z3" s="260" t="s">
        <v>664</v>
      </c>
      <c r="AA3" s="260"/>
      <c r="AB3" s="15">
        <v>0.31</v>
      </c>
      <c r="AC3" s="260" t="s">
        <v>664</v>
      </c>
      <c r="AD3" s="260" t="s">
        <v>662</v>
      </c>
      <c r="AE3" s="260" t="s">
        <v>109</v>
      </c>
      <c r="AF3" s="260" t="s">
        <v>475</v>
      </c>
    </row>
    <row r="4" spans="1:37" x14ac:dyDescent="0.3">
      <c r="A4" s="11" t="s">
        <v>35</v>
      </c>
      <c r="B4" s="28" t="s">
        <v>632</v>
      </c>
      <c r="C4" s="28"/>
      <c r="D4" s="260">
        <v>2006</v>
      </c>
      <c r="E4" s="18">
        <v>148.99634911085275</v>
      </c>
      <c r="F4" s="18">
        <v>175</v>
      </c>
      <c r="G4" s="260"/>
      <c r="H4" s="260"/>
      <c r="I4" s="260" t="s">
        <v>175</v>
      </c>
      <c r="J4" s="260">
        <v>1.635</v>
      </c>
      <c r="K4" s="9">
        <v>6.6168450000000005E-3</v>
      </c>
      <c r="L4" s="9">
        <v>0.66166102466999999</v>
      </c>
      <c r="M4" s="1">
        <v>10.973423239945067</v>
      </c>
      <c r="N4" s="1">
        <v>22.517733014881372</v>
      </c>
      <c r="O4" s="260">
        <v>0.86</v>
      </c>
      <c r="P4" s="1">
        <v>3.4804200000000001E-3</v>
      </c>
      <c r="Q4" s="1">
        <v>0.34804200000000002</v>
      </c>
      <c r="R4" s="1">
        <v>5.7719535084726346</v>
      </c>
      <c r="S4" s="1">
        <v>42.809876138757026</v>
      </c>
      <c r="T4" s="260">
        <v>0.133627</v>
      </c>
      <c r="U4" s="1">
        <v>7.4835175525904196</v>
      </c>
      <c r="V4" s="1">
        <v>0.77128883147667271</v>
      </c>
      <c r="W4" s="260">
        <v>34.674278000000001</v>
      </c>
      <c r="X4" s="260">
        <v>-112.406209</v>
      </c>
      <c r="Y4" s="260" t="s">
        <v>732</v>
      </c>
      <c r="Z4" s="260"/>
      <c r="AA4" s="260" t="s">
        <v>96</v>
      </c>
      <c r="AB4" s="15">
        <v>0.28999999999999998</v>
      </c>
      <c r="AC4" s="15" t="s">
        <v>177</v>
      </c>
      <c r="AD4" s="15" t="s">
        <v>176</v>
      </c>
      <c r="AE4" s="260" t="s">
        <v>29</v>
      </c>
      <c r="AF4" s="260" t="s">
        <v>157</v>
      </c>
    </row>
    <row r="5" spans="1:37" ht="15.6" x14ac:dyDescent="0.3">
      <c r="A5" s="11" t="s">
        <v>160</v>
      </c>
      <c r="B5" s="11" t="s">
        <v>447</v>
      </c>
      <c r="C5" s="11"/>
      <c r="D5" s="260">
        <v>2011</v>
      </c>
      <c r="E5" s="94">
        <v>5040</v>
      </c>
      <c r="F5" s="94">
        <v>6468</v>
      </c>
      <c r="G5" s="260"/>
      <c r="H5" s="260">
        <v>84</v>
      </c>
      <c r="I5" s="260" t="s">
        <v>448</v>
      </c>
      <c r="J5" s="74">
        <v>39</v>
      </c>
      <c r="K5" s="9">
        <v>0.157833</v>
      </c>
      <c r="L5" s="9">
        <v>15.782740038</v>
      </c>
      <c r="M5" s="1">
        <v>7.7380952380952381</v>
      </c>
      <c r="N5" s="1">
        <v>31.932485601870333</v>
      </c>
      <c r="O5" s="11">
        <v>30.28</v>
      </c>
      <c r="P5" s="1">
        <v>0.12254316000000001</v>
      </c>
      <c r="Q5" s="1">
        <v>12.254316000000001</v>
      </c>
      <c r="R5" s="1">
        <v>6.0079365079365079</v>
      </c>
      <c r="S5" s="1">
        <v>41.12836652816852</v>
      </c>
      <c r="T5" s="260">
        <v>0.32200000000000001</v>
      </c>
      <c r="U5" s="25">
        <v>3.1055900621118013</v>
      </c>
      <c r="V5" s="25">
        <v>1.9345555555555556</v>
      </c>
      <c r="W5" s="260">
        <v>32.627780000000001</v>
      </c>
      <c r="X5" s="260">
        <v>-107.25798</v>
      </c>
      <c r="Y5" s="260" t="s">
        <v>732</v>
      </c>
      <c r="Z5" s="260"/>
      <c r="AA5" s="11" t="s">
        <v>96</v>
      </c>
      <c r="AB5" s="15">
        <v>0.28999999999999998</v>
      </c>
      <c r="AC5" s="260"/>
      <c r="AD5" s="80" t="s">
        <v>449</v>
      </c>
      <c r="AE5" s="260" t="s">
        <v>29</v>
      </c>
      <c r="AF5" s="260" t="s">
        <v>450</v>
      </c>
    </row>
    <row r="6" spans="1:37" ht="15.6" x14ac:dyDescent="0.3">
      <c r="A6" s="11" t="s">
        <v>26</v>
      </c>
      <c r="B6" s="11" t="s">
        <v>445</v>
      </c>
      <c r="C6" s="11"/>
      <c r="D6" s="260">
        <v>2011</v>
      </c>
      <c r="E6" s="18">
        <v>891.4238715375019</v>
      </c>
      <c r="F6" s="18">
        <v>1047</v>
      </c>
      <c r="G6" s="260"/>
      <c r="H6" s="260">
        <v>119</v>
      </c>
      <c r="I6" s="260" t="s">
        <v>445</v>
      </c>
      <c r="J6" s="74">
        <v>6.8</v>
      </c>
      <c r="K6" s="9">
        <v>2.7519600000000002E-2</v>
      </c>
      <c r="L6" s="9">
        <v>2.7518623656000001</v>
      </c>
      <c r="M6" s="1">
        <v>7.6282453467075744</v>
      </c>
      <c r="N6" s="1">
        <v>32.392326615848411</v>
      </c>
      <c r="O6" s="260">
        <v>6.8</v>
      </c>
      <c r="P6" s="1">
        <v>2.7519600000000002E-2</v>
      </c>
      <c r="Q6" s="1">
        <v>2.75196</v>
      </c>
      <c r="R6" s="1">
        <v>7.6282453467075744</v>
      </c>
      <c r="S6" s="1">
        <v>32.392326615848411</v>
      </c>
      <c r="T6" s="260">
        <v>0.22</v>
      </c>
      <c r="U6" s="1">
        <v>4.5454545454545459</v>
      </c>
      <c r="V6" s="1">
        <v>1.6782139762756663</v>
      </c>
      <c r="W6" s="260">
        <v>36.271884</v>
      </c>
      <c r="X6" s="260">
        <v>-119.478266</v>
      </c>
      <c r="Y6" s="260" t="s">
        <v>732</v>
      </c>
      <c r="Z6" s="260"/>
      <c r="AA6" s="11" t="s">
        <v>94</v>
      </c>
      <c r="AB6" s="15">
        <v>0.25</v>
      </c>
      <c r="AC6" s="260"/>
      <c r="AD6" s="80" t="s">
        <v>446</v>
      </c>
      <c r="AE6" s="260" t="s">
        <v>29</v>
      </c>
      <c r="AF6" s="260" t="s">
        <v>157</v>
      </c>
    </row>
    <row r="7" spans="1:37" x14ac:dyDescent="0.3">
      <c r="A7" s="11" t="s">
        <v>160</v>
      </c>
      <c r="B7" s="11" t="s">
        <v>495</v>
      </c>
      <c r="C7" s="11"/>
      <c r="D7" s="260">
        <v>2011</v>
      </c>
      <c r="E7" s="94">
        <v>1000</v>
      </c>
      <c r="F7" s="18">
        <v>1174.5254232357104</v>
      </c>
      <c r="G7" s="260">
        <v>10</v>
      </c>
      <c r="H7" s="260">
        <v>173</v>
      </c>
      <c r="I7" s="260" t="s">
        <v>496</v>
      </c>
      <c r="J7" s="74">
        <v>17</v>
      </c>
      <c r="K7" s="9">
        <v>6.8798999999999999E-2</v>
      </c>
      <c r="L7" s="9">
        <v>6.8796559140000006</v>
      </c>
      <c r="M7" s="1">
        <v>17</v>
      </c>
      <c r="N7" s="1">
        <v>14.535094986845738</v>
      </c>
      <c r="O7" s="11">
        <v>10.7</v>
      </c>
      <c r="P7" s="1">
        <v>4.3302899999999998E-2</v>
      </c>
      <c r="Q7" s="1">
        <v>4.3302899999999998</v>
      </c>
      <c r="R7" s="1">
        <v>10.7</v>
      </c>
      <c r="S7" s="1">
        <v>23.093141567885755</v>
      </c>
      <c r="T7" s="260">
        <v>0.18</v>
      </c>
      <c r="U7" s="1">
        <v>5.5555555555555554</v>
      </c>
      <c r="V7" s="1">
        <v>1.9259999999999997</v>
      </c>
      <c r="W7" s="260">
        <v>36.706257000000001</v>
      </c>
      <c r="X7" s="260">
        <v>-105.624189</v>
      </c>
      <c r="Y7" s="260" t="s">
        <v>732</v>
      </c>
      <c r="Z7" s="260"/>
      <c r="AA7" s="11" t="s">
        <v>95</v>
      </c>
      <c r="AB7" s="15">
        <v>0.25</v>
      </c>
      <c r="AC7" s="260" t="s">
        <v>501</v>
      </c>
      <c r="AD7" s="260" t="s">
        <v>497</v>
      </c>
      <c r="AE7" s="260" t="s">
        <v>29</v>
      </c>
      <c r="AF7" s="260"/>
    </row>
    <row r="8" spans="1:37" x14ac:dyDescent="0.3">
      <c r="A8" s="260" t="s">
        <v>26</v>
      </c>
      <c r="B8" s="260" t="s">
        <v>731</v>
      </c>
      <c r="C8" s="260"/>
      <c r="D8" s="260">
        <v>2015</v>
      </c>
      <c r="E8" s="18">
        <v>127711.15638073093</v>
      </c>
      <c r="F8" s="260">
        <v>150000</v>
      </c>
      <c r="G8" s="260"/>
      <c r="H8" s="260"/>
      <c r="I8" s="260" t="s">
        <v>730</v>
      </c>
      <c r="J8" s="260">
        <v>1057</v>
      </c>
      <c r="K8" s="9">
        <v>4.277679</v>
      </c>
      <c r="L8" s="9">
        <v>427.7679</v>
      </c>
      <c r="M8" s="1">
        <v>8.2764891490676398</v>
      </c>
      <c r="N8" s="9">
        <v>29.855245421811905</v>
      </c>
      <c r="O8" s="260"/>
      <c r="P8" s="260"/>
      <c r="Q8" s="260"/>
      <c r="R8" s="1"/>
      <c r="S8" s="260"/>
      <c r="T8" s="260"/>
      <c r="U8" s="260"/>
      <c r="V8" s="260"/>
      <c r="W8" s="260">
        <v>32.772010000000002</v>
      </c>
      <c r="X8" s="260">
        <v>-115.79382</v>
      </c>
      <c r="Y8" s="260" t="s">
        <v>732</v>
      </c>
      <c r="Z8" s="260"/>
      <c r="AA8" s="260"/>
      <c r="AB8" s="15">
        <v>0.25</v>
      </c>
      <c r="AC8" s="260" t="s">
        <v>732</v>
      </c>
      <c r="AD8" s="260"/>
      <c r="AE8" s="260" t="s">
        <v>24</v>
      </c>
      <c r="AF8" s="260" t="s">
        <v>475</v>
      </c>
    </row>
    <row r="9" spans="1:37" x14ac:dyDescent="0.3">
      <c r="A9" s="11" t="s">
        <v>429</v>
      </c>
      <c r="B9" s="11" t="s">
        <v>430</v>
      </c>
      <c r="C9" s="11"/>
      <c r="D9" s="260">
        <v>2011</v>
      </c>
      <c r="E9" s="94">
        <v>10000</v>
      </c>
      <c r="F9" s="18">
        <v>11745.254232357105</v>
      </c>
      <c r="G9" s="260">
        <v>50</v>
      </c>
      <c r="H9" s="260">
        <v>34258</v>
      </c>
      <c r="I9" s="260" t="s">
        <v>432</v>
      </c>
      <c r="J9" s="74">
        <v>103</v>
      </c>
      <c r="K9" s="9">
        <v>0.41684100000000002</v>
      </c>
      <c r="L9" s="9">
        <v>41.682621126000001</v>
      </c>
      <c r="M9" s="1">
        <v>10.3</v>
      </c>
      <c r="N9" s="1">
        <v>23.989962599648305</v>
      </c>
      <c r="O9" s="260">
        <v>50.33</v>
      </c>
      <c r="P9" s="1">
        <v>0.20368551000000001</v>
      </c>
      <c r="Q9" s="1">
        <v>20.368551</v>
      </c>
      <c r="R9" s="1">
        <v>5.0329999999999995</v>
      </c>
      <c r="S9" s="1">
        <v>49.095294014777977</v>
      </c>
      <c r="T9" s="260"/>
      <c r="U9" s="260"/>
      <c r="V9" s="260"/>
      <c r="W9" s="260">
        <v>39.184851000000002</v>
      </c>
      <c r="X9" s="260">
        <v>-75.502167</v>
      </c>
      <c r="Y9" s="260" t="s">
        <v>21</v>
      </c>
      <c r="Z9" s="260" t="s">
        <v>776</v>
      </c>
      <c r="AA9" s="11" t="s">
        <v>96</v>
      </c>
      <c r="AB9" s="111">
        <v>0.20100000000000001</v>
      </c>
      <c r="AC9" s="260" t="s">
        <v>391</v>
      </c>
      <c r="AD9" s="260" t="s">
        <v>431</v>
      </c>
      <c r="AE9" s="260" t="s">
        <v>29</v>
      </c>
      <c r="AF9" s="260" t="s">
        <v>433</v>
      </c>
      <c r="AI9" t="s">
        <v>1081</v>
      </c>
    </row>
    <row r="10" spans="1:37" x14ac:dyDescent="0.3">
      <c r="A10" s="260" t="s">
        <v>26</v>
      </c>
      <c r="B10" s="260" t="s">
        <v>704</v>
      </c>
      <c r="C10" s="260"/>
      <c r="D10" s="260">
        <v>2012</v>
      </c>
      <c r="E10" s="18">
        <v>11732.398232843148</v>
      </c>
      <c r="F10" s="98">
        <v>13780</v>
      </c>
      <c r="G10" s="260"/>
      <c r="H10" s="260">
        <v>31680</v>
      </c>
      <c r="I10" s="260" t="s">
        <v>389</v>
      </c>
      <c r="J10" s="260">
        <v>118</v>
      </c>
      <c r="K10" s="9">
        <v>0.47754600000000003</v>
      </c>
      <c r="L10" s="9">
        <v>47.752905756000004</v>
      </c>
      <c r="M10" s="1">
        <v>10.057619734529306</v>
      </c>
      <c r="N10" s="9">
        <v>24.568100733422849</v>
      </c>
      <c r="O10" s="260"/>
      <c r="P10" s="260"/>
      <c r="Q10" s="260"/>
      <c r="R10" s="260"/>
      <c r="S10" s="260"/>
      <c r="T10" s="260"/>
      <c r="U10" s="260"/>
      <c r="V10" s="260"/>
      <c r="W10" s="260">
        <v>35.684399999999997</v>
      </c>
      <c r="X10" s="260">
        <v>-117.6878</v>
      </c>
      <c r="Y10" s="260" t="s">
        <v>21</v>
      </c>
      <c r="Z10" s="260" t="s">
        <v>776</v>
      </c>
      <c r="AA10" s="260"/>
      <c r="AB10" s="15">
        <v>0.20100000000000001</v>
      </c>
      <c r="AC10" s="260" t="s">
        <v>705</v>
      </c>
      <c r="AD10" s="260" t="s">
        <v>706</v>
      </c>
      <c r="AE10" s="260" t="s">
        <v>109</v>
      </c>
      <c r="AF10" s="260" t="s">
        <v>611</v>
      </c>
      <c r="AI10" t="s">
        <v>1079</v>
      </c>
      <c r="AJ10">
        <f>SUM(R9*E9,R16*E16,R20*E20,R21*E21,R22*E22)/SUM(E9,E16,E20,E21,E22)</f>
        <v>6.2148014440433217</v>
      </c>
    </row>
    <row r="11" spans="1:37" x14ac:dyDescent="0.3">
      <c r="A11" s="260" t="s">
        <v>26</v>
      </c>
      <c r="B11" s="260" t="s">
        <v>721</v>
      </c>
      <c r="C11" s="260"/>
      <c r="D11" s="260">
        <v>2014</v>
      </c>
      <c r="E11" s="18">
        <v>93654.848012536007</v>
      </c>
      <c r="F11" s="260">
        <v>110000</v>
      </c>
      <c r="G11" s="260"/>
      <c r="H11" s="260"/>
      <c r="I11" s="260" t="s">
        <v>725</v>
      </c>
      <c r="J11" s="260">
        <v>1014</v>
      </c>
      <c r="K11" s="9">
        <v>4.1036580000000002</v>
      </c>
      <c r="L11" s="9">
        <v>410.36579999999998</v>
      </c>
      <c r="M11" s="1">
        <v>10.826988901463732</v>
      </c>
      <c r="N11" s="9">
        <v>22.822283926325245</v>
      </c>
      <c r="O11" s="260"/>
      <c r="P11" s="260"/>
      <c r="Q11" s="260"/>
      <c r="R11" s="1"/>
      <c r="S11" s="260"/>
      <c r="T11" s="260"/>
      <c r="U11" s="260"/>
      <c r="V11" s="260"/>
      <c r="W11" s="260">
        <v>37.119799999999998</v>
      </c>
      <c r="X11" s="260">
        <v>-121.0553</v>
      </c>
      <c r="Y11" s="260" t="s">
        <v>21</v>
      </c>
      <c r="Z11" s="260"/>
      <c r="AA11" s="260"/>
      <c r="AB11" s="15">
        <v>0.20100000000000001</v>
      </c>
      <c r="AC11" s="260" t="s">
        <v>391</v>
      </c>
      <c r="AD11" s="260" t="s">
        <v>726</v>
      </c>
      <c r="AE11" s="260" t="s">
        <v>24</v>
      </c>
      <c r="AF11" s="260" t="s">
        <v>694</v>
      </c>
      <c r="AI11" t="s">
        <v>1080</v>
      </c>
      <c r="AJ11">
        <f>(R12*E12+R13*E13+R14*E14+R17*E17)/(E12+E13+E14+E17)</f>
        <v>6.9662406228406439</v>
      </c>
      <c r="AK11" s="23">
        <f>(AJ11-AJ10)/AJ10</f>
        <v>0.12091121262088775</v>
      </c>
    </row>
    <row r="12" spans="1:37" x14ac:dyDescent="0.3">
      <c r="A12" s="11" t="s">
        <v>424</v>
      </c>
      <c r="B12" s="11" t="s">
        <v>425</v>
      </c>
      <c r="C12" s="11"/>
      <c r="D12" s="260">
        <v>2009</v>
      </c>
      <c r="E12" s="18">
        <v>851.40770920487284</v>
      </c>
      <c r="F12" s="18">
        <v>1000</v>
      </c>
      <c r="G12" s="260"/>
      <c r="H12" s="260">
        <v>5000</v>
      </c>
      <c r="I12" s="260" t="s">
        <v>389</v>
      </c>
      <c r="J12" s="74">
        <v>9.5</v>
      </c>
      <c r="K12" s="9">
        <v>3.8446500000000002E-2</v>
      </c>
      <c r="L12" s="9">
        <v>3.8445135989999999</v>
      </c>
      <c r="M12" s="1">
        <v>11.15799152073925</v>
      </c>
      <c r="N12" s="1">
        <v>22.145259235687849</v>
      </c>
      <c r="O12" s="260">
        <v>9</v>
      </c>
      <c r="P12" s="1">
        <v>3.6423000000000004E-2</v>
      </c>
      <c r="Q12" s="1">
        <v>3.6423000000000001</v>
      </c>
      <c r="R12" s="1">
        <v>10.570728809121395</v>
      </c>
      <c r="S12" s="1">
        <v>23.375551415448282</v>
      </c>
      <c r="T12" s="105">
        <v>0.19500000000000001</v>
      </c>
      <c r="U12" s="1">
        <v>5.1282051282051277</v>
      </c>
      <c r="V12" s="1">
        <v>2.0612921177786721</v>
      </c>
      <c r="W12" s="260">
        <v>33.926340000000003</v>
      </c>
      <c r="X12" s="260">
        <v>-117.60604600000001</v>
      </c>
      <c r="Y12" s="260" t="s">
        <v>21</v>
      </c>
      <c r="Z12" s="100" t="s">
        <v>426</v>
      </c>
      <c r="AA12" s="11" t="s">
        <v>95</v>
      </c>
      <c r="AB12" s="15">
        <v>0.19600000000000001</v>
      </c>
      <c r="AC12" s="260" t="s">
        <v>391</v>
      </c>
      <c r="AD12" s="260" t="s">
        <v>421</v>
      </c>
      <c r="AE12" s="260" t="s">
        <v>29</v>
      </c>
      <c r="AF12" s="260" t="s">
        <v>427</v>
      </c>
      <c r="AI12" t="s">
        <v>248</v>
      </c>
    </row>
    <row r="13" spans="1:37" x14ac:dyDescent="0.3">
      <c r="A13" s="11" t="s">
        <v>26</v>
      </c>
      <c r="B13" s="11" t="s">
        <v>419</v>
      </c>
      <c r="C13" s="11"/>
      <c r="D13" s="260">
        <v>2008</v>
      </c>
      <c r="E13" s="42">
        <v>890</v>
      </c>
      <c r="F13" s="94">
        <v>1000</v>
      </c>
      <c r="G13" s="260"/>
      <c r="H13" s="260">
        <v>18210</v>
      </c>
      <c r="I13" s="260" t="s">
        <v>418</v>
      </c>
      <c r="J13" s="74">
        <v>11.2</v>
      </c>
      <c r="K13" s="9">
        <v>4.5326400000000003E-2</v>
      </c>
      <c r="L13" s="9">
        <v>4.5324791904000001</v>
      </c>
      <c r="M13" s="1">
        <v>12.584269662921347</v>
      </c>
      <c r="N13" s="1">
        <v>19.635355995622859</v>
      </c>
      <c r="O13" s="260">
        <v>7.9</v>
      </c>
      <c r="P13" s="1">
        <v>3.1971300000000001E-2</v>
      </c>
      <c r="Q13" s="1">
        <v>3.1970165718000003</v>
      </c>
      <c r="R13" s="1">
        <v>8.8764044943820224</v>
      </c>
      <c r="S13" s="1">
        <v>27.837466727971648</v>
      </c>
      <c r="T13" s="105">
        <v>0.20949999999999999</v>
      </c>
      <c r="U13" s="1">
        <v>4.7732696897374707</v>
      </c>
      <c r="V13" s="1">
        <v>1.8596067415730335</v>
      </c>
      <c r="W13" s="260">
        <v>33.964523</v>
      </c>
      <c r="X13" s="260">
        <v>-117.674453</v>
      </c>
      <c r="Y13" s="260" t="s">
        <v>21</v>
      </c>
      <c r="Z13" s="100" t="s">
        <v>474</v>
      </c>
      <c r="AA13" s="11" t="s">
        <v>95</v>
      </c>
      <c r="AB13" s="111">
        <v>0.19600000000000001</v>
      </c>
      <c r="AC13" s="15" t="s">
        <v>391</v>
      </c>
      <c r="AD13" s="260" t="s">
        <v>421</v>
      </c>
      <c r="AE13" s="260" t="s">
        <v>29</v>
      </c>
      <c r="AF13" s="260" t="s">
        <v>420</v>
      </c>
    </row>
    <row r="14" spans="1:37" x14ac:dyDescent="0.3">
      <c r="A14" s="11" t="s">
        <v>3</v>
      </c>
      <c r="B14" s="11" t="s">
        <v>388</v>
      </c>
      <c r="C14" s="11"/>
      <c r="D14" s="260">
        <v>2010</v>
      </c>
      <c r="E14" s="94">
        <v>17000</v>
      </c>
      <c r="F14" s="94">
        <v>20000</v>
      </c>
      <c r="G14" s="260"/>
      <c r="H14" s="260">
        <v>50000</v>
      </c>
      <c r="I14" s="260" t="s">
        <v>389</v>
      </c>
      <c r="J14" s="74">
        <v>175.63</v>
      </c>
      <c r="K14" s="9">
        <v>0.71077460999999997</v>
      </c>
      <c r="L14" s="9">
        <v>71.077461</v>
      </c>
      <c r="M14" s="1">
        <v>10.331176470588234</v>
      </c>
      <c r="N14" s="1">
        <v>23.917567905246361</v>
      </c>
      <c r="O14" s="24">
        <v>112.7</v>
      </c>
      <c r="P14" s="105">
        <v>0.45609690000000003</v>
      </c>
      <c r="Q14" s="105">
        <v>45.609690000000001</v>
      </c>
      <c r="R14" s="105">
        <v>6.6294117647058828</v>
      </c>
      <c r="S14" s="105">
        <v>37.272781288362182</v>
      </c>
      <c r="T14" s="1">
        <v>0.223</v>
      </c>
      <c r="U14" s="1">
        <v>4.4843049327354256</v>
      </c>
      <c r="V14" s="1">
        <v>1.4783588235294118</v>
      </c>
      <c r="W14" s="260">
        <v>37.688209999999998</v>
      </c>
      <c r="X14" s="260">
        <v>-105.88741</v>
      </c>
      <c r="Y14" s="260" t="s">
        <v>21</v>
      </c>
      <c r="Z14" s="260">
        <v>20</v>
      </c>
      <c r="AA14" s="11"/>
      <c r="AB14" s="15">
        <v>0.19600000000000001</v>
      </c>
      <c r="AC14" s="260" t="s">
        <v>391</v>
      </c>
      <c r="AD14" s="260" t="s">
        <v>857</v>
      </c>
      <c r="AE14" s="260" t="s">
        <v>29</v>
      </c>
      <c r="AF14" s="260" t="s">
        <v>157</v>
      </c>
    </row>
    <row r="15" spans="1:37" x14ac:dyDescent="0.3">
      <c r="A15" s="11" t="s">
        <v>3</v>
      </c>
      <c r="B15" s="11" t="s">
        <v>392</v>
      </c>
      <c r="C15" s="11"/>
      <c r="D15" s="260">
        <v>2012</v>
      </c>
      <c r="E15" s="109">
        <v>30000</v>
      </c>
      <c r="F15" s="94">
        <v>35200</v>
      </c>
      <c r="G15" s="260"/>
      <c r="H15" s="260">
        <v>110000</v>
      </c>
      <c r="I15" s="260" t="s">
        <v>403</v>
      </c>
      <c r="J15" s="74">
        <v>220</v>
      </c>
      <c r="K15" s="9">
        <v>0.89034000000000002</v>
      </c>
      <c r="L15" s="9">
        <v>89.034000000000006</v>
      </c>
      <c r="M15" s="1">
        <v>7.333333333333333</v>
      </c>
      <c r="N15" s="1">
        <v>33.694992924051483</v>
      </c>
      <c r="O15" s="24" t="s">
        <v>598</v>
      </c>
      <c r="P15" s="1"/>
      <c r="Q15" s="1"/>
      <c r="R15" s="1"/>
      <c r="S15" s="1"/>
      <c r="T15" s="1"/>
      <c r="U15" s="1"/>
      <c r="V15" s="1"/>
      <c r="W15" s="260"/>
      <c r="X15" s="260"/>
      <c r="Y15" s="260" t="s">
        <v>21</v>
      </c>
      <c r="Z15" s="260"/>
      <c r="AA15" s="11" t="s">
        <v>94</v>
      </c>
      <c r="AB15" s="15">
        <v>0.19600000000000001</v>
      </c>
      <c r="AC15" s="260" t="s">
        <v>391</v>
      </c>
      <c r="AD15" s="260" t="s">
        <v>393</v>
      </c>
      <c r="AE15" s="260" t="s">
        <v>29</v>
      </c>
      <c r="AF15" s="260" t="s">
        <v>394</v>
      </c>
    </row>
    <row r="16" spans="1:37" x14ac:dyDescent="0.3">
      <c r="A16" s="11" t="s">
        <v>527</v>
      </c>
      <c r="B16" s="11" t="s">
        <v>526</v>
      </c>
      <c r="C16" s="11"/>
      <c r="D16" s="260">
        <v>2010</v>
      </c>
      <c r="E16" s="42">
        <v>940</v>
      </c>
      <c r="F16" s="94">
        <v>1000</v>
      </c>
      <c r="G16" s="260"/>
      <c r="H16" s="260">
        <v>4500</v>
      </c>
      <c r="I16" s="260" t="s">
        <v>389</v>
      </c>
      <c r="J16" s="74">
        <v>10</v>
      </c>
      <c r="K16" s="9">
        <v>4.0470000000000006E-2</v>
      </c>
      <c r="L16" s="9">
        <v>4.0468564200000001</v>
      </c>
      <c r="M16" s="1">
        <v>10.638297872340425</v>
      </c>
      <c r="N16" s="1">
        <v>23.227081788979486</v>
      </c>
      <c r="O16" s="11">
        <v>6.1</v>
      </c>
      <c r="P16" s="1">
        <v>2.4686699999999999E-2</v>
      </c>
      <c r="Q16" s="1">
        <v>2.4685824161999999</v>
      </c>
      <c r="R16" s="1">
        <v>6.4893617021276597</v>
      </c>
      <c r="S16" s="1">
        <v>38.077183260622114</v>
      </c>
      <c r="T16" s="11">
        <v>0.38575999999999999</v>
      </c>
      <c r="U16" s="1">
        <v>2.5922853587722936</v>
      </c>
      <c r="V16" s="1">
        <v>2.5033361702127661</v>
      </c>
      <c r="W16" s="260">
        <v>35.25421</v>
      </c>
      <c r="X16" s="260">
        <v>-81.595889999999997</v>
      </c>
      <c r="Y16" s="260" t="s">
        <v>21</v>
      </c>
      <c r="Z16" s="260" t="s">
        <v>776</v>
      </c>
      <c r="AA16" s="11" t="s">
        <v>96</v>
      </c>
      <c r="AB16" s="15">
        <v>0.19</v>
      </c>
      <c r="AC16" s="11" t="s">
        <v>391</v>
      </c>
      <c r="AD16" s="260" t="s">
        <v>389</v>
      </c>
      <c r="AE16" s="260" t="s">
        <v>29</v>
      </c>
      <c r="AF16" s="260" t="s">
        <v>157</v>
      </c>
    </row>
    <row r="17" spans="1:32" x14ac:dyDescent="0.3">
      <c r="A17" s="11" t="s">
        <v>26</v>
      </c>
      <c r="B17" s="11" t="s">
        <v>473</v>
      </c>
      <c r="C17" s="11"/>
      <c r="D17" s="260">
        <v>2008</v>
      </c>
      <c r="E17" s="18">
        <v>953.57663430945763</v>
      </c>
      <c r="F17" s="18">
        <v>1120</v>
      </c>
      <c r="G17" s="260"/>
      <c r="H17" s="260">
        <v>4870</v>
      </c>
      <c r="I17" s="260" t="s">
        <v>389</v>
      </c>
      <c r="J17" s="74">
        <v>11.54</v>
      </c>
      <c r="K17" s="9">
        <v>4.6702380000000002E-2</v>
      </c>
      <c r="L17" s="9">
        <v>4.67007230868</v>
      </c>
      <c r="M17" s="1">
        <v>12.10180659298223</v>
      </c>
      <c r="N17" s="1">
        <v>20.418159295296249</v>
      </c>
      <c r="O17" s="11">
        <v>7.6</v>
      </c>
      <c r="P17" s="1">
        <v>3.0757200000000002E-2</v>
      </c>
      <c r="Q17" s="1">
        <v>3.0756108792000001</v>
      </c>
      <c r="R17" s="1">
        <v>7.9699939433851776</v>
      </c>
      <c r="S17" s="1">
        <v>31.003362929962986</v>
      </c>
      <c r="T17" s="100">
        <v>0.23</v>
      </c>
      <c r="U17" s="1">
        <v>4.3478260869565215</v>
      </c>
      <c r="V17" s="1">
        <v>1.8330986069785908</v>
      </c>
      <c r="W17" s="260">
        <v>33.536287999999999</v>
      </c>
      <c r="X17" s="260">
        <v>-117.193406</v>
      </c>
      <c r="Y17" s="260" t="s">
        <v>21</v>
      </c>
      <c r="Z17" s="100" t="s">
        <v>474</v>
      </c>
      <c r="AA17" s="100"/>
      <c r="AB17" s="15">
        <v>0.19</v>
      </c>
      <c r="AC17" s="260" t="s">
        <v>391</v>
      </c>
      <c r="AD17" s="260" t="s">
        <v>421</v>
      </c>
      <c r="AE17" s="260" t="s">
        <v>29</v>
      </c>
      <c r="AF17" s="260" t="s">
        <v>475</v>
      </c>
    </row>
    <row r="18" spans="1:32" x14ac:dyDescent="0.3">
      <c r="A18" s="260" t="s">
        <v>476</v>
      </c>
      <c r="B18" s="260" t="s">
        <v>626</v>
      </c>
      <c r="C18" s="260"/>
      <c r="D18" s="260">
        <v>2012</v>
      </c>
      <c r="E18" s="18">
        <v>4257.0385460243642</v>
      </c>
      <c r="F18" s="260">
        <v>5000</v>
      </c>
      <c r="G18" s="260"/>
      <c r="H18" s="260"/>
      <c r="I18" s="260" t="s">
        <v>389</v>
      </c>
      <c r="J18" s="260">
        <v>40</v>
      </c>
      <c r="K18" s="9">
        <v>0.16188000000000002</v>
      </c>
      <c r="L18" s="9">
        <v>16.18742568</v>
      </c>
      <c r="M18" s="1">
        <v>9.3962033858856842</v>
      </c>
      <c r="N18" s="9">
        <v>26.297495342379314</v>
      </c>
      <c r="O18" s="260"/>
      <c r="P18" s="260"/>
      <c r="Q18" s="260"/>
      <c r="R18" s="260"/>
      <c r="S18" s="260"/>
      <c r="T18" s="260"/>
      <c r="U18" s="260"/>
      <c r="V18" s="260"/>
      <c r="W18" s="260">
        <v>21.325299999999999</v>
      </c>
      <c r="X18" s="260">
        <v>-158.0873</v>
      </c>
      <c r="Y18" s="260" t="s">
        <v>21</v>
      </c>
      <c r="Z18" s="260" t="s">
        <v>486</v>
      </c>
      <c r="AA18" s="260"/>
      <c r="AB18" s="15">
        <v>0.19</v>
      </c>
      <c r="AC18" s="260" t="s">
        <v>391</v>
      </c>
      <c r="AD18" s="260" t="s">
        <v>389</v>
      </c>
      <c r="AE18" s="260" t="s">
        <v>109</v>
      </c>
      <c r="AF18" s="260" t="s">
        <v>493</v>
      </c>
    </row>
    <row r="19" spans="1:32" x14ac:dyDescent="0.3">
      <c r="A19" s="11" t="s">
        <v>171</v>
      </c>
      <c r="B19" s="11" t="s">
        <v>565</v>
      </c>
      <c r="C19" s="11"/>
      <c r="D19" s="260">
        <v>2012</v>
      </c>
      <c r="E19" s="18">
        <v>4512.4608587858265</v>
      </c>
      <c r="F19" s="75">
        <v>5300</v>
      </c>
      <c r="G19" s="260"/>
      <c r="H19" s="260">
        <v>16500</v>
      </c>
      <c r="I19" s="260" t="s">
        <v>564</v>
      </c>
      <c r="J19" s="74">
        <v>27</v>
      </c>
      <c r="K19" s="9">
        <v>0.10926900000000001</v>
      </c>
      <c r="L19" s="9">
        <v>10.926512334</v>
      </c>
      <c r="M19" s="1">
        <v>5.9834314013894678</v>
      </c>
      <c r="N19" s="1">
        <v>41.296807500625299</v>
      </c>
      <c r="O19" s="24" t="s">
        <v>598</v>
      </c>
      <c r="P19" s="88"/>
      <c r="Q19" s="88"/>
      <c r="R19" s="88"/>
      <c r="S19" s="88"/>
      <c r="T19" s="11"/>
      <c r="U19" s="11"/>
      <c r="V19" s="11"/>
      <c r="W19" s="260">
        <v>40.336129999999997</v>
      </c>
      <c r="X19" s="260">
        <v>-74.642099999999999</v>
      </c>
      <c r="Y19" s="260" t="s">
        <v>21</v>
      </c>
      <c r="Z19" s="260" t="s">
        <v>486</v>
      </c>
      <c r="AA19" s="11"/>
      <c r="AB19" s="15">
        <v>0.19</v>
      </c>
      <c r="AC19" s="11" t="s">
        <v>391</v>
      </c>
      <c r="AD19" s="11" t="s">
        <v>389</v>
      </c>
      <c r="AE19" s="260" t="s">
        <v>29</v>
      </c>
      <c r="AF19" s="260" t="s">
        <v>157</v>
      </c>
    </row>
    <row r="20" spans="1:32" x14ac:dyDescent="0.3">
      <c r="A20" s="260" t="s">
        <v>47</v>
      </c>
      <c r="B20" s="260" t="s">
        <v>727</v>
      </c>
      <c r="C20" s="260"/>
      <c r="D20" s="260">
        <v>2011</v>
      </c>
      <c r="E20" s="108">
        <v>5000</v>
      </c>
      <c r="F20" s="98">
        <v>6400</v>
      </c>
      <c r="G20" s="260"/>
      <c r="H20" s="260"/>
      <c r="I20" s="260" t="s">
        <v>728</v>
      </c>
      <c r="J20" s="260">
        <v>28.7</v>
      </c>
      <c r="K20" s="9">
        <v>0.1161489</v>
      </c>
      <c r="L20" s="9">
        <v>11.614477925399999</v>
      </c>
      <c r="M20" s="1">
        <v>5.74</v>
      </c>
      <c r="N20" s="9">
        <v>43.048190727591908</v>
      </c>
      <c r="O20" s="260">
        <v>23.9</v>
      </c>
      <c r="P20" s="1">
        <v>9.6723299999999998E-2</v>
      </c>
      <c r="Q20" s="1">
        <v>9.6719868437999992</v>
      </c>
      <c r="R20" s="1">
        <v>4.7799999999999994</v>
      </c>
      <c r="S20" s="1">
        <v>51.693852463677317</v>
      </c>
      <c r="T20" s="260">
        <v>0.44768999999999998</v>
      </c>
      <c r="U20" s="1">
        <v>2.2336884898032121</v>
      </c>
      <c r="V20" s="1">
        <v>2.1399581999999997</v>
      </c>
      <c r="W20" s="260">
        <v>36.424790000000002</v>
      </c>
      <c r="X20" s="260">
        <v>-77.06438</v>
      </c>
      <c r="Y20" s="260" t="s">
        <v>21</v>
      </c>
      <c r="Z20" s="260" t="s">
        <v>776</v>
      </c>
      <c r="AA20" s="260"/>
      <c r="AB20" s="15">
        <v>0.19</v>
      </c>
      <c r="AC20" s="260" t="s">
        <v>391</v>
      </c>
      <c r="AD20" s="260" t="s">
        <v>389</v>
      </c>
      <c r="AE20" s="260" t="s">
        <v>29</v>
      </c>
      <c r="AF20" s="260" t="s">
        <v>475</v>
      </c>
    </row>
    <row r="21" spans="1:32" x14ac:dyDescent="0.3">
      <c r="A21" s="11" t="s">
        <v>35</v>
      </c>
      <c r="B21" s="11" t="s">
        <v>485</v>
      </c>
      <c r="C21" s="11"/>
      <c r="D21" s="260">
        <v>2011</v>
      </c>
      <c r="E21" s="94">
        <v>20000</v>
      </c>
      <c r="F21" s="18">
        <v>23490.50846471421</v>
      </c>
      <c r="G21" s="260"/>
      <c r="H21" s="260">
        <v>66384</v>
      </c>
      <c r="I21" s="260" t="s">
        <v>403</v>
      </c>
      <c r="J21" s="74">
        <v>144</v>
      </c>
      <c r="K21" s="9">
        <v>0.58276800000000006</v>
      </c>
      <c r="L21" s="9">
        <v>58.276800000000001</v>
      </c>
      <c r="M21" s="1">
        <v>7.2</v>
      </c>
      <c r="N21" s="1">
        <v>34.318974274496881</v>
      </c>
      <c r="O21" s="100">
        <v>118.4</v>
      </c>
      <c r="P21" s="105">
        <v>0.47916480000000006</v>
      </c>
      <c r="Q21" s="105">
        <v>47.91648</v>
      </c>
      <c r="R21" s="105">
        <v>5.92</v>
      </c>
      <c r="S21" s="105">
        <v>41.739293036550258</v>
      </c>
      <c r="T21" s="11">
        <v>0.28508600000000001</v>
      </c>
      <c r="U21" s="1">
        <v>3.5077134619027239</v>
      </c>
      <c r="V21" s="1">
        <v>1.6877091200000001</v>
      </c>
      <c r="W21" s="11">
        <v>33.159303000000001</v>
      </c>
      <c r="X21" s="11">
        <v>-111.48230599999999</v>
      </c>
      <c r="Y21" s="260" t="s">
        <v>21</v>
      </c>
      <c r="Z21" s="260" t="s">
        <v>780</v>
      </c>
      <c r="AA21" s="11"/>
      <c r="AB21" s="15">
        <v>0.19</v>
      </c>
      <c r="AC21" s="260" t="s">
        <v>391</v>
      </c>
      <c r="AD21" s="260" t="s">
        <v>487</v>
      </c>
      <c r="AE21" s="260" t="s">
        <v>29</v>
      </c>
      <c r="AF21" s="260" t="s">
        <v>475</v>
      </c>
    </row>
    <row r="22" spans="1:32" x14ac:dyDescent="0.3">
      <c r="A22" s="69" t="s">
        <v>148</v>
      </c>
      <c r="B22" s="11" t="s">
        <v>149</v>
      </c>
      <c r="C22" s="11"/>
      <c r="D22" s="260">
        <v>2009</v>
      </c>
      <c r="E22" s="42">
        <v>25000</v>
      </c>
      <c r="F22" s="18">
        <v>28000</v>
      </c>
      <c r="G22" s="260"/>
      <c r="H22" s="260">
        <v>90000</v>
      </c>
      <c r="I22" s="260" t="s">
        <v>151</v>
      </c>
      <c r="J22" s="260">
        <v>235</v>
      </c>
      <c r="K22" s="9">
        <v>0.95104500000000003</v>
      </c>
      <c r="L22" s="9">
        <v>95.104500000000002</v>
      </c>
      <c r="M22" s="1">
        <v>9.4</v>
      </c>
      <c r="N22" s="9">
        <v>26.286873912380592</v>
      </c>
      <c r="O22" s="260">
        <v>180</v>
      </c>
      <c r="P22" s="1">
        <v>0.72846</v>
      </c>
      <c r="Q22" s="1">
        <v>72.846000000000004</v>
      </c>
      <c r="R22" s="1">
        <v>7.2</v>
      </c>
      <c r="S22" s="1">
        <v>34.318974274496881</v>
      </c>
      <c r="T22" s="1">
        <v>0.25222</v>
      </c>
      <c r="U22" s="1">
        <v>3.9647926413448578</v>
      </c>
      <c r="V22" s="1">
        <v>1.815984</v>
      </c>
      <c r="W22" s="71">
        <v>27.316666666666698</v>
      </c>
      <c r="X22" s="71">
        <v>-81.8</v>
      </c>
      <c r="Y22" s="260" t="s">
        <v>21</v>
      </c>
      <c r="Z22" s="260" t="s">
        <v>776</v>
      </c>
      <c r="AA22" s="11" t="s">
        <v>96</v>
      </c>
      <c r="AB22" s="15">
        <v>0.19</v>
      </c>
      <c r="AC22" s="15" t="s">
        <v>391</v>
      </c>
      <c r="AD22" s="15" t="s">
        <v>150</v>
      </c>
      <c r="AE22" s="260" t="s">
        <v>29</v>
      </c>
      <c r="AF22" s="260" t="s">
        <v>110</v>
      </c>
    </row>
    <row r="23" spans="1:32" x14ac:dyDescent="0.3">
      <c r="A23" s="260" t="s">
        <v>196</v>
      </c>
      <c r="B23" s="260" t="s">
        <v>622</v>
      </c>
      <c r="C23" s="260"/>
      <c r="D23" s="260">
        <v>2012</v>
      </c>
      <c r="E23" s="18">
        <v>8343.7955502077548</v>
      </c>
      <c r="F23" s="260">
        <v>9800</v>
      </c>
      <c r="G23" s="260">
        <v>21.6</v>
      </c>
      <c r="H23" s="260">
        <v>24000</v>
      </c>
      <c r="I23" s="260" t="s">
        <v>623</v>
      </c>
      <c r="J23" s="260">
        <v>60</v>
      </c>
      <c r="K23" s="9">
        <v>0.24282000000000001</v>
      </c>
      <c r="L23" s="9">
        <v>24.281138519999999</v>
      </c>
      <c r="M23" s="1">
        <v>7.1909719789941446</v>
      </c>
      <c r="N23" s="9">
        <v>34.362060580708977</v>
      </c>
      <c r="O23" s="260"/>
      <c r="P23" s="260"/>
      <c r="Q23" s="260"/>
      <c r="R23" s="260"/>
      <c r="S23" s="260"/>
      <c r="T23" s="260"/>
      <c r="U23" s="260"/>
      <c r="V23" s="260"/>
      <c r="W23" s="260">
        <v>41.395600000000002</v>
      </c>
      <c r="X23" s="260">
        <v>-84.108149999999995</v>
      </c>
      <c r="Y23" s="260" t="s">
        <v>21</v>
      </c>
      <c r="Z23" s="100" t="s">
        <v>426</v>
      </c>
      <c r="AA23" s="260"/>
      <c r="AB23" s="15">
        <v>0.185</v>
      </c>
      <c r="AC23" s="260" t="s">
        <v>391</v>
      </c>
      <c r="AD23" s="260" t="s">
        <v>624</v>
      </c>
      <c r="AE23" s="260" t="s">
        <v>109</v>
      </c>
      <c r="AF23" s="260" t="s">
        <v>611</v>
      </c>
    </row>
    <row r="24" spans="1:32" x14ac:dyDescent="0.3">
      <c r="A24" s="260" t="s">
        <v>35</v>
      </c>
      <c r="B24" s="260" t="s">
        <v>638</v>
      </c>
      <c r="C24" s="260"/>
      <c r="D24" s="260">
        <v>2012</v>
      </c>
      <c r="E24" s="98">
        <v>14000</v>
      </c>
      <c r="F24" s="98">
        <v>15000</v>
      </c>
      <c r="G24" s="260">
        <v>68</v>
      </c>
      <c r="H24" s="260">
        <v>52000</v>
      </c>
      <c r="I24" s="260" t="s">
        <v>389</v>
      </c>
      <c r="J24" s="260">
        <v>100</v>
      </c>
      <c r="K24" s="9">
        <v>0.4047</v>
      </c>
      <c r="L24" s="9">
        <v>40.468564200000003</v>
      </c>
      <c r="M24" s="1">
        <v>7.1428571428571432</v>
      </c>
      <c r="N24" s="9">
        <v>34.59352606869286</v>
      </c>
      <c r="O24" s="260"/>
      <c r="P24" s="260"/>
      <c r="Q24" s="260"/>
      <c r="R24" s="260"/>
      <c r="S24" s="260"/>
      <c r="T24" s="260"/>
      <c r="U24" s="260"/>
      <c r="V24" s="260"/>
      <c r="W24" s="260">
        <v>33.517000000000003</v>
      </c>
      <c r="X24" s="260">
        <v>-112.36750000000001</v>
      </c>
      <c r="Y24" s="260" t="s">
        <v>21</v>
      </c>
      <c r="Z24" s="260"/>
      <c r="AA24" s="260"/>
      <c r="AB24" s="15">
        <v>0.185</v>
      </c>
      <c r="AC24" s="260" t="s">
        <v>391</v>
      </c>
      <c r="AD24" s="260" t="s">
        <v>389</v>
      </c>
      <c r="AE24" s="260" t="s">
        <v>29</v>
      </c>
      <c r="AF24" s="260" t="s">
        <v>645</v>
      </c>
    </row>
    <row r="25" spans="1:32" x14ac:dyDescent="0.3">
      <c r="A25" s="260" t="s">
        <v>26</v>
      </c>
      <c r="B25" s="260" t="s">
        <v>621</v>
      </c>
      <c r="C25" s="260"/>
      <c r="D25" s="260">
        <v>2012</v>
      </c>
      <c r="E25" s="106">
        <v>25000</v>
      </c>
      <c r="F25" s="18">
        <v>29363.135580892762</v>
      </c>
      <c r="G25" s="260">
        <v>150</v>
      </c>
      <c r="H25" s="260"/>
      <c r="I25" s="260" t="s">
        <v>389</v>
      </c>
      <c r="J25" s="260">
        <v>154</v>
      </c>
      <c r="K25" s="9">
        <v>0.62323800000000007</v>
      </c>
      <c r="L25" s="9">
        <v>62.323799999999999</v>
      </c>
      <c r="M25" s="1">
        <v>6.16</v>
      </c>
      <c r="N25" s="9">
        <v>40.113086814347</v>
      </c>
      <c r="O25" s="260"/>
      <c r="P25" s="260"/>
      <c r="Q25" s="260"/>
      <c r="R25" s="260"/>
      <c r="S25" s="260"/>
      <c r="T25" s="260"/>
      <c r="U25" s="260"/>
      <c r="V25" s="260"/>
      <c r="W25" s="260">
        <v>37.736260000000001</v>
      </c>
      <c r="X25" s="260">
        <v>-120.99099</v>
      </c>
      <c r="Y25" s="260" t="s">
        <v>21</v>
      </c>
      <c r="Z25" s="260" t="s">
        <v>426</v>
      </c>
      <c r="AA25" s="260" t="s">
        <v>94</v>
      </c>
      <c r="AB25" s="112">
        <v>0.185</v>
      </c>
      <c r="AC25" s="260" t="s">
        <v>391</v>
      </c>
      <c r="AD25" s="260" t="s">
        <v>625</v>
      </c>
      <c r="AE25" s="260" t="s">
        <v>109</v>
      </c>
      <c r="AF25" s="260" t="s">
        <v>475</v>
      </c>
    </row>
    <row r="26" spans="1:32" x14ac:dyDescent="0.3">
      <c r="A26" s="11" t="s">
        <v>3</v>
      </c>
      <c r="B26" s="11" t="s">
        <v>45</v>
      </c>
      <c r="C26" s="11"/>
      <c r="D26" s="260">
        <v>2008</v>
      </c>
      <c r="E26" s="42">
        <v>474.81</v>
      </c>
      <c r="F26" s="94">
        <v>633</v>
      </c>
      <c r="G26" s="260">
        <v>4</v>
      </c>
      <c r="H26" s="260">
        <v>3332</v>
      </c>
      <c r="I26" s="260" t="s">
        <v>8</v>
      </c>
      <c r="J26" s="260">
        <v>5.3470000000000004</v>
      </c>
      <c r="K26" s="9">
        <v>2.1639309000000002E-2</v>
      </c>
      <c r="L26" s="9">
        <v>2.1638541277740004</v>
      </c>
      <c r="M26" s="1">
        <v>11.261346643920726</v>
      </c>
      <c r="N26" s="1">
        <v>21.942013028234864</v>
      </c>
      <c r="O26" s="260">
        <v>3.34</v>
      </c>
      <c r="P26" s="1">
        <v>1.351698E-2</v>
      </c>
      <c r="Q26" s="1">
        <v>1.3516500442799999</v>
      </c>
      <c r="R26" s="1">
        <v>7.0343927044502008</v>
      </c>
      <c r="S26" s="1">
        <v>35.12692924011133</v>
      </c>
      <c r="T26" s="1">
        <v>0.38182151365218986</v>
      </c>
      <c r="U26" s="1">
        <v>2.6190247648301015</v>
      </c>
      <c r="V26" s="1">
        <v>2.6858824700370971</v>
      </c>
      <c r="W26" s="260">
        <v>39.821038000000001</v>
      </c>
      <c r="X26" s="260">
        <v>-105.22041</v>
      </c>
      <c r="Y26" s="260" t="s">
        <v>21</v>
      </c>
      <c r="Z26" s="260" t="s">
        <v>776</v>
      </c>
      <c r="AA26" s="260" t="s">
        <v>96</v>
      </c>
      <c r="AB26" s="15">
        <v>0.16400000000000001</v>
      </c>
      <c r="AC26" s="15" t="s">
        <v>66</v>
      </c>
      <c r="AD26" s="15" t="s">
        <v>75</v>
      </c>
      <c r="AE26" s="260" t="s">
        <v>29</v>
      </c>
      <c r="AF26" s="260" t="s">
        <v>34</v>
      </c>
    </row>
    <row r="27" spans="1:32" x14ac:dyDescent="0.3">
      <c r="A27" s="11" t="s">
        <v>3</v>
      </c>
      <c r="B27" s="260" t="s">
        <v>38</v>
      </c>
      <c r="C27" s="260"/>
      <c r="D27" s="260">
        <v>2008</v>
      </c>
      <c r="E27" s="42">
        <v>446.88</v>
      </c>
      <c r="F27" s="94">
        <v>596</v>
      </c>
      <c r="G27" s="260"/>
      <c r="H27" s="260">
        <v>3136</v>
      </c>
      <c r="I27" s="260" t="s">
        <v>8</v>
      </c>
      <c r="J27" s="260">
        <v>4.91</v>
      </c>
      <c r="K27" s="9">
        <v>1.9870770000000003E-2</v>
      </c>
      <c r="L27" s="9">
        <v>1.9870065022200001</v>
      </c>
      <c r="M27" s="1">
        <v>10.987289652703186</v>
      </c>
      <c r="N27" s="1">
        <v>22.489314706979144</v>
      </c>
      <c r="O27" s="260">
        <v>4.22</v>
      </c>
      <c r="P27" s="1">
        <v>1.7078340000000001E-2</v>
      </c>
      <c r="Q27" s="1">
        <v>1.7077734092399999</v>
      </c>
      <c r="R27" s="1">
        <v>9.4432509846043668</v>
      </c>
      <c r="S27" s="1">
        <v>26.166477538215069</v>
      </c>
      <c r="T27" s="1">
        <v>0.33333333333333337</v>
      </c>
      <c r="U27" s="1">
        <v>2.9999999999999996</v>
      </c>
      <c r="V27" s="1">
        <v>3.1477503282014561</v>
      </c>
      <c r="W27" s="260">
        <v>37.460360999999999</v>
      </c>
      <c r="X27" s="260">
        <v>-105.852617</v>
      </c>
      <c r="Y27" s="260" t="s">
        <v>21</v>
      </c>
      <c r="Z27" s="260" t="s">
        <v>776</v>
      </c>
      <c r="AA27" s="260" t="s">
        <v>94</v>
      </c>
      <c r="AB27" s="15">
        <v>0.161</v>
      </c>
      <c r="AC27" s="15" t="s">
        <v>66</v>
      </c>
      <c r="AD27" s="15" t="s">
        <v>69</v>
      </c>
      <c r="AE27" s="260" t="s">
        <v>29</v>
      </c>
      <c r="AF27" s="260" t="s">
        <v>39</v>
      </c>
    </row>
    <row r="28" spans="1:32" x14ac:dyDescent="0.3">
      <c r="A28" s="11" t="s">
        <v>3</v>
      </c>
      <c r="B28" s="260" t="s">
        <v>31</v>
      </c>
      <c r="C28" s="260"/>
      <c r="D28" s="260">
        <v>2008</v>
      </c>
      <c r="E28" s="42">
        <v>657.87</v>
      </c>
      <c r="F28" s="94">
        <v>720.72</v>
      </c>
      <c r="G28" s="260"/>
      <c r="H28" s="260">
        <v>3696</v>
      </c>
      <c r="I28" s="260" t="s">
        <v>8</v>
      </c>
      <c r="J28" s="1">
        <v>5.38</v>
      </c>
      <c r="K28" s="1">
        <v>2.1772860000000002E-2</v>
      </c>
      <c r="L28" s="9">
        <v>2.17720875396</v>
      </c>
      <c r="M28" s="1">
        <v>8.1779074893215995</v>
      </c>
      <c r="N28" s="1">
        <v>30.215139398315145</v>
      </c>
      <c r="O28" s="1">
        <v>3.04</v>
      </c>
      <c r="P28" s="1">
        <v>1.230288E-2</v>
      </c>
      <c r="Q28" s="1">
        <v>1.2302443516800001</v>
      </c>
      <c r="R28" s="1">
        <v>4.6209737486129479</v>
      </c>
      <c r="S28" s="1">
        <v>53.47284538254457</v>
      </c>
      <c r="T28" s="1">
        <v>0.39444444444444449</v>
      </c>
      <c r="U28" s="1">
        <v>2.5352112676056335</v>
      </c>
      <c r="V28" s="1">
        <v>1.8227174230639962</v>
      </c>
      <c r="W28" s="260">
        <v>39.744937999999998</v>
      </c>
      <c r="X28" s="260">
        <v>-105.176754</v>
      </c>
      <c r="Y28" s="260" t="s">
        <v>21</v>
      </c>
      <c r="Z28" s="260" t="s">
        <v>776</v>
      </c>
      <c r="AA28" s="260" t="s">
        <v>95</v>
      </c>
      <c r="AB28" s="15">
        <v>0.161</v>
      </c>
      <c r="AC28" s="15" t="s">
        <v>66</v>
      </c>
      <c r="AD28" s="15" t="s">
        <v>69</v>
      </c>
      <c r="AE28" s="260" t="s">
        <v>29</v>
      </c>
      <c r="AF28" s="260" t="s">
        <v>19</v>
      </c>
    </row>
    <row r="29" spans="1:32" x14ac:dyDescent="0.3">
      <c r="A29" s="11" t="s">
        <v>148</v>
      </c>
      <c r="B29" s="11" t="s">
        <v>568</v>
      </c>
      <c r="C29" s="11"/>
      <c r="D29" s="260">
        <v>2012</v>
      </c>
      <c r="E29" s="75">
        <v>51084.462552292374</v>
      </c>
      <c r="F29" s="75">
        <v>60000</v>
      </c>
      <c r="G29" s="260"/>
      <c r="H29" s="260"/>
      <c r="I29" s="260" t="s">
        <v>567</v>
      </c>
      <c r="J29" s="74">
        <v>360</v>
      </c>
      <c r="K29" s="9">
        <v>1.45692</v>
      </c>
      <c r="L29" s="9">
        <v>145.69200000000001</v>
      </c>
      <c r="M29" s="1">
        <v>7.0471525394142631</v>
      </c>
      <c r="N29" s="1">
        <v>35.063327123172428</v>
      </c>
      <c r="O29" s="11"/>
      <c r="P29" s="1"/>
      <c r="Q29" s="1"/>
      <c r="R29" s="1"/>
      <c r="S29" s="1"/>
      <c r="T29" s="11"/>
      <c r="U29" s="11"/>
      <c r="V29" s="11"/>
      <c r="W29" s="11">
        <v>28.837299999999999</v>
      </c>
      <c r="X29" s="11">
        <v>-81.561999999999998</v>
      </c>
      <c r="Y29" s="260" t="s">
        <v>91</v>
      </c>
      <c r="Z29" s="260"/>
      <c r="AA29" s="11"/>
      <c r="AB29" s="15">
        <v>0.158</v>
      </c>
      <c r="AC29" s="11" t="s">
        <v>391</v>
      </c>
      <c r="AD29" s="260" t="s">
        <v>569</v>
      </c>
      <c r="AE29" s="73" t="s">
        <v>24</v>
      </c>
      <c r="AF29" s="260" t="s">
        <v>157</v>
      </c>
    </row>
    <row r="30" spans="1:32" x14ac:dyDescent="0.3">
      <c r="A30" s="260" t="s">
        <v>148</v>
      </c>
      <c r="B30" s="260" t="s">
        <v>609</v>
      </c>
      <c r="C30" s="260"/>
      <c r="D30" s="260">
        <v>2012</v>
      </c>
      <c r="E30" s="18">
        <v>6811.2616736389828</v>
      </c>
      <c r="F30" s="260">
        <v>8000</v>
      </c>
      <c r="G30" s="260"/>
      <c r="H30" s="260"/>
      <c r="I30" s="260" t="s">
        <v>567</v>
      </c>
      <c r="J30" s="260">
        <v>24</v>
      </c>
      <c r="K30" s="1">
        <v>9.7128000000000006E-2</v>
      </c>
      <c r="L30" s="9">
        <v>9.7124554080000003</v>
      </c>
      <c r="M30" s="1">
        <v>3.5235762697071316</v>
      </c>
      <c r="N30" s="1">
        <v>70.126654246344842</v>
      </c>
      <c r="O30" s="260"/>
      <c r="P30" s="1"/>
      <c r="Q30" s="1"/>
      <c r="R30" s="1"/>
      <c r="S30" s="1"/>
      <c r="T30" s="260"/>
      <c r="U30" s="260"/>
      <c r="V30" s="260"/>
      <c r="W30" s="260">
        <v>28.768840000000001</v>
      </c>
      <c r="X30" s="260">
        <v>-81.348789999999994</v>
      </c>
      <c r="Y30" s="260" t="s">
        <v>203</v>
      </c>
      <c r="Z30" s="260"/>
      <c r="AA30" s="260"/>
      <c r="AB30" s="15">
        <v>0.158</v>
      </c>
      <c r="AC30" s="260" t="s">
        <v>391</v>
      </c>
      <c r="AD30" s="260" t="s">
        <v>610</v>
      </c>
      <c r="AE30" s="260" t="s">
        <v>109</v>
      </c>
      <c r="AF30" s="260" t="s">
        <v>611</v>
      </c>
    </row>
    <row r="31" spans="1:32" x14ac:dyDescent="0.3">
      <c r="A31" s="11" t="s">
        <v>47</v>
      </c>
      <c r="B31" s="11" t="s">
        <v>414</v>
      </c>
      <c r="C31" s="11"/>
      <c r="D31" s="260">
        <v>2010</v>
      </c>
      <c r="E31" s="18">
        <v>1873.0969602507203</v>
      </c>
      <c r="F31" s="94">
        <v>2200</v>
      </c>
      <c r="G31" s="260"/>
      <c r="H31" s="260">
        <v>10276</v>
      </c>
      <c r="I31" s="260" t="s">
        <v>415</v>
      </c>
      <c r="J31" s="74">
        <v>17</v>
      </c>
      <c r="K31" s="9">
        <v>6.8798999999999999E-2</v>
      </c>
      <c r="L31" s="9">
        <v>6.8796559140000006</v>
      </c>
      <c r="M31" s="1">
        <v>9.0758782704577623</v>
      </c>
      <c r="N31" s="1">
        <v>27.225642236816238</v>
      </c>
      <c r="O31" s="260">
        <v>12</v>
      </c>
      <c r="P31" s="1">
        <v>4.8564000000000003E-2</v>
      </c>
      <c r="Q31" s="1">
        <v>4.8562277040000001</v>
      </c>
      <c r="R31" s="1">
        <v>6.4065023085584203</v>
      </c>
      <c r="S31" s="1">
        <v>38.569659835489666</v>
      </c>
      <c r="T31" s="1">
        <v>0.32400000000000001</v>
      </c>
      <c r="U31" s="1">
        <v>3.0864197530864197</v>
      </c>
      <c r="V31" s="1">
        <v>2.0757067479729283</v>
      </c>
      <c r="W31" s="260">
        <v>35.813828999999998</v>
      </c>
      <c r="X31" s="260">
        <v>-78.750386000000006</v>
      </c>
      <c r="Y31" s="260" t="s">
        <v>21</v>
      </c>
      <c r="Z31" s="260" t="s">
        <v>776</v>
      </c>
      <c r="AA31" s="11" t="s">
        <v>95</v>
      </c>
      <c r="AB31" s="111">
        <v>0.1547</v>
      </c>
      <c r="AC31" s="260" t="s">
        <v>603</v>
      </c>
      <c r="AD31" s="260" t="s">
        <v>416</v>
      </c>
      <c r="AE31" s="260" t="s">
        <v>29</v>
      </c>
      <c r="AF31" s="260" t="s">
        <v>417</v>
      </c>
    </row>
    <row r="32" spans="1:32" x14ac:dyDescent="0.3">
      <c r="A32" s="260" t="s">
        <v>491</v>
      </c>
      <c r="B32" s="260" t="s">
        <v>700</v>
      </c>
      <c r="C32" s="260"/>
      <c r="D32" s="260">
        <v>2011</v>
      </c>
      <c r="E32" s="108">
        <v>5000</v>
      </c>
      <c r="F32" s="98">
        <v>5742</v>
      </c>
      <c r="G32" s="260">
        <v>30</v>
      </c>
      <c r="H32" s="260">
        <v>24000</v>
      </c>
      <c r="I32" s="260" t="s">
        <v>701</v>
      </c>
      <c r="J32" s="260">
        <v>15</v>
      </c>
      <c r="K32" s="9">
        <v>6.0705000000000002E-2</v>
      </c>
      <c r="L32" s="9">
        <v>6.0702846299999997</v>
      </c>
      <c r="M32" s="1">
        <v>3</v>
      </c>
      <c r="N32" s="9">
        <v>82.365538258792512</v>
      </c>
      <c r="O32" s="260">
        <v>11.16</v>
      </c>
      <c r="P32" s="1">
        <v>4.5164520000000007E-2</v>
      </c>
      <c r="Q32" s="1">
        <v>4.5164520000000001</v>
      </c>
      <c r="R32" s="1">
        <v>2.2320000000000002</v>
      </c>
      <c r="S32" s="1">
        <v>110.70636862740929</v>
      </c>
      <c r="T32" s="260">
        <v>0.92</v>
      </c>
      <c r="U32" s="1">
        <v>1.0869565217391304</v>
      </c>
      <c r="V32" s="1">
        <v>2.0534400000000002</v>
      </c>
      <c r="W32" s="260">
        <v>42.145809999999997</v>
      </c>
      <c r="X32" s="260">
        <v>-71.132459999999995</v>
      </c>
      <c r="Y32" s="260" t="s">
        <v>91</v>
      </c>
      <c r="Z32" s="260" t="s">
        <v>781</v>
      </c>
      <c r="AA32" s="260"/>
      <c r="AB32" s="15">
        <v>0.14899999999999999</v>
      </c>
      <c r="AC32" s="260" t="s">
        <v>399</v>
      </c>
      <c r="AD32" s="260" t="s">
        <v>703</v>
      </c>
      <c r="AE32" s="260" t="s">
        <v>29</v>
      </c>
      <c r="AF32" s="260" t="s">
        <v>694</v>
      </c>
    </row>
    <row r="33" spans="1:32" x14ac:dyDescent="0.3">
      <c r="A33" s="260" t="s">
        <v>26</v>
      </c>
      <c r="B33" s="260" t="s">
        <v>690</v>
      </c>
      <c r="C33" s="260"/>
      <c r="D33" s="260">
        <v>2015</v>
      </c>
      <c r="E33" s="108">
        <v>23000</v>
      </c>
      <c r="F33" s="98">
        <v>28700</v>
      </c>
      <c r="G33" s="260"/>
      <c r="H33" s="260">
        <v>100000</v>
      </c>
      <c r="I33" s="260" t="s">
        <v>682</v>
      </c>
      <c r="J33" s="260">
        <v>123</v>
      </c>
      <c r="K33" s="9">
        <v>0.49778100000000003</v>
      </c>
      <c r="L33" s="9">
        <v>49.778100000000002</v>
      </c>
      <c r="M33" s="1">
        <v>5.3478260869565215</v>
      </c>
      <c r="N33" s="9">
        <v>46.205058047615317</v>
      </c>
      <c r="O33" s="260"/>
      <c r="P33" s="260"/>
      <c r="Q33" s="260"/>
      <c r="R33" s="260"/>
      <c r="S33" s="260"/>
      <c r="T33" s="260"/>
      <c r="U33" s="260"/>
      <c r="V33" s="260"/>
      <c r="W33" s="260">
        <v>33.245399999999997</v>
      </c>
      <c r="X33" s="260">
        <v>-115.4982</v>
      </c>
      <c r="Y33" s="260" t="s">
        <v>203</v>
      </c>
      <c r="Z33" s="260"/>
      <c r="AA33" s="260"/>
      <c r="AB33" s="15">
        <v>0.14899999999999999</v>
      </c>
      <c r="AC33" s="260" t="s">
        <v>399</v>
      </c>
      <c r="AD33" s="107" t="s">
        <v>689</v>
      </c>
      <c r="AE33" s="260" t="s">
        <v>24</v>
      </c>
      <c r="AF33" s="260"/>
    </row>
    <row r="34" spans="1:32" x14ac:dyDescent="0.3">
      <c r="A34" s="11" t="s">
        <v>26</v>
      </c>
      <c r="B34" s="11" t="s">
        <v>49</v>
      </c>
      <c r="C34" s="11"/>
      <c r="D34" s="260">
        <v>2008</v>
      </c>
      <c r="E34" s="42">
        <v>917.91300000000001</v>
      </c>
      <c r="F34" s="94">
        <v>1088.96</v>
      </c>
      <c r="G34" s="260"/>
      <c r="H34" s="260">
        <v>5312</v>
      </c>
      <c r="I34" s="260" t="s">
        <v>8</v>
      </c>
      <c r="J34" s="260">
        <v>7.95</v>
      </c>
      <c r="K34" s="9">
        <v>3.2173650000000005E-2</v>
      </c>
      <c r="L34" s="9">
        <v>3.2172508539</v>
      </c>
      <c r="M34" s="1">
        <v>8.6609515280859952</v>
      </c>
      <c r="N34" s="1">
        <v>28.529961630091702</v>
      </c>
      <c r="O34" s="260">
        <v>6.08</v>
      </c>
      <c r="P34" s="1">
        <v>2.4605760000000001E-2</v>
      </c>
      <c r="Q34" s="1">
        <v>2.4604887033600003</v>
      </c>
      <c r="R34" s="1">
        <v>6.6237214202217425</v>
      </c>
      <c r="S34" s="1">
        <v>37.304801802504777</v>
      </c>
      <c r="T34" s="1">
        <v>0.37963021289005539</v>
      </c>
      <c r="U34" s="1">
        <v>2.6341422943847985</v>
      </c>
      <c r="V34" s="1">
        <v>2.5145647728832001</v>
      </c>
      <c r="W34" s="260">
        <v>38.231990000000003</v>
      </c>
      <c r="X34" s="260">
        <v>-122.092904</v>
      </c>
      <c r="Y34" s="260" t="s">
        <v>21</v>
      </c>
      <c r="Z34" s="260" t="s">
        <v>776</v>
      </c>
      <c r="AA34" s="260" t="s">
        <v>94</v>
      </c>
      <c r="AB34" s="15">
        <v>0.14799999999999999</v>
      </c>
      <c r="AC34" s="15" t="s">
        <v>399</v>
      </c>
      <c r="AD34" s="15" t="s">
        <v>78</v>
      </c>
      <c r="AE34" s="260" t="s">
        <v>29</v>
      </c>
      <c r="AF34" s="260" t="s">
        <v>34</v>
      </c>
    </row>
    <row r="35" spans="1:32" x14ac:dyDescent="0.3">
      <c r="A35" s="11" t="s">
        <v>26</v>
      </c>
      <c r="B35" s="11" t="s">
        <v>52</v>
      </c>
      <c r="C35" s="11"/>
      <c r="D35" s="260">
        <v>2009</v>
      </c>
      <c r="E35" s="42">
        <v>924.13400000000001</v>
      </c>
      <c r="F35" s="94">
        <v>1102.08</v>
      </c>
      <c r="G35" s="260"/>
      <c r="H35" s="260">
        <v>5376</v>
      </c>
      <c r="I35" s="260" t="s">
        <v>33</v>
      </c>
      <c r="J35" s="260">
        <v>9</v>
      </c>
      <c r="K35" s="9">
        <v>3.6423000000000004E-2</v>
      </c>
      <c r="L35" s="9">
        <v>3.6421707780000001</v>
      </c>
      <c r="M35" s="1">
        <v>9.7388473965896711</v>
      </c>
      <c r="N35" s="1">
        <v>25.372264777750321</v>
      </c>
      <c r="O35" s="260">
        <v>6.5339999999999998</v>
      </c>
      <c r="P35" s="1">
        <v>2.6443098000000002E-2</v>
      </c>
      <c r="Q35" s="1">
        <v>2.644215984828</v>
      </c>
      <c r="R35" s="1">
        <v>7.0704032099241019</v>
      </c>
      <c r="S35" s="1">
        <v>34.948023109848926</v>
      </c>
      <c r="T35" s="1">
        <v>0.34265793410404016</v>
      </c>
      <c r="U35" s="1">
        <v>2.918362309674035</v>
      </c>
      <c r="V35" s="1">
        <v>2.4227297571951669</v>
      </c>
      <c r="W35" s="260">
        <v>34.594321000000001</v>
      </c>
      <c r="X35" s="260">
        <v>-117.19450999999999</v>
      </c>
      <c r="Y35" s="260" t="s">
        <v>21</v>
      </c>
      <c r="Z35" s="260" t="s">
        <v>776</v>
      </c>
      <c r="AA35" s="260" t="s">
        <v>94</v>
      </c>
      <c r="AB35" s="15">
        <v>0.14799999999999999</v>
      </c>
      <c r="AC35" s="15" t="s">
        <v>399</v>
      </c>
      <c r="AD35" s="15" t="s">
        <v>78</v>
      </c>
      <c r="AE35" s="260" t="s">
        <v>29</v>
      </c>
      <c r="AF35" s="260" t="s">
        <v>53</v>
      </c>
    </row>
    <row r="36" spans="1:32" x14ac:dyDescent="0.3">
      <c r="A36" s="260" t="s">
        <v>26</v>
      </c>
      <c r="B36" s="260" t="s">
        <v>652</v>
      </c>
      <c r="C36" s="260"/>
      <c r="D36" s="260">
        <v>2011</v>
      </c>
      <c r="E36" s="108">
        <v>9400</v>
      </c>
      <c r="F36" s="98">
        <v>12000</v>
      </c>
      <c r="G36" s="260"/>
      <c r="H36" s="260"/>
      <c r="I36" s="260" t="s">
        <v>167</v>
      </c>
      <c r="J36" s="260">
        <v>73.849999999999994</v>
      </c>
      <c r="K36" s="9">
        <v>0.29887094999999997</v>
      </c>
      <c r="L36" s="9">
        <v>29.886034661699998</v>
      </c>
      <c r="M36" s="1">
        <v>7.8563829787234036</v>
      </c>
      <c r="N36" s="9">
        <v>31.451701813106965</v>
      </c>
      <c r="O36" s="260">
        <v>55.127000000000002</v>
      </c>
      <c r="P36" s="1">
        <v>0.22309896900000004</v>
      </c>
      <c r="Q36" s="1">
        <v>22.309896900000002</v>
      </c>
      <c r="R36" s="1">
        <v>5.8645744680851069</v>
      </c>
      <c r="S36" s="1">
        <v>42.133767099569155</v>
      </c>
      <c r="T36" s="260">
        <v>0.45944000000000002</v>
      </c>
      <c r="U36" s="1">
        <v>2.1765627720703464</v>
      </c>
      <c r="V36" s="1">
        <v>2.6944200936170217</v>
      </c>
      <c r="W36" s="260">
        <v>38.464930000000003</v>
      </c>
      <c r="X36" s="260">
        <v>-121.17901000000001</v>
      </c>
      <c r="Y36" s="260" t="s">
        <v>21</v>
      </c>
      <c r="Z36" s="260" t="s">
        <v>776</v>
      </c>
      <c r="AA36" s="260" t="s">
        <v>95</v>
      </c>
      <c r="AB36" s="15">
        <v>0.14699999999999999</v>
      </c>
      <c r="AC36" s="260" t="s">
        <v>399</v>
      </c>
      <c r="AD36" s="260" t="s">
        <v>649</v>
      </c>
      <c r="AE36" s="260" t="s">
        <v>29</v>
      </c>
      <c r="AF36" s="260" t="s">
        <v>475</v>
      </c>
    </row>
    <row r="37" spans="1:32" x14ac:dyDescent="0.3">
      <c r="A37" s="260" t="s">
        <v>26</v>
      </c>
      <c r="B37" s="260" t="s">
        <v>646</v>
      </c>
      <c r="C37" s="260"/>
      <c r="D37" s="260">
        <v>2011</v>
      </c>
      <c r="E37" s="108">
        <v>15000</v>
      </c>
      <c r="F37" s="98">
        <v>16438.8</v>
      </c>
      <c r="G37" s="260"/>
      <c r="H37" s="260">
        <v>58710</v>
      </c>
      <c r="I37" s="260" t="s">
        <v>167</v>
      </c>
      <c r="J37" s="260">
        <v>119.67</v>
      </c>
      <c r="K37" s="260">
        <v>0.48430449000000003</v>
      </c>
      <c r="L37" s="9">
        <v>48.42873077814</v>
      </c>
      <c r="M37" s="1">
        <v>7.9779999999999998</v>
      </c>
      <c r="N37" s="260">
        <v>30.972250536021253</v>
      </c>
      <c r="O37" s="260">
        <v>84.744</v>
      </c>
      <c r="P37" s="1">
        <v>0.34295896800000003</v>
      </c>
      <c r="Q37" s="1">
        <v>34.295896800000001</v>
      </c>
      <c r="R37" s="1">
        <v>5.6496000000000004</v>
      </c>
      <c r="S37" s="1">
        <v>43.737010545238164</v>
      </c>
      <c r="T37" s="260">
        <v>0.35339999999999999</v>
      </c>
      <c r="U37" s="1">
        <v>2.8296547821165818</v>
      </c>
      <c r="V37" s="1">
        <v>1.99656864</v>
      </c>
      <c r="W37" s="260">
        <v>38.347709999999999</v>
      </c>
      <c r="X37" s="260">
        <v>-121.41285000000001</v>
      </c>
      <c r="Y37" s="260" t="s">
        <v>21</v>
      </c>
      <c r="Z37" s="260" t="s">
        <v>776</v>
      </c>
      <c r="AA37" s="260" t="s">
        <v>94</v>
      </c>
      <c r="AB37" s="15">
        <v>0.14699999999999999</v>
      </c>
      <c r="AC37" s="260" t="s">
        <v>399</v>
      </c>
      <c r="AD37" s="260" t="s">
        <v>649</v>
      </c>
      <c r="AE37" s="260" t="s">
        <v>29</v>
      </c>
      <c r="AF37" s="260" t="s">
        <v>641</v>
      </c>
    </row>
    <row r="38" spans="1:32" x14ac:dyDescent="0.3">
      <c r="A38" s="260" t="s">
        <v>26</v>
      </c>
      <c r="B38" s="260" t="s">
        <v>651</v>
      </c>
      <c r="C38" s="260"/>
      <c r="D38" s="260">
        <v>2011</v>
      </c>
      <c r="E38" s="108">
        <v>15000</v>
      </c>
      <c r="F38" s="98">
        <v>16609</v>
      </c>
      <c r="G38" s="260"/>
      <c r="H38" s="260">
        <v>59318</v>
      </c>
      <c r="I38" s="260" t="s">
        <v>167</v>
      </c>
      <c r="J38" s="260">
        <v>116.61</v>
      </c>
      <c r="K38" s="9">
        <v>0.47192067000000004</v>
      </c>
      <c r="L38" s="9">
        <v>47.19039271362</v>
      </c>
      <c r="M38" s="1">
        <v>7.774</v>
      </c>
      <c r="N38" s="9">
        <v>31.785003187082268</v>
      </c>
      <c r="O38" s="260">
        <v>100.38</v>
      </c>
      <c r="P38" s="1">
        <v>0.40623786000000001</v>
      </c>
      <c r="Q38" s="1">
        <v>40.623785999999996</v>
      </c>
      <c r="R38" s="1">
        <v>6.6919999999999993</v>
      </c>
      <c r="S38" s="1">
        <v>36.92418033119808</v>
      </c>
      <c r="T38" s="260">
        <v>0.50570000000000004</v>
      </c>
      <c r="U38" s="1">
        <v>1.9774569903104606</v>
      </c>
      <c r="V38" s="1">
        <v>3.3841443999999998</v>
      </c>
      <c r="W38" s="260">
        <v>38.365569999999998</v>
      </c>
      <c r="X38" s="260">
        <v>-121.41294000000001</v>
      </c>
      <c r="Y38" s="260" t="s">
        <v>21</v>
      </c>
      <c r="Z38" s="260" t="s">
        <v>899</v>
      </c>
      <c r="AA38" s="260" t="s">
        <v>96</v>
      </c>
      <c r="AB38" s="15">
        <v>0.14699999999999999</v>
      </c>
      <c r="AC38" s="260" t="s">
        <v>399</v>
      </c>
      <c r="AD38" s="260" t="s">
        <v>649</v>
      </c>
      <c r="AE38" s="260" t="s">
        <v>29</v>
      </c>
      <c r="AF38" s="260" t="s">
        <v>641</v>
      </c>
    </row>
    <row r="39" spans="1:32" x14ac:dyDescent="0.3">
      <c r="A39" s="11" t="s">
        <v>190</v>
      </c>
      <c r="B39" s="11" t="s">
        <v>551</v>
      </c>
      <c r="C39" s="11"/>
      <c r="D39" s="260">
        <v>2012</v>
      </c>
      <c r="E39" s="42">
        <v>30000</v>
      </c>
      <c r="F39" s="94">
        <v>34290</v>
      </c>
      <c r="G39" s="260"/>
      <c r="H39" s="260">
        <v>127000</v>
      </c>
      <c r="I39" s="260" t="s">
        <v>552</v>
      </c>
      <c r="J39" s="74">
        <v>380</v>
      </c>
      <c r="K39" s="9">
        <v>1.53786</v>
      </c>
      <c r="L39" s="9">
        <v>153.786</v>
      </c>
      <c r="M39" s="1">
        <v>12.666666666666666</v>
      </c>
      <c r="N39" s="1">
        <v>19.507627482345598</v>
      </c>
      <c r="O39" s="260" t="s">
        <v>598</v>
      </c>
      <c r="P39" s="25"/>
      <c r="Q39" s="25"/>
      <c r="R39" s="25"/>
      <c r="S39" s="25"/>
      <c r="T39" s="11"/>
      <c r="U39" s="11"/>
      <c r="V39" s="11"/>
      <c r="W39" s="11">
        <v>30.27187</v>
      </c>
      <c r="X39" s="11">
        <v>-97.499300000000005</v>
      </c>
      <c r="Y39" s="260" t="s">
        <v>203</v>
      </c>
      <c r="Z39" s="260"/>
      <c r="AA39" s="11"/>
      <c r="AB39" s="15">
        <v>0.14699999999999999</v>
      </c>
      <c r="AC39" s="11" t="s">
        <v>399</v>
      </c>
      <c r="AD39" s="260" t="s">
        <v>550</v>
      </c>
      <c r="AE39" s="260" t="s">
        <v>29</v>
      </c>
      <c r="AF39" s="260" t="s">
        <v>157</v>
      </c>
    </row>
    <row r="40" spans="1:32" x14ac:dyDescent="0.3">
      <c r="A40" s="260" t="s">
        <v>171</v>
      </c>
      <c r="B40" s="260" t="s">
        <v>618</v>
      </c>
      <c r="C40" s="260"/>
      <c r="D40" s="260">
        <v>2012</v>
      </c>
      <c r="E40" s="18">
        <v>5193.5870261497248</v>
      </c>
      <c r="F40" s="260">
        <v>6100</v>
      </c>
      <c r="G40" s="260"/>
      <c r="H40" s="260">
        <v>24000</v>
      </c>
      <c r="I40" s="260" t="s">
        <v>619</v>
      </c>
      <c r="J40" s="260">
        <v>30</v>
      </c>
      <c r="K40" s="9">
        <v>0.12141</v>
      </c>
      <c r="L40" s="9">
        <v>12.140569259999999</v>
      </c>
      <c r="M40" s="1">
        <v>5.7763545405034931</v>
      </c>
      <c r="N40" s="1">
        <v>42.777259090270363</v>
      </c>
      <c r="O40" s="260"/>
      <c r="P40" s="260"/>
      <c r="Q40" s="260"/>
      <c r="R40" s="260"/>
      <c r="S40" s="260"/>
      <c r="T40" s="260"/>
      <c r="U40" s="260"/>
      <c r="V40" s="260"/>
      <c r="W40" s="260">
        <v>40.300800000000002</v>
      </c>
      <c r="X40" s="260">
        <v>-74.719300000000004</v>
      </c>
      <c r="Y40" s="260" t="s">
        <v>21</v>
      </c>
      <c r="Z40" s="260"/>
      <c r="AA40" s="260"/>
      <c r="AB40" s="15">
        <v>0.14610000000000001</v>
      </c>
      <c r="AC40" s="260"/>
      <c r="AD40" s="260" t="s">
        <v>620</v>
      </c>
      <c r="AE40" s="260" t="s">
        <v>29</v>
      </c>
      <c r="AF40" s="260" t="s">
        <v>611</v>
      </c>
    </row>
    <row r="41" spans="1:32" x14ac:dyDescent="0.3">
      <c r="A41" s="11" t="s">
        <v>491</v>
      </c>
      <c r="B41" s="11" t="s">
        <v>523</v>
      </c>
      <c r="C41" s="11"/>
      <c r="D41" s="260">
        <v>2011</v>
      </c>
      <c r="E41" s="18">
        <v>1702.8154184097457</v>
      </c>
      <c r="F41" s="75">
        <v>2000</v>
      </c>
      <c r="G41" s="260"/>
      <c r="H41" s="260">
        <v>8332</v>
      </c>
      <c r="I41" s="260" t="s">
        <v>524</v>
      </c>
      <c r="J41" s="74">
        <v>9.17</v>
      </c>
      <c r="K41" s="9">
        <v>3.7110990000000003E-2</v>
      </c>
      <c r="L41" s="9">
        <v>3.71096733714</v>
      </c>
      <c r="M41" s="1">
        <v>5.3851990655357325</v>
      </c>
      <c r="N41" s="1">
        <v>45.884397543955188</v>
      </c>
      <c r="O41" s="11">
        <v>8</v>
      </c>
      <c r="P41" s="1">
        <v>3.2376000000000002E-2</v>
      </c>
      <c r="Q41" s="1">
        <v>3.2376</v>
      </c>
      <c r="R41" s="1">
        <v>4.6981016929428421</v>
      </c>
      <c r="S41" s="1">
        <v>52.594990684758635</v>
      </c>
      <c r="T41" s="260">
        <v>0.40860000000000002</v>
      </c>
      <c r="U41" s="1">
        <v>2.4473813020068524</v>
      </c>
      <c r="V41" s="1">
        <v>1.9196443517364454</v>
      </c>
      <c r="W41" s="260">
        <v>42.114750000000001</v>
      </c>
      <c r="X41" s="260">
        <v>-73.405109999999993</v>
      </c>
      <c r="Y41" s="260" t="s">
        <v>91</v>
      </c>
      <c r="Z41" s="260"/>
      <c r="AA41" s="11" t="s">
        <v>95</v>
      </c>
      <c r="AB41" s="15">
        <v>0.14499999999999999</v>
      </c>
      <c r="AC41" s="11" t="s">
        <v>391</v>
      </c>
      <c r="AD41" s="260" t="s">
        <v>525</v>
      </c>
      <c r="AE41" s="260" t="s">
        <v>29</v>
      </c>
      <c r="AF41" s="260" t="s">
        <v>157</v>
      </c>
    </row>
    <row r="42" spans="1:32" x14ac:dyDescent="0.3">
      <c r="A42" s="11" t="s">
        <v>491</v>
      </c>
      <c r="B42" s="11" t="s">
        <v>588</v>
      </c>
      <c r="C42" s="11"/>
      <c r="D42" s="260">
        <v>2012</v>
      </c>
      <c r="E42" s="18">
        <v>3831.3346914219278</v>
      </c>
      <c r="F42" s="75">
        <v>4500</v>
      </c>
      <c r="G42" s="260">
        <v>19</v>
      </c>
      <c r="H42" s="260">
        <v>18400</v>
      </c>
      <c r="I42" s="260" t="s">
        <v>574</v>
      </c>
      <c r="J42" s="74">
        <v>19</v>
      </c>
      <c r="K42" s="9">
        <v>7.6893000000000003E-2</v>
      </c>
      <c r="L42" s="9">
        <v>7.6890271979999998</v>
      </c>
      <c r="M42" s="1">
        <v>4.9591073425507775</v>
      </c>
      <c r="N42" s="1">
        <v>49.826833280297656</v>
      </c>
      <c r="O42" s="24" t="s">
        <v>909</v>
      </c>
      <c r="P42" s="88"/>
      <c r="Q42" s="88"/>
      <c r="R42" s="88"/>
      <c r="S42" s="88"/>
      <c r="T42" s="260"/>
      <c r="U42" s="11"/>
      <c r="V42" s="11"/>
      <c r="W42" s="260">
        <v>42.189540000000001</v>
      </c>
      <c r="X42" s="260">
        <v>-72.683090000000007</v>
      </c>
      <c r="Y42" s="260" t="s">
        <v>91</v>
      </c>
      <c r="Z42" s="260"/>
      <c r="AA42" s="11" t="s">
        <v>96</v>
      </c>
      <c r="AB42" s="15">
        <v>0.14499999999999999</v>
      </c>
      <c r="AC42" s="11" t="s">
        <v>399</v>
      </c>
      <c r="AD42" s="11" t="s">
        <v>525</v>
      </c>
      <c r="AE42" s="260" t="s">
        <v>60</v>
      </c>
      <c r="AF42" s="11" t="s">
        <v>157</v>
      </c>
    </row>
    <row r="43" spans="1:32" x14ac:dyDescent="0.3">
      <c r="A43" s="11" t="s">
        <v>35</v>
      </c>
      <c r="B43" s="11" t="s">
        <v>395</v>
      </c>
      <c r="C43" s="11"/>
      <c r="D43" s="260">
        <v>2013</v>
      </c>
      <c r="E43" s="42">
        <v>150000</v>
      </c>
      <c r="F43" s="94">
        <v>170000</v>
      </c>
      <c r="G43" s="260">
        <v>337</v>
      </c>
      <c r="H43" s="260">
        <v>800000</v>
      </c>
      <c r="I43" s="260" t="s">
        <v>186</v>
      </c>
      <c r="J43" s="74">
        <v>900</v>
      </c>
      <c r="K43" s="9">
        <v>3.6423000000000001</v>
      </c>
      <c r="L43" s="9">
        <v>364.23</v>
      </c>
      <c r="M43" s="1">
        <v>6</v>
      </c>
      <c r="N43" s="1">
        <v>41.182769129396263</v>
      </c>
      <c r="O43" s="260"/>
      <c r="P43" s="260"/>
      <c r="Q43" s="1"/>
      <c r="R43" s="1"/>
      <c r="S43" s="1"/>
      <c r="T43" s="1"/>
      <c r="U43" s="1"/>
      <c r="V43" s="1"/>
      <c r="W43" s="260"/>
      <c r="X43" s="260"/>
      <c r="Y43" s="260" t="s">
        <v>203</v>
      </c>
      <c r="Z43" s="260"/>
      <c r="AA43" s="11"/>
      <c r="AB43" s="15">
        <v>0.14499999999999999</v>
      </c>
      <c r="AC43" s="260" t="s">
        <v>399</v>
      </c>
      <c r="AD43" s="260" t="s">
        <v>400</v>
      </c>
      <c r="AE43" s="260" t="s">
        <v>109</v>
      </c>
      <c r="AF43" s="260" t="s">
        <v>397</v>
      </c>
    </row>
    <row r="44" spans="1:32" ht="86.4" x14ac:dyDescent="0.3">
      <c r="A44" s="11" t="s">
        <v>476</v>
      </c>
      <c r="B44" s="11" t="s">
        <v>477</v>
      </c>
      <c r="C44" s="11">
        <v>12</v>
      </c>
      <c r="D44" s="260">
        <v>2011</v>
      </c>
      <c r="E44" s="18">
        <v>1004.6610968617499</v>
      </c>
      <c r="F44" s="94">
        <v>1180</v>
      </c>
      <c r="G44" s="260">
        <v>7</v>
      </c>
      <c r="H44" s="260">
        <v>4200</v>
      </c>
      <c r="I44" s="260" t="s">
        <v>478</v>
      </c>
      <c r="J44" s="74">
        <v>4</v>
      </c>
      <c r="K44" s="9">
        <v>1.6188000000000001E-2</v>
      </c>
      <c r="L44" s="9">
        <v>1.618742568</v>
      </c>
      <c r="M44" s="1">
        <v>3.9814421126634252</v>
      </c>
      <c r="N44" s="1">
        <v>62.062089008015192</v>
      </c>
      <c r="O44" s="11">
        <v>2.7</v>
      </c>
      <c r="P44" s="1">
        <v>1.0926900000000002E-2</v>
      </c>
      <c r="Q44" s="1">
        <v>1.0926900000000002</v>
      </c>
      <c r="R44" s="1">
        <v>2.6874734260478124</v>
      </c>
      <c r="S44" s="1">
        <v>91.9438355674299</v>
      </c>
      <c r="T44" s="260"/>
      <c r="U44" s="11"/>
      <c r="V44" s="11"/>
      <c r="W44" s="260">
        <v>21.316091</v>
      </c>
      <c r="X44" s="260">
        <v>-158.10544400000001</v>
      </c>
      <c r="Y44" s="260" t="s">
        <v>91</v>
      </c>
      <c r="Z44" s="260"/>
      <c r="AA44" s="11"/>
      <c r="AB44" s="15">
        <v>0.14430000000000001</v>
      </c>
      <c r="AC44" s="260" t="s">
        <v>399</v>
      </c>
      <c r="AD44" s="83" t="s">
        <v>479</v>
      </c>
      <c r="AE44" s="260" t="s">
        <v>29</v>
      </c>
      <c r="AF44" s="260" t="s">
        <v>157</v>
      </c>
    </row>
    <row r="45" spans="1:32" x14ac:dyDescent="0.3">
      <c r="A45" s="260" t="s">
        <v>26</v>
      </c>
      <c r="B45" s="260" t="s">
        <v>628</v>
      </c>
      <c r="C45" s="260"/>
      <c r="D45" s="260">
        <v>2013</v>
      </c>
      <c r="E45" s="18">
        <v>6811.2616736389828</v>
      </c>
      <c r="F45" s="98">
        <v>8000</v>
      </c>
      <c r="G45" s="260"/>
      <c r="H45" s="260">
        <v>33880</v>
      </c>
      <c r="I45" s="260" t="s">
        <v>629</v>
      </c>
      <c r="J45" s="260">
        <v>36.5</v>
      </c>
      <c r="K45" s="9">
        <v>0.1477155</v>
      </c>
      <c r="L45" s="9">
        <v>14.771025933000001</v>
      </c>
      <c r="M45" s="1">
        <v>5.358772243512929</v>
      </c>
      <c r="N45" s="9">
        <v>46.110676764719905</v>
      </c>
      <c r="O45" s="260"/>
      <c r="P45" s="260"/>
      <c r="Q45" s="260"/>
      <c r="R45" s="260"/>
      <c r="S45" s="260"/>
      <c r="T45" s="260"/>
      <c r="U45" s="260"/>
      <c r="V45" s="260"/>
      <c r="W45" s="260">
        <v>33.885300000000001</v>
      </c>
      <c r="X45" s="260">
        <v>-116.5189</v>
      </c>
      <c r="Y45" s="260" t="s">
        <v>21</v>
      </c>
      <c r="Z45" s="260"/>
      <c r="AA45" s="260"/>
      <c r="AB45" s="15">
        <v>0.14400000000000002</v>
      </c>
      <c r="AC45" s="260"/>
      <c r="AD45" s="260" t="s">
        <v>630</v>
      </c>
      <c r="AE45" s="260" t="s">
        <v>109</v>
      </c>
      <c r="AF45" s="260" t="s">
        <v>611</v>
      </c>
    </row>
    <row r="46" spans="1:32" x14ac:dyDescent="0.3">
      <c r="A46" s="11" t="s">
        <v>26</v>
      </c>
      <c r="B46" s="11" t="s">
        <v>502</v>
      </c>
      <c r="C46" s="11"/>
      <c r="D46" s="260">
        <v>2008</v>
      </c>
      <c r="E46" s="18">
        <v>863.32741713374105</v>
      </c>
      <c r="F46" s="94">
        <v>1014</v>
      </c>
      <c r="G46" s="260">
        <v>8.3000000000000007</v>
      </c>
      <c r="H46" s="260">
        <v>4984</v>
      </c>
      <c r="I46" s="260" t="s">
        <v>503</v>
      </c>
      <c r="J46" s="74">
        <v>10</v>
      </c>
      <c r="K46" s="9">
        <v>4.0470000000000006E-2</v>
      </c>
      <c r="L46" s="9">
        <v>4.0468564200000001</v>
      </c>
      <c r="M46" s="1">
        <v>11.583090958932056</v>
      </c>
      <c r="N46" s="1">
        <v>21.332528221738102</v>
      </c>
      <c r="O46" s="11">
        <v>5.9</v>
      </c>
      <c r="P46" s="1">
        <v>2.3877300000000004E-2</v>
      </c>
      <c r="Q46" s="1">
        <v>2.3877300000000004</v>
      </c>
      <c r="R46" s="1">
        <v>6.8340236657699132</v>
      </c>
      <c r="S46" s="1">
        <v>36.156827494471358</v>
      </c>
      <c r="T46" s="260">
        <v>0.23130000000000001</v>
      </c>
      <c r="U46" s="1">
        <v>4.3233895373973192</v>
      </c>
      <c r="V46" s="1">
        <v>1.580709673892581</v>
      </c>
      <c r="W46" s="260">
        <v>37.966814999999997</v>
      </c>
      <c r="X46" s="260">
        <v>-122.379823</v>
      </c>
      <c r="Y46" s="260" t="s">
        <v>139</v>
      </c>
      <c r="Z46" s="260" t="s">
        <v>504</v>
      </c>
      <c r="AA46" s="11" t="s">
        <v>371</v>
      </c>
      <c r="AB46" s="15">
        <v>0.14399999999999999</v>
      </c>
      <c r="AC46" s="11" t="s">
        <v>399</v>
      </c>
      <c r="AD46" s="260" t="s">
        <v>505</v>
      </c>
      <c r="AE46" s="260" t="s">
        <v>29</v>
      </c>
      <c r="AF46" s="260" t="s">
        <v>506</v>
      </c>
    </row>
    <row r="47" spans="1:32" x14ac:dyDescent="0.3">
      <c r="A47" s="11" t="s">
        <v>47</v>
      </c>
      <c r="B47" s="11" t="s">
        <v>498</v>
      </c>
      <c r="C47" s="11"/>
      <c r="D47" s="260">
        <v>2011</v>
      </c>
      <c r="E47" s="18">
        <v>1111.0870605123591</v>
      </c>
      <c r="F47" s="18">
        <v>1305</v>
      </c>
      <c r="G47" s="260">
        <v>4.3</v>
      </c>
      <c r="H47" s="260">
        <v>4600</v>
      </c>
      <c r="I47" s="260" t="s">
        <v>499</v>
      </c>
      <c r="J47" s="74">
        <v>10</v>
      </c>
      <c r="K47" s="9">
        <v>4.0470000000000006E-2</v>
      </c>
      <c r="L47" s="9">
        <v>4.0468564200000001</v>
      </c>
      <c r="M47" s="1">
        <v>9.0001948140667469</v>
      </c>
      <c r="N47" s="1">
        <v>27.454585137444006</v>
      </c>
      <c r="O47" s="24" t="s">
        <v>598</v>
      </c>
      <c r="P47" s="88"/>
      <c r="Q47" s="88"/>
      <c r="R47" s="88"/>
      <c r="S47" s="88"/>
      <c r="T47" s="260"/>
      <c r="U47" s="11"/>
      <c r="V47" s="11"/>
      <c r="W47" s="260">
        <v>35.720629000000002</v>
      </c>
      <c r="X47" s="260">
        <v>-78.486500000000007</v>
      </c>
      <c r="Y47" s="260" t="s">
        <v>91</v>
      </c>
      <c r="Z47" s="260"/>
      <c r="AA47" s="11"/>
      <c r="AB47" s="15">
        <v>0.14399999999999999</v>
      </c>
      <c r="AC47" s="260" t="s">
        <v>399</v>
      </c>
      <c r="AD47" s="260" t="s">
        <v>500</v>
      </c>
      <c r="AE47" s="260" t="s">
        <v>29</v>
      </c>
      <c r="AF47" s="260" t="s">
        <v>157</v>
      </c>
    </row>
    <row r="48" spans="1:32" x14ac:dyDescent="0.3">
      <c r="A48" s="11" t="s">
        <v>491</v>
      </c>
      <c r="B48" s="11" t="s">
        <v>488</v>
      </c>
      <c r="C48" s="11"/>
      <c r="D48" s="260">
        <v>2010</v>
      </c>
      <c r="E48" s="18">
        <v>1575.1042620290148</v>
      </c>
      <c r="F48" s="94">
        <v>1850</v>
      </c>
      <c r="G48" s="260">
        <v>9.5</v>
      </c>
      <c r="H48" s="260">
        <v>6534</v>
      </c>
      <c r="I48" s="260" t="s">
        <v>489</v>
      </c>
      <c r="J48" s="74">
        <v>9.25</v>
      </c>
      <c r="K48" s="9">
        <v>3.7434750000000003E-2</v>
      </c>
      <c r="L48" s="9">
        <v>3.7433421885000002</v>
      </c>
      <c r="M48" s="1">
        <v>5.8726271161785526</v>
      </c>
      <c r="N48" s="1">
        <v>42.075992547806905</v>
      </c>
      <c r="O48" s="11">
        <v>6.2</v>
      </c>
      <c r="P48" s="1">
        <v>2.5091400000000003E-2</v>
      </c>
      <c r="Q48" s="1">
        <v>2.5091399999999999</v>
      </c>
      <c r="R48" s="1">
        <v>3.9362473643575164</v>
      </c>
      <c r="S48" s="1">
        <v>62.774666301163528</v>
      </c>
      <c r="T48" s="260">
        <v>0.62</v>
      </c>
      <c r="U48" s="1">
        <v>1.6129032258064517</v>
      </c>
      <c r="V48" s="1">
        <v>2.44047336590166</v>
      </c>
      <c r="W48" s="260">
        <v>42.452694000000001</v>
      </c>
      <c r="X48" s="260">
        <v>-73.240791000000002</v>
      </c>
      <c r="Y48" s="260" t="s">
        <v>91</v>
      </c>
      <c r="Z48" s="260"/>
      <c r="AA48" s="11" t="s">
        <v>95</v>
      </c>
      <c r="AB48" s="15">
        <v>0.14399999999999999</v>
      </c>
      <c r="AC48" s="260" t="s">
        <v>399</v>
      </c>
      <c r="AD48" s="260" t="s">
        <v>492</v>
      </c>
      <c r="AE48" s="260" t="s">
        <v>29</v>
      </c>
      <c r="AF48" s="260" t="s">
        <v>493</v>
      </c>
    </row>
    <row r="49" spans="1:32" x14ac:dyDescent="0.3">
      <c r="A49" s="11" t="s">
        <v>171</v>
      </c>
      <c r="B49" s="11" t="s">
        <v>435</v>
      </c>
      <c r="C49" s="11"/>
      <c r="D49" s="260">
        <v>2010</v>
      </c>
      <c r="E49" s="18">
        <v>3746.1939205014405</v>
      </c>
      <c r="F49" s="94">
        <v>4400</v>
      </c>
      <c r="G49" s="260"/>
      <c r="H49" s="260">
        <v>15750</v>
      </c>
      <c r="I49" s="260" t="s">
        <v>438</v>
      </c>
      <c r="J49" s="74">
        <v>15.7</v>
      </c>
      <c r="K49" s="9">
        <v>6.3537899999999994E-2</v>
      </c>
      <c r="L49" s="9">
        <v>6.3535645793999995</v>
      </c>
      <c r="M49" s="1">
        <v>4.1909202601819668</v>
      </c>
      <c r="N49" s="1">
        <v>58.959989557436444</v>
      </c>
      <c r="O49" s="260">
        <v>14.1</v>
      </c>
      <c r="P49" s="1">
        <v>5.7062700000000001E-2</v>
      </c>
      <c r="Q49" s="1">
        <v>5.7060675522000004</v>
      </c>
      <c r="R49" s="1">
        <v>3.7638201062780721</v>
      </c>
      <c r="S49" s="1">
        <v>65.6504848263654</v>
      </c>
      <c r="T49" s="260"/>
      <c r="U49" s="260"/>
      <c r="V49" s="260"/>
      <c r="W49" s="260">
        <v>40.168641999999998</v>
      </c>
      <c r="X49" s="260">
        <v>-74.657978999999997</v>
      </c>
      <c r="Y49" s="260" t="s">
        <v>91</v>
      </c>
      <c r="Z49" s="260"/>
      <c r="AA49" s="11" t="s">
        <v>95</v>
      </c>
      <c r="AB49" s="111">
        <v>0.14399999999999999</v>
      </c>
      <c r="AC49" s="260" t="s">
        <v>399</v>
      </c>
      <c r="AD49" s="79" t="s">
        <v>440</v>
      </c>
      <c r="AE49" s="260" t="s">
        <v>29</v>
      </c>
      <c r="AF49" s="260" t="s">
        <v>433</v>
      </c>
    </row>
    <row r="50" spans="1:32" x14ac:dyDescent="0.3">
      <c r="A50" s="11" t="s">
        <v>171</v>
      </c>
      <c r="B50" s="11" t="s">
        <v>577</v>
      </c>
      <c r="C50" s="11"/>
      <c r="D50" s="260">
        <v>2011</v>
      </c>
      <c r="E50" s="42">
        <v>10000</v>
      </c>
      <c r="F50" s="94">
        <v>12502</v>
      </c>
      <c r="G50" s="260">
        <v>41</v>
      </c>
      <c r="H50" s="260">
        <v>53200</v>
      </c>
      <c r="I50" s="260" t="s">
        <v>576</v>
      </c>
      <c r="J50" s="74">
        <v>98</v>
      </c>
      <c r="K50" s="9">
        <v>0.39660600000000001</v>
      </c>
      <c r="L50" s="9">
        <v>39.659192916000002</v>
      </c>
      <c r="M50" s="1">
        <v>9.8000000000000007</v>
      </c>
      <c r="N50" s="1">
        <v>25.213940283303831</v>
      </c>
      <c r="O50" s="11">
        <v>78</v>
      </c>
      <c r="P50" s="25">
        <v>0.315666</v>
      </c>
      <c r="Q50" s="1">
        <v>31.566600000000001</v>
      </c>
      <c r="R50" s="1">
        <v>7.8</v>
      </c>
      <c r="S50" s="1">
        <v>31.679053176458662</v>
      </c>
      <c r="T50" s="260"/>
      <c r="U50" s="11"/>
      <c r="V50" s="11"/>
      <c r="W50" s="260">
        <v>39.380499999999998</v>
      </c>
      <c r="X50" s="260">
        <v>-75.188900000000004</v>
      </c>
      <c r="Y50" s="260" t="s">
        <v>91</v>
      </c>
      <c r="Z50" s="260" t="s">
        <v>579</v>
      </c>
      <c r="AA50" s="11"/>
      <c r="AB50" s="15">
        <v>0.14399999999999999</v>
      </c>
      <c r="AC50" s="11" t="s">
        <v>399</v>
      </c>
      <c r="AD50" s="260" t="s">
        <v>578</v>
      </c>
      <c r="AE50" s="260" t="s">
        <v>29</v>
      </c>
      <c r="AF50" s="11" t="s">
        <v>157</v>
      </c>
    </row>
    <row r="51" spans="1:32" x14ac:dyDescent="0.3">
      <c r="A51" s="11" t="s">
        <v>35</v>
      </c>
      <c r="B51" s="11" t="s">
        <v>592</v>
      </c>
      <c r="C51" s="11"/>
      <c r="D51" s="260">
        <v>2012</v>
      </c>
      <c r="E51" s="18">
        <v>8514.0770920487284</v>
      </c>
      <c r="F51" s="94">
        <v>10000</v>
      </c>
      <c r="G51" s="260"/>
      <c r="H51" s="260">
        <v>40000</v>
      </c>
      <c r="I51" s="260" t="s">
        <v>593</v>
      </c>
      <c r="J51" s="74">
        <v>60</v>
      </c>
      <c r="K51" s="9">
        <v>0.24282000000000001</v>
      </c>
      <c r="L51" s="9">
        <v>24.281138519999999</v>
      </c>
      <c r="M51" s="1">
        <v>7.0471525394142631</v>
      </c>
      <c r="N51" s="1">
        <v>35.063327123172421</v>
      </c>
      <c r="O51" s="24" t="s">
        <v>598</v>
      </c>
      <c r="P51" s="88"/>
      <c r="Q51" s="88"/>
      <c r="R51" s="88"/>
      <c r="S51" s="88"/>
      <c r="T51" s="11"/>
      <c r="U51" s="11"/>
      <c r="V51" s="11"/>
      <c r="W51" s="260">
        <v>35.177590000000002</v>
      </c>
      <c r="X51" s="260">
        <v>-113.97976</v>
      </c>
      <c r="Y51" s="260" t="s">
        <v>21</v>
      </c>
      <c r="Z51" s="260"/>
      <c r="AA51" s="11"/>
      <c r="AB51" s="15">
        <v>0.14299999999999999</v>
      </c>
      <c r="AC51" s="11" t="s">
        <v>399</v>
      </c>
      <c r="AD51" s="11" t="s">
        <v>593</v>
      </c>
      <c r="AE51" s="260" t="s">
        <v>109</v>
      </c>
      <c r="AF51" s="260"/>
    </row>
    <row r="52" spans="1:32" x14ac:dyDescent="0.3">
      <c r="A52" s="11" t="s">
        <v>3</v>
      </c>
      <c r="B52" s="10" t="s">
        <v>42</v>
      </c>
      <c r="C52" s="10"/>
      <c r="D52" s="260">
        <v>2007</v>
      </c>
      <c r="E52" s="18">
        <v>882.90979444545314</v>
      </c>
      <c r="F52" s="18">
        <v>1037</v>
      </c>
      <c r="G52" s="260"/>
      <c r="H52" s="260">
        <v>72</v>
      </c>
      <c r="I52" s="260" t="s">
        <v>8</v>
      </c>
      <c r="J52" s="260">
        <v>11.920014</v>
      </c>
      <c r="K52" s="9">
        <v>4.8240296658000004E-2</v>
      </c>
      <c r="L52" s="9">
        <v>4.8238585182389881</v>
      </c>
      <c r="M52" s="1">
        <v>13.500828821914748</v>
      </c>
      <c r="N52" s="1">
        <v>18.302329289242348</v>
      </c>
      <c r="O52" s="260">
        <v>6.1890000000000001</v>
      </c>
      <c r="P52" s="1">
        <v>2.5046883000000002E-2</v>
      </c>
      <c r="Q52" s="1">
        <v>2.5046883000000002</v>
      </c>
      <c r="R52" s="1">
        <v>7.0097761276815929</v>
      </c>
      <c r="S52" s="1">
        <v>35.250286211080756</v>
      </c>
      <c r="T52" s="260">
        <v>0.22</v>
      </c>
      <c r="U52" s="1">
        <v>4.5454545454545459</v>
      </c>
      <c r="V52" s="1">
        <v>1.5421507480899503</v>
      </c>
      <c r="W52" s="260">
        <v>37.688524000000001</v>
      </c>
      <c r="X52" s="260">
        <v>-105.87646700000001</v>
      </c>
      <c r="Y52" s="260" t="s">
        <v>139</v>
      </c>
      <c r="Z52" s="260"/>
      <c r="AA52" s="260" t="s">
        <v>96</v>
      </c>
      <c r="AB52" s="15">
        <v>0.14280000000000001</v>
      </c>
      <c r="AC52" s="15" t="s">
        <v>391</v>
      </c>
      <c r="AD52" s="15" t="s">
        <v>72</v>
      </c>
      <c r="AE52" s="260" t="s">
        <v>29</v>
      </c>
      <c r="AF52" s="260" t="s">
        <v>19</v>
      </c>
    </row>
    <row r="53" spans="1:32" x14ac:dyDescent="0.3">
      <c r="A53" s="11" t="s">
        <v>26</v>
      </c>
      <c r="B53" s="11" t="s">
        <v>513</v>
      </c>
      <c r="C53" s="11"/>
      <c r="D53" s="260">
        <v>2011</v>
      </c>
      <c r="E53" s="42">
        <v>1200</v>
      </c>
      <c r="F53" s="75">
        <v>1400</v>
      </c>
      <c r="G53" s="260"/>
      <c r="H53" s="260">
        <v>6300</v>
      </c>
      <c r="I53" s="260" t="s">
        <v>514</v>
      </c>
      <c r="J53" s="74">
        <v>8.19</v>
      </c>
      <c r="K53" s="9">
        <v>3.3144930000000003E-2</v>
      </c>
      <c r="L53" s="9">
        <v>3.3143754079800001</v>
      </c>
      <c r="M53" s="1">
        <v>6.8250000000000002</v>
      </c>
      <c r="N53" s="1">
        <v>36.204632201667039</v>
      </c>
      <c r="O53" s="11">
        <v>4.7846000000000002</v>
      </c>
      <c r="P53" s="1">
        <v>1.9363276200000001E-2</v>
      </c>
      <c r="Q53" s="1">
        <v>1.9363276200000001</v>
      </c>
      <c r="R53" s="1">
        <v>3.987166666666667</v>
      </c>
      <c r="S53" s="1">
        <v>61.972983683411996</v>
      </c>
      <c r="T53" s="260"/>
      <c r="U53" s="11"/>
      <c r="V53" s="11"/>
      <c r="W53" s="260">
        <v>33.234802000000002</v>
      </c>
      <c r="X53" s="260">
        <v>-117.38078400000001</v>
      </c>
      <c r="Y53" s="260" t="s">
        <v>91</v>
      </c>
      <c r="Z53" s="260"/>
      <c r="AA53" s="11"/>
      <c r="AB53" s="15">
        <v>0.14199999999999999</v>
      </c>
      <c r="AC53" s="11" t="s">
        <v>399</v>
      </c>
      <c r="AD53" s="260" t="s">
        <v>512</v>
      </c>
      <c r="AE53" s="260" t="s">
        <v>29</v>
      </c>
      <c r="AF53" s="260" t="s">
        <v>157</v>
      </c>
    </row>
    <row r="54" spans="1:32" x14ac:dyDescent="0.3">
      <c r="A54" s="11" t="s">
        <v>3</v>
      </c>
      <c r="B54" s="260" t="s">
        <v>23</v>
      </c>
      <c r="C54" s="260"/>
      <c r="D54" s="260">
        <v>2010</v>
      </c>
      <c r="E54" s="18">
        <v>953.57663430945763</v>
      </c>
      <c r="F54" s="18">
        <v>1120</v>
      </c>
      <c r="G54" s="260">
        <v>7.3</v>
      </c>
      <c r="H54" s="260">
        <v>5040</v>
      </c>
      <c r="I54" s="260" t="s">
        <v>25</v>
      </c>
      <c r="J54" s="260">
        <v>3.8</v>
      </c>
      <c r="K54" s="1">
        <v>1.5378600000000001E-2</v>
      </c>
      <c r="L54" s="9">
        <v>1.5378054396</v>
      </c>
      <c r="M54" s="1">
        <v>3.9849969716925888</v>
      </c>
      <c r="N54" s="1">
        <v>62.006725859925972</v>
      </c>
      <c r="O54" s="260">
        <v>3.2</v>
      </c>
      <c r="P54" s="1">
        <v>1.2950400000000001E-2</v>
      </c>
      <c r="Q54" s="1">
        <v>1.2950400000000002</v>
      </c>
      <c r="R54" s="1">
        <v>3.3557869235306015</v>
      </c>
      <c r="S54" s="1">
        <v>73.632986958662087</v>
      </c>
      <c r="T54" s="260">
        <v>0.31</v>
      </c>
      <c r="U54" s="1">
        <v>3.2258064516129035</v>
      </c>
      <c r="V54" s="1">
        <v>1.0402939462944865</v>
      </c>
      <c r="W54" s="260">
        <v>39.700001999999998</v>
      </c>
      <c r="X54" s="260">
        <v>-104.757407</v>
      </c>
      <c r="Y54" s="260" t="s">
        <v>91</v>
      </c>
      <c r="Z54" s="260" t="s">
        <v>89</v>
      </c>
      <c r="AA54" s="260" t="s">
        <v>96</v>
      </c>
      <c r="AB54" s="15">
        <v>0.1419</v>
      </c>
      <c r="AC54" s="15" t="s">
        <v>391</v>
      </c>
      <c r="AD54" s="15" t="s">
        <v>82</v>
      </c>
      <c r="AE54" s="260" t="s">
        <v>29</v>
      </c>
      <c r="AF54" s="260" t="s">
        <v>19</v>
      </c>
    </row>
    <row r="55" spans="1:32" x14ac:dyDescent="0.3">
      <c r="A55" s="11" t="s">
        <v>26</v>
      </c>
      <c r="B55" s="11" t="s">
        <v>50</v>
      </c>
      <c r="C55" s="11"/>
      <c r="D55" s="260">
        <v>2006</v>
      </c>
      <c r="E55" s="42">
        <v>999.91600000000005</v>
      </c>
      <c r="F55" s="94">
        <v>1160.0999999999999</v>
      </c>
      <c r="G55" s="260"/>
      <c r="H55" s="260">
        <v>6816</v>
      </c>
      <c r="I55" s="260" t="s">
        <v>8</v>
      </c>
      <c r="J55" s="260">
        <v>7.26</v>
      </c>
      <c r="K55" s="9">
        <v>2.938122E-2</v>
      </c>
      <c r="L55" s="9">
        <v>2.9380177609200002</v>
      </c>
      <c r="M55" s="1">
        <v>7.260609891230863</v>
      </c>
      <c r="N55" s="1">
        <v>34.032487418834208</v>
      </c>
      <c r="O55" s="260">
        <v>4.1509999999999998</v>
      </c>
      <c r="P55" s="1">
        <v>1.6799096999999999E-2</v>
      </c>
      <c r="Q55" s="1">
        <v>1.6799096999999998</v>
      </c>
      <c r="R55" s="1">
        <v>4.1513487132919158</v>
      </c>
      <c r="S55" s="1">
        <v>59.522008831784241</v>
      </c>
      <c r="T55" s="260">
        <v>0.44827706048968663</v>
      </c>
      <c r="U55" s="1">
        <v>2.230763267046556</v>
      </c>
      <c r="V55" s="1">
        <v>1.8609543982621428</v>
      </c>
      <c r="W55" s="260">
        <v>33.564914000000002</v>
      </c>
      <c r="X55" s="260">
        <v>-114.904048</v>
      </c>
      <c r="Y55" s="260" t="s">
        <v>91</v>
      </c>
      <c r="Z55" s="260" t="s">
        <v>87</v>
      </c>
      <c r="AA55" s="260" t="s">
        <v>96</v>
      </c>
      <c r="AB55" s="15">
        <v>0.14180000000000001</v>
      </c>
      <c r="AC55" s="15" t="s">
        <v>399</v>
      </c>
      <c r="AD55" s="15" t="s">
        <v>83</v>
      </c>
      <c r="AE55" s="260" t="s">
        <v>29</v>
      </c>
      <c r="AF55" s="260" t="s">
        <v>51</v>
      </c>
    </row>
    <row r="56" spans="1:32" x14ac:dyDescent="0.3">
      <c r="A56" s="11" t="s">
        <v>26</v>
      </c>
      <c r="B56" s="11" t="s">
        <v>515</v>
      </c>
      <c r="C56" s="11"/>
      <c r="D56" s="260">
        <v>2011</v>
      </c>
      <c r="E56" s="18">
        <v>5762.3273758985797</v>
      </c>
      <c r="F56" s="75">
        <v>6768</v>
      </c>
      <c r="G56" s="260">
        <v>18</v>
      </c>
      <c r="H56" s="260">
        <v>29428</v>
      </c>
      <c r="I56" s="260" t="s">
        <v>516</v>
      </c>
      <c r="J56" s="74">
        <v>32</v>
      </c>
      <c r="K56" s="9">
        <v>0.12950400000000001</v>
      </c>
      <c r="L56" s="9">
        <v>12.949940544</v>
      </c>
      <c r="M56" s="1">
        <v>5.5533116937858651</v>
      </c>
      <c r="N56" s="1">
        <v>44.49536211930581</v>
      </c>
      <c r="O56" s="11">
        <v>26.7</v>
      </c>
      <c r="P56" s="1">
        <v>0.10805490000000001</v>
      </c>
      <c r="Q56" s="1">
        <v>10.805490000000001</v>
      </c>
      <c r="R56" s="1">
        <v>4.6335444445025811</v>
      </c>
      <c r="S56" s="1">
        <v>53.327774824636172</v>
      </c>
      <c r="T56" s="260">
        <v>0.5</v>
      </c>
      <c r="U56" s="1">
        <v>2</v>
      </c>
      <c r="V56" s="1">
        <v>2.3167722222512905</v>
      </c>
      <c r="W56" s="260">
        <v>36.028709999999997</v>
      </c>
      <c r="X56" s="260">
        <v>-119.07588</v>
      </c>
      <c r="Y56" s="260" t="s">
        <v>91</v>
      </c>
      <c r="Z56" s="260" t="s">
        <v>518</v>
      </c>
      <c r="AA56" s="11"/>
      <c r="AB56" s="15">
        <v>0.14099999999999999</v>
      </c>
      <c r="AC56" s="11" t="s">
        <v>399</v>
      </c>
      <c r="AD56" s="260" t="s">
        <v>517</v>
      </c>
      <c r="AE56" s="260" t="s">
        <v>29</v>
      </c>
      <c r="AF56" s="260" t="s">
        <v>157</v>
      </c>
    </row>
    <row r="57" spans="1:32" x14ac:dyDescent="0.3">
      <c r="A57" s="11" t="s">
        <v>148</v>
      </c>
      <c r="B57" s="11" t="s">
        <v>566</v>
      </c>
      <c r="C57" s="11"/>
      <c r="D57" s="260">
        <v>2012</v>
      </c>
      <c r="E57" s="75">
        <v>34056.308368194914</v>
      </c>
      <c r="F57" s="75">
        <v>40000</v>
      </c>
      <c r="G57" s="260">
        <v>200</v>
      </c>
      <c r="H57" s="260">
        <v>174000</v>
      </c>
      <c r="I57" s="260" t="s">
        <v>567</v>
      </c>
      <c r="J57" s="74">
        <v>140</v>
      </c>
      <c r="K57" s="9">
        <v>0.56658000000000008</v>
      </c>
      <c r="L57" s="9">
        <v>56.658000000000001</v>
      </c>
      <c r="M57" s="1">
        <v>4.1108389813249868</v>
      </c>
      <c r="N57" s="1">
        <v>60.108560782581293</v>
      </c>
      <c r="O57" s="11"/>
      <c r="P57" s="1"/>
      <c r="Q57" s="1"/>
      <c r="R57" s="1"/>
      <c r="S57" s="1"/>
      <c r="T57" s="11"/>
      <c r="U57" s="11"/>
      <c r="V57" s="11"/>
      <c r="W57" s="11">
        <v>28.837299999999999</v>
      </c>
      <c r="X57" s="11">
        <v>-81.561999999999998</v>
      </c>
      <c r="Y57" s="260" t="s">
        <v>91</v>
      </c>
      <c r="Z57" s="260"/>
      <c r="AA57" s="11"/>
      <c r="AB57" s="15">
        <v>0.14099999999999999</v>
      </c>
      <c r="AC57" s="11" t="s">
        <v>391</v>
      </c>
      <c r="AD57" s="260" t="s">
        <v>569</v>
      </c>
      <c r="AE57" s="260" t="s">
        <v>109</v>
      </c>
      <c r="AF57" s="260" t="s">
        <v>475</v>
      </c>
    </row>
    <row r="58" spans="1:32" x14ac:dyDescent="0.3">
      <c r="A58" s="11" t="s">
        <v>171</v>
      </c>
      <c r="B58" s="11" t="s">
        <v>434</v>
      </c>
      <c r="C58" s="11"/>
      <c r="D58" s="260">
        <v>2010</v>
      </c>
      <c r="E58" s="18">
        <v>1787.956189330233</v>
      </c>
      <c r="F58" s="94">
        <v>2100</v>
      </c>
      <c r="G58" s="260"/>
      <c r="H58" s="260">
        <v>8800</v>
      </c>
      <c r="I58" s="260" t="s">
        <v>438</v>
      </c>
      <c r="J58" s="74">
        <v>8</v>
      </c>
      <c r="K58" s="9">
        <v>3.2376000000000002E-2</v>
      </c>
      <c r="L58" s="9">
        <v>3.2374851360000001</v>
      </c>
      <c r="M58" s="1">
        <v>4.4743825647074686</v>
      </c>
      <c r="N58" s="1">
        <v>55.224740218996565</v>
      </c>
      <c r="O58" s="260">
        <v>5.7</v>
      </c>
      <c r="P58" s="1">
        <v>2.3067900000000002E-2</v>
      </c>
      <c r="Q58" s="1">
        <v>2.3067899999999999</v>
      </c>
      <c r="R58" s="1">
        <v>3.1879975773540714</v>
      </c>
      <c r="S58" s="1">
        <v>77.508407324907452</v>
      </c>
      <c r="T58" s="260"/>
      <c r="U58" s="260"/>
      <c r="V58" s="260"/>
      <c r="W58" s="260">
        <v>40.494008000000001</v>
      </c>
      <c r="X58" s="260">
        <v>-74.398899</v>
      </c>
      <c r="Y58" s="260" t="s">
        <v>91</v>
      </c>
      <c r="Z58" s="260"/>
      <c r="AA58" s="11" t="s">
        <v>95</v>
      </c>
      <c r="AB58" s="111">
        <v>0.14069999999999999</v>
      </c>
      <c r="AC58" s="260" t="s">
        <v>399</v>
      </c>
      <c r="AD58" s="78" t="s">
        <v>439</v>
      </c>
      <c r="AE58" s="260" t="s">
        <v>29</v>
      </c>
      <c r="AF58" s="260" t="s">
        <v>433</v>
      </c>
    </row>
    <row r="59" spans="1:32" x14ac:dyDescent="0.3">
      <c r="A59" s="260" t="s">
        <v>35</v>
      </c>
      <c r="B59" s="260" t="s">
        <v>636</v>
      </c>
      <c r="C59" s="260"/>
      <c r="D59" s="260">
        <v>2013</v>
      </c>
      <c r="E59" s="18">
        <v>14473.931056482839</v>
      </c>
      <c r="F59" s="260">
        <v>17000</v>
      </c>
      <c r="G59" s="260"/>
      <c r="H59" s="260"/>
      <c r="I59" s="260" t="s">
        <v>8</v>
      </c>
      <c r="J59" s="260">
        <v>130</v>
      </c>
      <c r="K59" s="9">
        <v>0.52611000000000008</v>
      </c>
      <c r="L59" s="9">
        <v>52.609133460000002</v>
      </c>
      <c r="M59" s="1">
        <v>8.9816650012142549</v>
      </c>
      <c r="N59" s="9">
        <v>27.51122589664298</v>
      </c>
      <c r="O59" s="260"/>
      <c r="P59" s="260"/>
      <c r="Q59" s="260"/>
      <c r="R59" s="260"/>
      <c r="S59" s="260"/>
      <c r="T59" s="260"/>
      <c r="U59" s="260"/>
      <c r="V59" s="260"/>
      <c r="W59" s="260">
        <v>32.841700000000003</v>
      </c>
      <c r="X59" s="260">
        <v>-113.4362</v>
      </c>
      <c r="Y59" s="260" t="s">
        <v>21</v>
      </c>
      <c r="Z59" s="260"/>
      <c r="AA59" s="260"/>
      <c r="AB59" s="15">
        <v>0.14000000000000001</v>
      </c>
      <c r="AC59" s="260" t="s">
        <v>399</v>
      </c>
      <c r="AD59" s="260" t="s">
        <v>640</v>
      </c>
      <c r="AE59" s="260" t="s">
        <v>109</v>
      </c>
      <c r="AF59" s="260" t="s">
        <v>645</v>
      </c>
    </row>
    <row r="60" spans="1:32" x14ac:dyDescent="0.3">
      <c r="A60" s="260" t="s">
        <v>35</v>
      </c>
      <c r="B60" s="260" t="s">
        <v>634</v>
      </c>
      <c r="C60" s="260"/>
      <c r="D60" s="260">
        <v>2012</v>
      </c>
      <c r="E60" s="98">
        <v>20000</v>
      </c>
      <c r="F60" s="18">
        <v>23490.50846471421</v>
      </c>
      <c r="G60" s="260"/>
      <c r="H60" s="260"/>
      <c r="I60" s="260" t="s">
        <v>8</v>
      </c>
      <c r="J60" s="260">
        <v>160</v>
      </c>
      <c r="K60" s="9">
        <v>0.6475200000000001</v>
      </c>
      <c r="L60" s="9">
        <v>64.751999999999995</v>
      </c>
      <c r="M60" s="1">
        <v>8</v>
      </c>
      <c r="N60" s="9">
        <v>30.88707684704719</v>
      </c>
      <c r="O60" s="260">
        <v>140</v>
      </c>
      <c r="P60" s="1">
        <v>0.56658000000000008</v>
      </c>
      <c r="Q60" s="1">
        <v>56.658000000000001</v>
      </c>
      <c r="R60" s="105">
        <v>7</v>
      </c>
      <c r="S60" s="1">
        <v>35.299516396625364</v>
      </c>
      <c r="T60" s="260"/>
      <c r="U60" s="260"/>
      <c r="V60" s="260"/>
      <c r="W60" s="260">
        <v>34.72484</v>
      </c>
      <c r="X60" s="260">
        <v>-112.43303</v>
      </c>
      <c r="Y60" s="260" t="s">
        <v>21</v>
      </c>
      <c r="Z60" s="260"/>
      <c r="AA60" s="260"/>
      <c r="AB60" s="15">
        <v>0.14000000000000001</v>
      </c>
      <c r="AC60" s="260" t="s">
        <v>399</v>
      </c>
      <c r="AD60" s="260" t="s">
        <v>640</v>
      </c>
      <c r="AE60" s="260" t="s">
        <v>109</v>
      </c>
      <c r="AF60" s="260" t="s">
        <v>641</v>
      </c>
    </row>
    <row r="61" spans="1:32" x14ac:dyDescent="0.3">
      <c r="A61" s="11" t="s">
        <v>160</v>
      </c>
      <c r="B61" s="11" t="s">
        <v>467</v>
      </c>
      <c r="C61" s="11"/>
      <c r="D61" s="260">
        <v>2010</v>
      </c>
      <c r="E61" s="18">
        <v>986.78153496844766</v>
      </c>
      <c r="F61" s="18">
        <v>1159</v>
      </c>
      <c r="G61" s="260"/>
      <c r="H61" s="260">
        <v>5367</v>
      </c>
      <c r="I61" s="260" t="s">
        <v>8</v>
      </c>
      <c r="J61" s="260">
        <v>9.5</v>
      </c>
      <c r="K61" s="9">
        <v>3.8446500000000002E-2</v>
      </c>
      <c r="L61" s="9">
        <v>3.8445135989999999</v>
      </c>
      <c r="M61" s="1">
        <v>9.6272575675058238</v>
      </c>
      <c r="N61" s="1">
        <v>25.666355454162215</v>
      </c>
      <c r="O61" s="11">
        <v>9</v>
      </c>
      <c r="P61" s="1">
        <v>3.6423000000000004E-2</v>
      </c>
      <c r="Q61" s="1">
        <v>3.6423000000000001</v>
      </c>
      <c r="R61" s="1">
        <v>9.1205598007949913</v>
      </c>
      <c r="S61" s="1">
        <v>27.09226409050456</v>
      </c>
      <c r="T61" s="260">
        <v>0.21</v>
      </c>
      <c r="U61" s="1">
        <v>4.7619047619047619</v>
      </c>
      <c r="V61" s="1">
        <v>1.9153175581669482</v>
      </c>
      <c r="W61" s="260">
        <v>36.942748999999999</v>
      </c>
      <c r="X61" s="260">
        <v>-120.158908</v>
      </c>
      <c r="Y61" s="260" t="s">
        <v>139</v>
      </c>
      <c r="Z61" s="260"/>
      <c r="AA61" s="11" t="s">
        <v>95</v>
      </c>
      <c r="AB61" s="15">
        <v>0.14000000000000001</v>
      </c>
      <c r="AC61" s="260" t="s">
        <v>399</v>
      </c>
      <c r="AD61" s="260" t="s">
        <v>468</v>
      </c>
      <c r="AE61" s="260" t="s">
        <v>29</v>
      </c>
      <c r="AF61" s="260" t="s">
        <v>157</v>
      </c>
    </row>
    <row r="62" spans="1:32" x14ac:dyDescent="0.3">
      <c r="A62" s="11" t="s">
        <v>47</v>
      </c>
      <c r="B62" s="11" t="s">
        <v>471</v>
      </c>
      <c r="C62" s="11"/>
      <c r="D62" s="260">
        <v>2011</v>
      </c>
      <c r="E62" s="18">
        <v>1021.6892510458474</v>
      </c>
      <c r="F62" s="18">
        <v>1200</v>
      </c>
      <c r="G62" s="260">
        <v>5</v>
      </c>
      <c r="H62" s="260">
        <v>5000</v>
      </c>
      <c r="I62" s="260" t="s">
        <v>472</v>
      </c>
      <c r="J62" s="74">
        <v>6</v>
      </c>
      <c r="K62" s="9">
        <v>2.4282000000000001E-2</v>
      </c>
      <c r="L62" s="9">
        <v>2.4281138520000001</v>
      </c>
      <c r="M62" s="1">
        <v>5.8726271161785517</v>
      </c>
      <c r="N62" s="1">
        <v>42.075992547806912</v>
      </c>
      <c r="O62" s="24" t="s">
        <v>598</v>
      </c>
      <c r="P62" s="24"/>
      <c r="Q62" s="24"/>
      <c r="R62" s="24"/>
      <c r="S62" s="24"/>
      <c r="T62" s="260"/>
      <c r="U62" s="11"/>
      <c r="V62" s="11"/>
      <c r="W62" s="260">
        <v>36.477252999999997</v>
      </c>
      <c r="X62" s="260">
        <v>-80.599850000000004</v>
      </c>
      <c r="Y62" s="260" t="s">
        <v>91</v>
      </c>
      <c r="Z62" s="260"/>
      <c r="AA62" s="11"/>
      <c r="AB62" s="15">
        <v>0.14000000000000001</v>
      </c>
      <c r="AC62" s="260" t="s">
        <v>399</v>
      </c>
      <c r="AD62" s="82" t="s">
        <v>469</v>
      </c>
      <c r="AE62" s="260" t="s">
        <v>29</v>
      </c>
      <c r="AF62" s="260" t="s">
        <v>157</v>
      </c>
    </row>
    <row r="63" spans="1:32" x14ac:dyDescent="0.3">
      <c r="A63" s="11" t="s">
        <v>171</v>
      </c>
      <c r="B63" s="11" t="s">
        <v>482</v>
      </c>
      <c r="C63" s="11"/>
      <c r="D63" s="260">
        <v>2011</v>
      </c>
      <c r="E63" s="42">
        <v>18000</v>
      </c>
      <c r="F63" s="94">
        <v>20000</v>
      </c>
      <c r="G63" s="260">
        <v>90</v>
      </c>
      <c r="H63" s="260">
        <v>71400</v>
      </c>
      <c r="I63" s="260" t="s">
        <v>484</v>
      </c>
      <c r="J63" s="74">
        <v>134</v>
      </c>
      <c r="K63" s="9">
        <v>0.54229800000000006</v>
      </c>
      <c r="L63" s="9">
        <v>54.229799999999997</v>
      </c>
      <c r="M63" s="1">
        <v>7.4444444444444446</v>
      </c>
      <c r="N63" s="1">
        <v>33.19208258190146</v>
      </c>
      <c r="O63" s="11">
        <v>76.8</v>
      </c>
      <c r="P63" s="1">
        <v>0.31080960000000002</v>
      </c>
      <c r="Q63" s="1">
        <v>31.080959999999997</v>
      </c>
      <c r="R63" s="1">
        <v>4.2666666666666666</v>
      </c>
      <c r="S63" s="1">
        <v>57.91326908821349</v>
      </c>
      <c r="T63" s="11">
        <v>0.51100000000000001</v>
      </c>
      <c r="U63" s="1">
        <v>1.9569471624266144</v>
      </c>
      <c r="V63" s="1">
        <v>2.1802666666666668</v>
      </c>
      <c r="W63" s="11">
        <v>39.614260000000002</v>
      </c>
      <c r="X63" s="11">
        <v>-75.309809000000001</v>
      </c>
      <c r="Y63" s="260" t="s">
        <v>91</v>
      </c>
      <c r="Z63" s="260"/>
      <c r="AA63" s="11"/>
      <c r="AB63" s="15">
        <v>0.14000000000000001</v>
      </c>
      <c r="AC63" s="260" t="s">
        <v>399</v>
      </c>
      <c r="AD63" s="260" t="s">
        <v>483</v>
      </c>
      <c r="AE63" s="260" t="s">
        <v>29</v>
      </c>
      <c r="AF63" s="260" t="s">
        <v>157</v>
      </c>
    </row>
    <row r="64" spans="1:32" x14ac:dyDescent="0.3">
      <c r="A64" s="77" t="s">
        <v>3</v>
      </c>
      <c r="B64" s="11" t="s">
        <v>44</v>
      </c>
      <c r="C64" s="11"/>
      <c r="D64" s="260">
        <v>2009</v>
      </c>
      <c r="E64" s="42">
        <v>1329.79</v>
      </c>
      <c r="F64" s="94">
        <v>1727</v>
      </c>
      <c r="G64" s="260"/>
      <c r="H64" s="260">
        <v>6248</v>
      </c>
      <c r="I64" s="260" t="s">
        <v>8</v>
      </c>
      <c r="J64" s="260">
        <v>10.78</v>
      </c>
      <c r="K64" s="9">
        <v>4.3626659999999998E-2</v>
      </c>
      <c r="L64" s="9">
        <v>4.3625112207600001</v>
      </c>
      <c r="M64" s="1">
        <v>8.106543138390272</v>
      </c>
      <c r="N64" s="1">
        <v>30.481132408486005</v>
      </c>
      <c r="O64" s="260">
        <v>7.61</v>
      </c>
      <c r="P64" s="1">
        <v>3.0797670000000003E-2</v>
      </c>
      <c r="Q64" s="1">
        <v>3.0796577356200001</v>
      </c>
      <c r="R64" s="1">
        <v>5.7227080967671586</v>
      </c>
      <c r="S64" s="1">
        <v>43.178266407815912</v>
      </c>
      <c r="T64" s="1">
        <v>0.43749957817867674</v>
      </c>
      <c r="U64" s="1">
        <v>2.2857164895176094</v>
      </c>
      <c r="V64" s="1">
        <v>2.5036823783753297</v>
      </c>
      <c r="W64" s="260">
        <v>39.525114000000002</v>
      </c>
      <c r="X64" s="260">
        <v>-107.814288</v>
      </c>
      <c r="Y64" s="260" t="s">
        <v>21</v>
      </c>
      <c r="Z64" s="260" t="s">
        <v>776</v>
      </c>
      <c r="AA64" s="260" t="s">
        <v>96</v>
      </c>
      <c r="AB64" s="15">
        <v>0.13919999999999999</v>
      </c>
      <c r="AC64" s="15" t="s">
        <v>391</v>
      </c>
      <c r="AD64" s="15" t="s">
        <v>74</v>
      </c>
      <c r="AE64" s="260" t="s">
        <v>29</v>
      </c>
      <c r="AF64" s="260" t="s">
        <v>34</v>
      </c>
    </row>
    <row r="65" spans="1:32" x14ac:dyDescent="0.3">
      <c r="A65" s="11" t="s">
        <v>3</v>
      </c>
      <c r="B65" s="10" t="s">
        <v>41</v>
      </c>
      <c r="C65" s="10"/>
      <c r="D65" s="260">
        <v>2007</v>
      </c>
      <c r="E65" s="18">
        <v>5623.5479192981848</v>
      </c>
      <c r="F65" s="18">
        <v>6605</v>
      </c>
      <c r="G65" s="260"/>
      <c r="H65" s="260">
        <v>24384</v>
      </c>
      <c r="I65" s="260" t="s">
        <v>8</v>
      </c>
      <c r="J65" s="260">
        <v>63.1</v>
      </c>
      <c r="K65" s="9">
        <v>0.25536570000000003</v>
      </c>
      <c r="L65" s="9">
        <v>25.535664010200001</v>
      </c>
      <c r="M65" s="1">
        <v>11.22067436883775</v>
      </c>
      <c r="N65" s="1">
        <v>22.02154760525076</v>
      </c>
      <c r="O65" s="260">
        <v>32.770000000000003</v>
      </c>
      <c r="P65" s="1">
        <v>0.13262019000000003</v>
      </c>
      <c r="Q65" s="1">
        <v>13.262019000000002</v>
      </c>
      <c r="R65" s="1">
        <v>5.8272820771285758</v>
      </c>
      <c r="S65" s="1">
        <v>42.403407198392514</v>
      </c>
      <c r="T65" s="1">
        <v>0.38806340610368367</v>
      </c>
      <c r="U65" s="1">
        <v>2.5768984765670426</v>
      </c>
      <c r="V65" s="1">
        <v>2.2613549311774639</v>
      </c>
      <c r="W65" s="260">
        <v>37.688524000000001</v>
      </c>
      <c r="X65" s="260">
        <v>-105.87646700000001</v>
      </c>
      <c r="Y65" s="260" t="s">
        <v>21</v>
      </c>
      <c r="Z65" s="260" t="s">
        <v>776</v>
      </c>
      <c r="AA65" s="260" t="s">
        <v>96</v>
      </c>
      <c r="AB65" s="15">
        <v>0.13919999999999999</v>
      </c>
      <c r="AC65" s="15" t="s">
        <v>399</v>
      </c>
      <c r="AD65" s="15" t="s">
        <v>71</v>
      </c>
      <c r="AE65" s="260" t="s">
        <v>29</v>
      </c>
      <c r="AF65" s="260" t="s">
        <v>19</v>
      </c>
    </row>
    <row r="66" spans="1:32" x14ac:dyDescent="0.3">
      <c r="A66" s="11" t="s">
        <v>3</v>
      </c>
      <c r="B66" s="10" t="s">
        <v>40</v>
      </c>
      <c r="C66" s="10"/>
      <c r="D66" s="260">
        <v>2007</v>
      </c>
      <c r="E66" s="18">
        <v>510.84462552292371</v>
      </c>
      <c r="F66" s="18">
        <v>600</v>
      </c>
      <c r="G66" s="260"/>
      <c r="H66" s="260">
        <v>2224</v>
      </c>
      <c r="I66" s="260" t="s">
        <v>8</v>
      </c>
      <c r="J66" s="260">
        <v>5.949414</v>
      </c>
      <c r="K66" s="9">
        <v>2.4077278458000003E-2</v>
      </c>
      <c r="L66" s="9">
        <v>2.4076424241137881</v>
      </c>
      <c r="M66" s="1">
        <v>11.6462299939241</v>
      </c>
      <c r="N66" s="1">
        <v>21.216875753380204</v>
      </c>
      <c r="O66" s="260">
        <v>3.089</v>
      </c>
      <c r="P66" s="1">
        <v>1.2501183000000001E-2</v>
      </c>
      <c r="Q66" s="1">
        <v>1.2501183</v>
      </c>
      <c r="R66" s="1">
        <v>6.046848387291849</v>
      </c>
      <c r="S66" s="1">
        <v>40.863702701010276</v>
      </c>
      <c r="T66" s="260">
        <v>0.35799999999999998</v>
      </c>
      <c r="U66" s="1">
        <v>2.7932960893854748</v>
      </c>
      <c r="V66" s="1">
        <v>2.1647717226504817</v>
      </c>
      <c r="W66" s="260">
        <v>37.688524000000001</v>
      </c>
      <c r="X66" s="260">
        <v>-105.87646700000001</v>
      </c>
      <c r="Y66" s="260" t="s">
        <v>91</v>
      </c>
      <c r="Z66" s="260" t="s">
        <v>90</v>
      </c>
      <c r="AA66" s="260" t="s">
        <v>96</v>
      </c>
      <c r="AB66" s="15">
        <v>0.13919999999999999</v>
      </c>
      <c r="AC66" s="15" t="s">
        <v>399</v>
      </c>
      <c r="AD66" s="15" t="s">
        <v>71</v>
      </c>
      <c r="AE66" s="260" t="s">
        <v>29</v>
      </c>
      <c r="AF66" s="260" t="s">
        <v>19</v>
      </c>
    </row>
    <row r="67" spans="1:32" x14ac:dyDescent="0.3">
      <c r="A67" s="11" t="s">
        <v>160</v>
      </c>
      <c r="B67" s="11" t="s">
        <v>519</v>
      </c>
      <c r="C67" s="11"/>
      <c r="D67" s="260">
        <v>2011</v>
      </c>
      <c r="E67" s="42">
        <v>1000</v>
      </c>
      <c r="F67" s="94">
        <v>1140.48</v>
      </c>
      <c r="G67" s="260">
        <v>5</v>
      </c>
      <c r="H67" s="260">
        <v>4224</v>
      </c>
      <c r="I67" s="260" t="s">
        <v>8</v>
      </c>
      <c r="J67" s="74">
        <v>9.1539999999999999</v>
      </c>
      <c r="K67" s="9">
        <v>3.7046238000000002E-2</v>
      </c>
      <c r="L67" s="9">
        <v>3.7044923668680001</v>
      </c>
      <c r="M67" s="1">
        <v>9.1539999999999999</v>
      </c>
      <c r="N67" s="1">
        <v>26.993294163904036</v>
      </c>
      <c r="O67" s="11">
        <v>6.91</v>
      </c>
      <c r="P67" s="1">
        <v>2.7964770000000003E-2</v>
      </c>
      <c r="Q67" s="1">
        <v>2.7963777862200003</v>
      </c>
      <c r="R67" s="1">
        <v>6.91</v>
      </c>
      <c r="S67" s="1">
        <v>35.759278549403405</v>
      </c>
      <c r="T67" s="11"/>
      <c r="U67" s="11"/>
      <c r="V67" s="11"/>
      <c r="W67" s="260">
        <v>35.629170000000002</v>
      </c>
      <c r="X67" s="260">
        <v>-106.08602999999999</v>
      </c>
      <c r="Y67" s="260" t="s">
        <v>21</v>
      </c>
      <c r="Z67" s="260" t="s">
        <v>776</v>
      </c>
      <c r="AA67" s="11"/>
      <c r="AB67" s="15">
        <v>0.13900000000000001</v>
      </c>
      <c r="AC67" s="11" t="s">
        <v>399</v>
      </c>
      <c r="AD67" s="260" t="s">
        <v>521</v>
      </c>
      <c r="AE67" s="260" t="s">
        <v>29</v>
      </c>
      <c r="AF67" s="260" t="s">
        <v>475</v>
      </c>
    </row>
    <row r="68" spans="1:32" x14ac:dyDescent="0.3">
      <c r="A68" s="11" t="s">
        <v>47</v>
      </c>
      <c r="B68" s="11" t="s">
        <v>48</v>
      </c>
      <c r="C68" s="11"/>
      <c r="D68" s="260">
        <v>2008</v>
      </c>
      <c r="E68" s="42">
        <v>1000</v>
      </c>
      <c r="F68" s="94">
        <v>1189</v>
      </c>
      <c r="G68" s="260"/>
      <c r="H68" s="260">
        <v>5730</v>
      </c>
      <c r="I68" s="260" t="s">
        <v>8</v>
      </c>
      <c r="J68" s="260">
        <v>9.5</v>
      </c>
      <c r="K68" s="9">
        <v>3.8446500000000002E-2</v>
      </c>
      <c r="L68" s="9">
        <v>3.8445135989999999</v>
      </c>
      <c r="M68" s="1">
        <v>9.5</v>
      </c>
      <c r="N68" s="1">
        <v>26.010169976460794</v>
      </c>
      <c r="O68" s="260">
        <v>7.66</v>
      </c>
      <c r="P68" s="1">
        <v>3.1000020000000003E-2</v>
      </c>
      <c r="Q68" s="1">
        <v>3.0998920177200002</v>
      </c>
      <c r="R68" s="1">
        <v>7.66</v>
      </c>
      <c r="S68" s="1">
        <v>32.258043704487932</v>
      </c>
      <c r="T68" s="1">
        <v>0.33333333333333331</v>
      </c>
      <c r="U68" s="1">
        <v>3</v>
      </c>
      <c r="V68" s="1">
        <v>2.5533333333333332</v>
      </c>
      <c r="W68" s="260">
        <v>34.288353999999998</v>
      </c>
      <c r="X68" s="260">
        <v>-77.981172000000001</v>
      </c>
      <c r="Y68" s="260" t="s">
        <v>21</v>
      </c>
      <c r="Z68" s="260" t="s">
        <v>776</v>
      </c>
      <c r="AA68" s="260" t="s">
        <v>94</v>
      </c>
      <c r="AB68" s="15">
        <v>0.13800000000000001</v>
      </c>
      <c r="AC68" s="15" t="s">
        <v>399</v>
      </c>
      <c r="AD68" s="15" t="s">
        <v>77</v>
      </c>
      <c r="AE68" s="260" t="s">
        <v>29</v>
      </c>
      <c r="AF68" s="260" t="s">
        <v>34</v>
      </c>
    </row>
    <row r="69" spans="1:32" x14ac:dyDescent="0.3">
      <c r="A69" s="11" t="s">
        <v>35</v>
      </c>
      <c r="B69" s="11" t="s">
        <v>537</v>
      </c>
      <c r="C69" s="11"/>
      <c r="D69" s="260">
        <v>2011</v>
      </c>
      <c r="E69" s="42">
        <v>823.1</v>
      </c>
      <c r="F69" s="94">
        <v>1069</v>
      </c>
      <c r="G69" s="260"/>
      <c r="H69" s="260">
        <v>3960</v>
      </c>
      <c r="I69" s="260" t="s">
        <v>539</v>
      </c>
      <c r="J69" s="74">
        <v>6.5</v>
      </c>
      <c r="K69" s="9">
        <v>2.6305500000000002E-2</v>
      </c>
      <c r="L69" s="9">
        <v>2.6304566730000003</v>
      </c>
      <c r="M69" s="1">
        <v>7.8969748511723967</v>
      </c>
      <c r="N69" s="1">
        <v>31.290034403451749</v>
      </c>
      <c r="O69" s="11">
        <v>4.91</v>
      </c>
      <c r="P69" s="1">
        <v>1.9870770000000003E-2</v>
      </c>
      <c r="Q69" s="1">
        <v>1.9870065022200001</v>
      </c>
      <c r="R69" s="1">
        <v>5.9652533106548411</v>
      </c>
      <c r="S69" s="1">
        <v>41.422652468927971</v>
      </c>
      <c r="T69" s="11"/>
      <c r="U69" s="11"/>
      <c r="V69" s="11"/>
      <c r="W69" s="260">
        <v>32.29</v>
      </c>
      <c r="X69" s="260">
        <v>-111.03294</v>
      </c>
      <c r="Y69" s="260" t="s">
        <v>21</v>
      </c>
      <c r="Z69" s="260" t="s">
        <v>540</v>
      </c>
      <c r="AA69" s="11" t="s">
        <v>95</v>
      </c>
      <c r="AB69" s="15">
        <v>0.13769999999999999</v>
      </c>
      <c r="AC69" s="11" t="s">
        <v>399</v>
      </c>
      <c r="AD69" s="260" t="s">
        <v>538</v>
      </c>
      <c r="AE69" s="260" t="s">
        <v>29</v>
      </c>
      <c r="AF69" s="260" t="s">
        <v>475</v>
      </c>
    </row>
    <row r="70" spans="1:32" x14ac:dyDescent="0.3">
      <c r="A70" s="11" t="s">
        <v>26</v>
      </c>
      <c r="B70" s="11" t="s">
        <v>544</v>
      </c>
      <c r="C70" s="11"/>
      <c r="D70" s="260">
        <v>2010</v>
      </c>
      <c r="E70" s="42">
        <v>2000</v>
      </c>
      <c r="F70" s="94">
        <v>2592</v>
      </c>
      <c r="G70" s="260"/>
      <c r="H70" s="260">
        <v>9600</v>
      </c>
      <c r="I70" s="260" t="s">
        <v>545</v>
      </c>
      <c r="J70" s="74">
        <v>13.7</v>
      </c>
      <c r="K70" s="9">
        <v>5.5443899999999997E-2</v>
      </c>
      <c r="L70" s="9">
        <v>5.5441932953999995</v>
      </c>
      <c r="M70" s="1">
        <v>6.85</v>
      </c>
      <c r="N70" s="1">
        <v>36.072498507500377</v>
      </c>
      <c r="O70" s="11">
        <v>8.84</v>
      </c>
      <c r="P70" s="1">
        <v>3.5775479999999998E-2</v>
      </c>
      <c r="Q70" s="1">
        <v>3.5775480000000002</v>
      </c>
      <c r="R70" s="1">
        <v>4.42</v>
      </c>
      <c r="S70" s="1">
        <v>55.904211487868231</v>
      </c>
      <c r="T70" s="260">
        <v>0.41320000000000001</v>
      </c>
      <c r="U70" s="1">
        <v>2.4201355275895451</v>
      </c>
      <c r="V70" s="1">
        <v>1.826344</v>
      </c>
      <c r="W70" s="260">
        <v>38.411070000000002</v>
      </c>
      <c r="X70" s="260">
        <v>-121.92645</v>
      </c>
      <c r="Y70" s="260" t="s">
        <v>91</v>
      </c>
      <c r="Z70" s="260"/>
      <c r="AA70" s="11"/>
      <c r="AB70" s="15">
        <v>0.13769999999999999</v>
      </c>
      <c r="AC70" s="11" t="s">
        <v>399</v>
      </c>
      <c r="AD70" s="260" t="s">
        <v>546</v>
      </c>
      <c r="AE70" s="260" t="s">
        <v>29</v>
      </c>
      <c r="AF70" s="260" t="s">
        <v>475</v>
      </c>
    </row>
    <row r="71" spans="1:32" ht="15.6" x14ac:dyDescent="0.3">
      <c r="A71" s="11" t="s">
        <v>26</v>
      </c>
      <c r="B71" s="11" t="s">
        <v>451</v>
      </c>
      <c r="C71" s="11"/>
      <c r="D71" s="260">
        <v>2011</v>
      </c>
      <c r="E71" s="42">
        <v>1000</v>
      </c>
      <c r="F71" s="94">
        <v>1159.2</v>
      </c>
      <c r="G71" s="260">
        <v>5.7</v>
      </c>
      <c r="H71" s="260">
        <v>5152</v>
      </c>
      <c r="I71" s="260" t="s">
        <v>452</v>
      </c>
      <c r="J71" s="74">
        <v>11.4</v>
      </c>
      <c r="K71" s="9">
        <v>4.6135800000000005E-2</v>
      </c>
      <c r="L71" s="9">
        <v>4.6134163188000006</v>
      </c>
      <c r="M71" s="1">
        <v>11.4</v>
      </c>
      <c r="N71" s="1">
        <v>21.675141647050662</v>
      </c>
      <c r="O71" s="260">
        <v>7.44</v>
      </c>
      <c r="P71" s="1">
        <v>3.0109680000000003E-2</v>
      </c>
      <c r="Q71" s="1">
        <v>3.0108611764800002</v>
      </c>
      <c r="R71" s="1">
        <v>7.44</v>
      </c>
      <c r="S71" s="1">
        <v>33.211910588222786</v>
      </c>
      <c r="T71" s="260"/>
      <c r="U71" s="260"/>
      <c r="V71" s="260"/>
      <c r="W71" s="260">
        <v>37.633339999999997</v>
      </c>
      <c r="X71" s="260">
        <v>-122.139881</v>
      </c>
      <c r="Y71" s="260" t="s">
        <v>21</v>
      </c>
      <c r="Z71" s="260" t="s">
        <v>776</v>
      </c>
      <c r="AA71" s="11" t="s">
        <v>96</v>
      </c>
      <c r="AB71" s="15">
        <v>0.13600000000000001</v>
      </c>
      <c r="AC71" s="260" t="s">
        <v>399</v>
      </c>
      <c r="AD71" s="80" t="s">
        <v>453</v>
      </c>
      <c r="AE71" s="260" t="s">
        <v>29</v>
      </c>
      <c r="AF71" s="260" t="s">
        <v>157</v>
      </c>
    </row>
    <row r="72" spans="1:32" x14ac:dyDescent="0.3">
      <c r="A72" s="11" t="s">
        <v>3</v>
      </c>
      <c r="B72" s="11" t="s">
        <v>43</v>
      </c>
      <c r="C72" s="11"/>
      <c r="D72" s="260">
        <v>2008</v>
      </c>
      <c r="E72" s="42">
        <v>503.16</v>
      </c>
      <c r="F72" s="94">
        <v>600</v>
      </c>
      <c r="G72" s="260"/>
      <c r="H72" s="260">
        <v>3531</v>
      </c>
      <c r="I72" s="260" t="s">
        <v>8</v>
      </c>
      <c r="J72" s="260">
        <v>4.42</v>
      </c>
      <c r="K72" s="9">
        <v>1.7887739999999999E-2</v>
      </c>
      <c r="L72" s="9">
        <v>1.7887105376400001</v>
      </c>
      <c r="M72" s="1">
        <v>8.784482073296763</v>
      </c>
      <c r="N72" s="1">
        <v>28.128763052235783</v>
      </c>
      <c r="O72" s="260">
        <v>3.59</v>
      </c>
      <c r="P72" s="1">
        <v>1.452873E-2</v>
      </c>
      <c r="Q72" s="1">
        <v>1.45282145478</v>
      </c>
      <c r="R72" s="1">
        <v>7.1349073853247464</v>
      </c>
      <c r="S72" s="1">
        <v>34.63207038743235</v>
      </c>
      <c r="T72" s="1">
        <v>0.33467741935483869</v>
      </c>
      <c r="U72" s="1">
        <v>2.987951807228916</v>
      </c>
      <c r="V72" s="1">
        <v>2.3878923910562659</v>
      </c>
      <c r="W72" s="260">
        <v>39.531663999999999</v>
      </c>
      <c r="X72" s="260">
        <v>-107.757302</v>
      </c>
      <c r="Y72" s="260" t="s">
        <v>21</v>
      </c>
      <c r="Z72" s="260" t="s">
        <v>776</v>
      </c>
      <c r="AA72" s="260" t="s">
        <v>94</v>
      </c>
      <c r="AB72" s="15">
        <v>0.13320000000000001</v>
      </c>
      <c r="AC72" s="15" t="s">
        <v>391</v>
      </c>
      <c r="AD72" s="15" t="s">
        <v>73</v>
      </c>
      <c r="AE72" s="260" t="s">
        <v>29</v>
      </c>
      <c r="AF72" s="260" t="s">
        <v>34</v>
      </c>
    </row>
    <row r="73" spans="1:32" x14ac:dyDescent="0.3">
      <c r="A73" s="69" t="s">
        <v>332</v>
      </c>
      <c r="B73" s="11" t="s">
        <v>333</v>
      </c>
      <c r="C73" s="11"/>
      <c r="D73" s="260">
        <v>2011</v>
      </c>
      <c r="E73" s="42">
        <v>32000</v>
      </c>
      <c r="F73" s="94">
        <v>37000</v>
      </c>
      <c r="G73" s="260"/>
      <c r="H73" s="260">
        <v>167712</v>
      </c>
      <c r="I73" s="260"/>
      <c r="J73" s="260">
        <v>200</v>
      </c>
      <c r="K73" s="9">
        <v>0.80940000000000001</v>
      </c>
      <c r="L73" s="9">
        <v>80.94</v>
      </c>
      <c r="M73" s="1">
        <v>6.25</v>
      </c>
      <c r="N73" s="9">
        <v>39.53545836422041</v>
      </c>
      <c r="O73" s="260">
        <v>195</v>
      </c>
      <c r="P73" s="1">
        <v>0.78916500000000001</v>
      </c>
      <c r="Q73" s="1">
        <v>78.916499999999999</v>
      </c>
      <c r="R73" s="1">
        <v>6.09375</v>
      </c>
      <c r="S73" s="1">
        <v>40.549188065867085</v>
      </c>
      <c r="T73" s="1">
        <v>0.4264</v>
      </c>
      <c r="U73" s="1">
        <v>2.3452157598499062</v>
      </c>
      <c r="V73" s="1">
        <v>2.5983749999999999</v>
      </c>
      <c r="W73" s="53">
        <v>40.864069999999998</v>
      </c>
      <c r="X73" s="54">
        <v>-72.855490000000003</v>
      </c>
      <c r="Y73" s="260" t="s">
        <v>91</v>
      </c>
      <c r="Z73" s="260"/>
      <c r="AA73" s="11" t="s">
        <v>95</v>
      </c>
      <c r="AB73" s="15">
        <v>0.13200000000000001</v>
      </c>
      <c r="AC73" s="15" t="s">
        <v>399</v>
      </c>
      <c r="AD73" s="15" t="s">
        <v>335</v>
      </c>
      <c r="AE73" s="260" t="s">
        <v>109</v>
      </c>
      <c r="AF73" s="260" t="s">
        <v>334</v>
      </c>
    </row>
    <row r="74" spans="1:32" x14ac:dyDescent="0.3">
      <c r="A74" s="11" t="s">
        <v>3</v>
      </c>
      <c r="B74" s="260" t="s">
        <v>32</v>
      </c>
      <c r="C74" s="260"/>
      <c r="D74" s="260">
        <v>2009</v>
      </c>
      <c r="E74" s="42">
        <v>1000</v>
      </c>
      <c r="F74" s="94">
        <v>1083</v>
      </c>
      <c r="G74" s="260"/>
      <c r="H74" s="260">
        <v>5670</v>
      </c>
      <c r="I74" s="260" t="s">
        <v>33</v>
      </c>
      <c r="J74" s="260">
        <v>10.66</v>
      </c>
      <c r="K74" s="9">
        <v>4.3141020000000002E-2</v>
      </c>
      <c r="L74" s="9">
        <v>4.3139489437199998</v>
      </c>
      <c r="M74" s="1">
        <v>10.66</v>
      </c>
      <c r="N74" s="1">
        <v>23.179795007164874</v>
      </c>
      <c r="O74" s="260">
        <v>6.6</v>
      </c>
      <c r="P74" s="1">
        <v>2.67102E-2</v>
      </c>
      <c r="Q74" s="1">
        <v>2.6709252372000001</v>
      </c>
      <c r="R74" s="1">
        <v>6.6</v>
      </c>
      <c r="S74" s="1">
        <v>37.438881026723877</v>
      </c>
      <c r="T74" s="1">
        <v>0.46391787390673017</v>
      </c>
      <c r="U74" s="1">
        <v>2.1555539379822388</v>
      </c>
      <c r="V74" s="1">
        <v>3.0618579677844191</v>
      </c>
      <c r="W74" s="260">
        <v>39.909672999999998</v>
      </c>
      <c r="X74" s="260">
        <v>-105.231408</v>
      </c>
      <c r="Y74" s="260" t="s">
        <v>21</v>
      </c>
      <c r="Z74" s="260" t="s">
        <v>776</v>
      </c>
      <c r="AA74" s="260" t="s">
        <v>95</v>
      </c>
      <c r="AB74" s="15">
        <v>0.1305</v>
      </c>
      <c r="AC74" s="15" t="s">
        <v>67</v>
      </c>
      <c r="AD74" s="15" t="s">
        <v>70</v>
      </c>
      <c r="AE74" s="260" t="s">
        <v>29</v>
      </c>
      <c r="AF74" s="260" t="s">
        <v>34</v>
      </c>
    </row>
    <row r="75" spans="1:32" x14ac:dyDescent="0.3">
      <c r="A75" s="11" t="s">
        <v>26</v>
      </c>
      <c r="B75" s="11" t="s">
        <v>46</v>
      </c>
      <c r="C75" s="11"/>
      <c r="D75" s="260">
        <v>2008</v>
      </c>
      <c r="E75" s="42">
        <v>995.51400000000001</v>
      </c>
      <c r="F75" s="94">
        <v>1179.52</v>
      </c>
      <c r="G75" s="260"/>
      <c r="H75" s="260">
        <v>6208</v>
      </c>
      <c r="I75" s="260" t="s">
        <v>33</v>
      </c>
      <c r="J75" s="260">
        <v>12.13</v>
      </c>
      <c r="K75" s="9">
        <v>4.9090110000000006E-2</v>
      </c>
      <c r="L75" s="9">
        <v>4.9088368374600009</v>
      </c>
      <c r="M75" s="1">
        <v>12.184660386493812</v>
      </c>
      <c r="N75" s="1">
        <v>20.279318991136908</v>
      </c>
      <c r="O75" s="260">
        <v>7.6</v>
      </c>
      <c r="P75" s="1">
        <v>3.0757200000000002E-2</v>
      </c>
      <c r="Q75" s="1">
        <v>3.0756108792000001</v>
      </c>
      <c r="R75" s="1">
        <v>7.6342472330876303</v>
      </c>
      <c r="S75" s="1">
        <v>32.366860442432987</v>
      </c>
      <c r="T75" s="1">
        <v>0.32795698924731181</v>
      </c>
      <c r="U75" s="1">
        <v>3.0491803278688527</v>
      </c>
      <c r="V75" s="1">
        <v>2.5037047377330399</v>
      </c>
      <c r="W75" s="260">
        <v>33.563845999999998</v>
      </c>
      <c r="X75" s="260">
        <v>-114.918655</v>
      </c>
      <c r="Y75" s="260" t="s">
        <v>21</v>
      </c>
      <c r="Z75" s="260" t="s">
        <v>776</v>
      </c>
      <c r="AA75" s="260" t="s">
        <v>94</v>
      </c>
      <c r="AB75" s="15">
        <v>0.12720000000000001</v>
      </c>
      <c r="AC75" s="15" t="s">
        <v>67</v>
      </c>
      <c r="AD75" s="15" t="s">
        <v>76</v>
      </c>
      <c r="AE75" s="260" t="s">
        <v>29</v>
      </c>
      <c r="AF75" s="260" t="s">
        <v>34</v>
      </c>
    </row>
    <row r="76" spans="1:32" x14ac:dyDescent="0.3">
      <c r="A76" s="11" t="s">
        <v>3</v>
      </c>
      <c r="B76" s="260" t="s">
        <v>4</v>
      </c>
      <c r="C76" s="260"/>
      <c r="D76" s="260">
        <v>2008</v>
      </c>
      <c r="E76" s="42">
        <v>891.48</v>
      </c>
      <c r="F76" s="94">
        <v>1188.6400000000001</v>
      </c>
      <c r="G76" s="260">
        <v>6.9</v>
      </c>
      <c r="H76" s="260">
        <v>6192</v>
      </c>
      <c r="I76" s="260" t="s">
        <v>8</v>
      </c>
      <c r="J76" s="260">
        <v>5.7</v>
      </c>
      <c r="K76" s="1">
        <v>2.3067900000000002E-2</v>
      </c>
      <c r="L76" s="9">
        <v>2.3067081594000003</v>
      </c>
      <c r="M76" s="1">
        <v>6.3938618925831197</v>
      </c>
      <c r="N76" s="1">
        <v>38.645910551025452</v>
      </c>
      <c r="O76" s="1">
        <v>4.5</v>
      </c>
      <c r="P76" s="1">
        <v>1.8211500000000002E-2</v>
      </c>
      <c r="Q76" s="1">
        <v>1.82115</v>
      </c>
      <c r="R76" s="1">
        <v>5.0477857046708845</v>
      </c>
      <c r="S76" s="1">
        <v>48.951486697965571</v>
      </c>
      <c r="T76" s="260">
        <v>0.52</v>
      </c>
      <c r="U76" s="1">
        <v>1.9230769230769229</v>
      </c>
      <c r="V76" s="1">
        <v>2.6248485664288599</v>
      </c>
      <c r="W76" s="260">
        <v>39.724755999999999</v>
      </c>
      <c r="X76" s="260">
        <v>-105.118824</v>
      </c>
      <c r="Y76" s="260" t="s">
        <v>91</v>
      </c>
      <c r="Z76" s="260" t="s">
        <v>87</v>
      </c>
      <c r="AA76" s="260" t="s">
        <v>95</v>
      </c>
      <c r="AB76" s="15">
        <v>0.12720000000000001</v>
      </c>
      <c r="AC76" s="15" t="s">
        <v>67</v>
      </c>
      <c r="AD76" s="15" t="s">
        <v>79</v>
      </c>
      <c r="AE76" s="260" t="s">
        <v>29</v>
      </c>
      <c r="AF76" s="260" t="s">
        <v>19</v>
      </c>
    </row>
    <row r="77" spans="1:32" x14ac:dyDescent="0.3">
      <c r="A77" s="260" t="s">
        <v>180</v>
      </c>
      <c r="B77" s="260" t="s">
        <v>615</v>
      </c>
      <c r="C77" s="260"/>
      <c r="D77" s="260">
        <v>2012</v>
      </c>
      <c r="E77" s="18">
        <v>19582.377311712076</v>
      </c>
      <c r="F77" s="260">
        <v>23000</v>
      </c>
      <c r="G77" s="260"/>
      <c r="H77" s="260"/>
      <c r="I77" s="260" t="s">
        <v>616</v>
      </c>
      <c r="J77" s="260">
        <v>160</v>
      </c>
      <c r="K77" s="9">
        <v>0.6475200000000001</v>
      </c>
      <c r="L77" s="9">
        <v>64.749702720000002</v>
      </c>
      <c r="M77" s="1">
        <v>8.1706116399005939</v>
      </c>
      <c r="N77" s="1">
        <v>30.242119643736213</v>
      </c>
      <c r="O77" s="260"/>
      <c r="P77" s="260"/>
      <c r="Q77" s="260"/>
      <c r="R77" s="260"/>
      <c r="S77" s="260"/>
      <c r="T77" s="260"/>
      <c r="U77" s="260"/>
      <c r="V77" s="260"/>
      <c r="W77" s="260">
        <v>41.150500000000001</v>
      </c>
      <c r="X77" s="260">
        <v>-88.758799999999994</v>
      </c>
      <c r="Y77" s="260" t="s">
        <v>203</v>
      </c>
      <c r="Z77" s="260"/>
      <c r="AA77" s="260"/>
      <c r="AB77" s="15">
        <v>0.12</v>
      </c>
      <c r="AC77" s="260" t="s">
        <v>366</v>
      </c>
      <c r="AD77" s="260" t="s">
        <v>617</v>
      </c>
      <c r="AE77" s="260" t="s">
        <v>109</v>
      </c>
      <c r="AF77" s="260" t="s">
        <v>611</v>
      </c>
    </row>
    <row r="78" spans="1:32" x14ac:dyDescent="0.3">
      <c r="A78" s="11" t="s">
        <v>148</v>
      </c>
      <c r="B78" s="260" t="s">
        <v>195</v>
      </c>
      <c r="C78" s="260"/>
      <c r="D78" s="260">
        <v>2010</v>
      </c>
      <c r="E78" s="42">
        <v>12600</v>
      </c>
      <c r="F78" s="94">
        <v>15010</v>
      </c>
      <c r="G78" s="260"/>
      <c r="H78" s="260">
        <v>200000</v>
      </c>
      <c r="I78" s="260" t="s">
        <v>192</v>
      </c>
      <c r="J78" s="260">
        <v>96</v>
      </c>
      <c r="K78" s="9">
        <v>0.38851200000000002</v>
      </c>
      <c r="L78" s="9">
        <v>38.849821632000001</v>
      </c>
      <c r="M78" s="1">
        <v>7.6190476190476195</v>
      </c>
      <c r="N78" s="1">
        <v>32.431430689399555</v>
      </c>
      <c r="O78" s="260">
        <v>70.400000000000006</v>
      </c>
      <c r="P78" s="1">
        <v>0.28490880000000002</v>
      </c>
      <c r="Q78" s="1">
        <v>28.490880000000004</v>
      </c>
      <c r="R78" s="1">
        <v>5.5873015873015879</v>
      </c>
      <c r="S78" s="1">
        <v>44.224678212817572</v>
      </c>
      <c r="T78" s="1">
        <v>0.56999999999999995</v>
      </c>
      <c r="U78" s="1"/>
      <c r="V78" s="1"/>
      <c r="W78" s="260">
        <v>30.320170000000001</v>
      </c>
      <c r="X78" s="260">
        <v>-81.955389999999994</v>
      </c>
      <c r="Y78" s="260" t="s">
        <v>91</v>
      </c>
      <c r="Z78" s="260"/>
      <c r="AA78" s="260" t="s">
        <v>96</v>
      </c>
      <c r="AB78" s="15">
        <v>0.11</v>
      </c>
      <c r="AC78" s="15" t="s">
        <v>366</v>
      </c>
      <c r="AD78" s="15" t="s">
        <v>602</v>
      </c>
      <c r="AE78" s="260" t="s">
        <v>109</v>
      </c>
      <c r="AF78" s="260" t="s">
        <v>157</v>
      </c>
    </row>
    <row r="79" spans="1:32" x14ac:dyDescent="0.3">
      <c r="A79" s="11" t="s">
        <v>35</v>
      </c>
      <c r="B79" s="260" t="s">
        <v>36</v>
      </c>
      <c r="C79" s="260"/>
      <c r="D79" s="260">
        <v>2001</v>
      </c>
      <c r="E79" s="42">
        <v>5324</v>
      </c>
      <c r="F79" s="94">
        <v>6480</v>
      </c>
      <c r="G79" s="260"/>
      <c r="H79" s="260">
        <v>8400</v>
      </c>
      <c r="I79" s="260" t="s">
        <v>37</v>
      </c>
      <c r="J79" s="260">
        <v>70</v>
      </c>
      <c r="K79" s="9">
        <v>0.28329000000000004</v>
      </c>
      <c r="L79" s="9">
        <v>28.32799494</v>
      </c>
      <c r="M79" s="1">
        <v>13.14800901577761</v>
      </c>
      <c r="N79" s="1">
        <v>18.793462529563342</v>
      </c>
      <c r="O79" s="260">
        <v>37.19</v>
      </c>
      <c r="P79" s="1">
        <v>0.15050793000000001</v>
      </c>
      <c r="Q79" s="1">
        <v>15.050792999999999</v>
      </c>
      <c r="R79" s="1">
        <v>6.9853493613824194</v>
      </c>
      <c r="S79" s="1">
        <v>35.373551413536809</v>
      </c>
      <c r="T79" s="260"/>
      <c r="U79" s="1"/>
      <c r="V79" s="1"/>
      <c r="W79" s="260">
        <v>34.297060999999999</v>
      </c>
      <c r="X79" s="260">
        <v>-109.26690000000001</v>
      </c>
      <c r="Y79" s="260" t="s">
        <v>91</v>
      </c>
      <c r="Z79" s="260" t="s">
        <v>88</v>
      </c>
      <c r="AA79" s="260" t="s">
        <v>94</v>
      </c>
      <c r="AB79" s="15">
        <v>0.10970000000000001</v>
      </c>
      <c r="AC79" s="15" t="s">
        <v>81</v>
      </c>
      <c r="AD79" s="15" t="s">
        <v>81</v>
      </c>
      <c r="AE79" s="260" t="s">
        <v>29</v>
      </c>
      <c r="AF79" s="260" t="s">
        <v>80</v>
      </c>
    </row>
    <row r="80" spans="1:32" x14ac:dyDescent="0.3">
      <c r="A80" s="69" t="s">
        <v>26</v>
      </c>
      <c r="B80" s="11" t="s">
        <v>117</v>
      </c>
      <c r="C80" s="11"/>
      <c r="D80" s="260">
        <v>2013</v>
      </c>
      <c r="E80" s="42">
        <v>230000</v>
      </c>
      <c r="F80" s="94">
        <v>284000</v>
      </c>
      <c r="G80" s="260">
        <v>713</v>
      </c>
      <c r="H80" s="260">
        <v>3800000</v>
      </c>
      <c r="I80" s="260" t="s">
        <v>362</v>
      </c>
      <c r="J80" s="260">
        <v>2100</v>
      </c>
      <c r="K80" s="9">
        <v>8.4987000000000013</v>
      </c>
      <c r="L80" s="9">
        <v>849.87</v>
      </c>
      <c r="M80" s="1">
        <v>9.1304347826086953</v>
      </c>
      <c r="N80" s="9">
        <v>27.062962570746109</v>
      </c>
      <c r="O80" s="260">
        <v>1955</v>
      </c>
      <c r="P80" s="1">
        <v>7.9118850000000007</v>
      </c>
      <c r="Q80" s="1">
        <v>791.18849999999998</v>
      </c>
      <c r="R80" s="1">
        <v>8.5</v>
      </c>
      <c r="S80" s="1">
        <v>29.070189973691477</v>
      </c>
      <c r="T80" s="1"/>
      <c r="U80" s="1"/>
      <c r="V80" s="1"/>
      <c r="W80" s="53">
        <v>34.7879</v>
      </c>
      <c r="X80" s="54">
        <v>-118.4203</v>
      </c>
      <c r="Y80" s="260" t="s">
        <v>21</v>
      </c>
      <c r="Z80" s="260"/>
      <c r="AA80" s="11" t="s">
        <v>96</v>
      </c>
      <c r="AB80" s="15">
        <v>0.1076</v>
      </c>
      <c r="AC80" s="15" t="s">
        <v>366</v>
      </c>
      <c r="AD80" s="15" t="s">
        <v>373</v>
      </c>
      <c r="AE80" s="260" t="s">
        <v>24</v>
      </c>
      <c r="AF80" s="260" t="s">
        <v>110</v>
      </c>
    </row>
    <row r="81" spans="1:32" x14ac:dyDescent="0.3">
      <c r="A81" s="11" t="s">
        <v>160</v>
      </c>
      <c r="B81" s="11" t="s">
        <v>522</v>
      </c>
      <c r="C81" s="11"/>
      <c r="D81" s="260">
        <v>2011</v>
      </c>
      <c r="E81" s="94">
        <v>20000</v>
      </c>
      <c r="F81" s="18">
        <v>23490.50846471421</v>
      </c>
      <c r="G81" s="260"/>
      <c r="H81" s="260">
        <v>190000</v>
      </c>
      <c r="I81" s="260" t="s">
        <v>102</v>
      </c>
      <c r="J81" s="74">
        <v>210</v>
      </c>
      <c r="K81" s="9">
        <v>0.84987000000000001</v>
      </c>
      <c r="L81" s="9">
        <v>84.986999999999995</v>
      </c>
      <c r="M81" s="1">
        <v>10.5</v>
      </c>
      <c r="N81" s="1">
        <v>23.533010931083577</v>
      </c>
      <c r="O81" s="11">
        <v>169.3</v>
      </c>
      <c r="P81" s="25">
        <v>0.68515710000000007</v>
      </c>
      <c r="Q81" s="25">
        <v>68.515709999999999</v>
      </c>
      <c r="R81" s="105">
        <v>8.4649999999999999</v>
      </c>
      <c r="S81" s="25">
        <v>29.190385679430307</v>
      </c>
      <c r="T81" s="11">
        <v>0.33400000000000002</v>
      </c>
      <c r="U81" s="1">
        <v>2.9940119760479038</v>
      </c>
      <c r="V81" s="1">
        <v>2.8273100000000002</v>
      </c>
      <c r="W81" s="11">
        <v>31.80245</v>
      </c>
      <c r="X81" s="11">
        <v>-106.67148</v>
      </c>
      <c r="Y81" s="260" t="s">
        <v>21</v>
      </c>
      <c r="Z81" s="260" t="s">
        <v>776</v>
      </c>
      <c r="AA81" s="11"/>
      <c r="AB81" s="15">
        <v>0.107</v>
      </c>
      <c r="AC81" s="11" t="s">
        <v>366</v>
      </c>
      <c r="AD81" s="260" t="s">
        <v>102</v>
      </c>
      <c r="AE81" s="260" t="s">
        <v>29</v>
      </c>
      <c r="AF81" s="260" t="s">
        <v>475</v>
      </c>
    </row>
    <row r="82" spans="1:32" x14ac:dyDescent="0.3">
      <c r="A82" s="260" t="s">
        <v>35</v>
      </c>
      <c r="B82" s="260" t="s">
        <v>668</v>
      </c>
      <c r="C82" s="260"/>
      <c r="D82" s="260">
        <v>2012</v>
      </c>
      <c r="E82" s="98">
        <v>26000</v>
      </c>
      <c r="F82" s="18">
        <v>30537.661004128473</v>
      </c>
      <c r="G82" s="260"/>
      <c r="H82" s="260"/>
      <c r="I82" s="260" t="s">
        <v>659</v>
      </c>
      <c r="J82" s="260">
        <v>300</v>
      </c>
      <c r="K82" s="9">
        <v>1.2141000000000002</v>
      </c>
      <c r="L82" s="9">
        <v>121.41</v>
      </c>
      <c r="M82" s="1">
        <v>11.538461538461538</v>
      </c>
      <c r="N82" s="9">
        <v>21.415039947286051</v>
      </c>
      <c r="O82" s="260"/>
      <c r="P82" s="260"/>
      <c r="Q82" s="260"/>
      <c r="R82" s="1"/>
      <c r="S82" s="260"/>
      <c r="T82" s="260"/>
      <c r="U82" s="260"/>
      <c r="V82" s="260"/>
      <c r="W82" s="260">
        <v>32.371899999999997</v>
      </c>
      <c r="X82" s="260">
        <v>-111.2818</v>
      </c>
      <c r="Y82" s="260" t="s">
        <v>21</v>
      </c>
      <c r="Z82" s="260"/>
      <c r="AA82" s="260"/>
      <c r="AB82" s="15">
        <v>0.107</v>
      </c>
      <c r="AC82" s="260" t="s">
        <v>366</v>
      </c>
      <c r="AD82" s="260" t="s">
        <v>146</v>
      </c>
      <c r="AE82" s="260" t="s">
        <v>109</v>
      </c>
      <c r="AF82" s="260" t="s">
        <v>669</v>
      </c>
    </row>
    <row r="83" spans="1:32" x14ac:dyDescent="0.3">
      <c r="A83" s="260" t="s">
        <v>26</v>
      </c>
      <c r="B83" s="260" t="s">
        <v>729</v>
      </c>
      <c r="C83" s="260"/>
      <c r="D83" s="260">
        <v>2014</v>
      </c>
      <c r="E83" s="18">
        <v>110683.00219663348</v>
      </c>
      <c r="F83" s="260">
        <v>130000</v>
      </c>
      <c r="G83" s="260"/>
      <c r="H83" s="260"/>
      <c r="I83" s="260" t="s">
        <v>730</v>
      </c>
      <c r="J83" s="260">
        <v>946</v>
      </c>
      <c r="K83" s="9">
        <v>3.828462</v>
      </c>
      <c r="L83" s="9">
        <v>382.84620000000001</v>
      </c>
      <c r="M83" s="1">
        <v>8.5469311567767843</v>
      </c>
      <c r="N83" s="9">
        <v>28.91056570409566</v>
      </c>
      <c r="O83" s="260"/>
      <c r="P83" s="260"/>
      <c r="Q83" s="260"/>
      <c r="R83" s="1"/>
      <c r="S83" s="260"/>
      <c r="T83" s="260"/>
      <c r="U83" s="260"/>
      <c r="V83" s="260"/>
      <c r="W83" s="260">
        <v>32.664499999999997</v>
      </c>
      <c r="X83" s="260">
        <v>-115.7118</v>
      </c>
      <c r="Y83" s="260" t="s">
        <v>21</v>
      </c>
      <c r="Z83" s="260"/>
      <c r="AA83" s="260"/>
      <c r="AB83" s="15">
        <v>0.107</v>
      </c>
      <c r="AC83" s="260" t="s">
        <v>366</v>
      </c>
      <c r="AD83" s="260" t="s">
        <v>102</v>
      </c>
      <c r="AE83" s="260" t="s">
        <v>24</v>
      </c>
      <c r="AF83" s="260" t="s">
        <v>475</v>
      </c>
    </row>
    <row r="84" spans="1:32" x14ac:dyDescent="0.3">
      <c r="A84" s="11" t="s">
        <v>26</v>
      </c>
      <c r="B84" s="11" t="s">
        <v>511</v>
      </c>
      <c r="C84" s="11"/>
      <c r="D84" s="260">
        <v>2008</v>
      </c>
      <c r="E84" s="18">
        <v>1064.2596365060911</v>
      </c>
      <c r="F84" s="94">
        <v>1250</v>
      </c>
      <c r="G84" s="260"/>
      <c r="H84" s="260">
        <v>17172</v>
      </c>
      <c r="I84" s="260" t="s">
        <v>170</v>
      </c>
      <c r="J84" s="74">
        <v>8.5</v>
      </c>
      <c r="K84" s="9">
        <v>3.43995E-2</v>
      </c>
      <c r="L84" s="9">
        <v>3.4398279570000003</v>
      </c>
      <c r="M84" s="1">
        <v>7.9867728780028315</v>
      </c>
      <c r="N84" s="1">
        <v>30.938229814563904</v>
      </c>
      <c r="O84" s="11">
        <v>6.9</v>
      </c>
      <c r="P84" s="1">
        <v>2.7924300000000003E-2</v>
      </c>
      <c r="Q84" s="1">
        <v>2.79243</v>
      </c>
      <c r="R84" s="1">
        <v>6.4833803362611224</v>
      </c>
      <c r="S84" s="1">
        <v>38.112312090404806</v>
      </c>
      <c r="T84" s="260">
        <v>0.41635</v>
      </c>
      <c r="U84" s="1">
        <v>2.4018253872943438</v>
      </c>
      <c r="V84" s="1">
        <v>2.6993554030023184</v>
      </c>
      <c r="W84" s="260">
        <v>38.449382999999997</v>
      </c>
      <c r="X84" s="260">
        <v>-121.16465700000001</v>
      </c>
      <c r="Y84" s="260" t="s">
        <v>91</v>
      </c>
      <c r="Z84" s="260"/>
      <c r="AA84" s="11"/>
      <c r="AB84" s="15">
        <v>0.107</v>
      </c>
      <c r="AC84" s="11" t="s">
        <v>366</v>
      </c>
      <c r="AD84" s="260" t="s">
        <v>146</v>
      </c>
      <c r="AE84" s="260" t="s">
        <v>29</v>
      </c>
      <c r="AF84" s="260" t="s">
        <v>475</v>
      </c>
    </row>
    <row r="85" spans="1:32" x14ac:dyDescent="0.3">
      <c r="A85" s="11" t="s">
        <v>160</v>
      </c>
      <c r="B85" s="11" t="s">
        <v>383</v>
      </c>
      <c r="C85" s="11"/>
      <c r="D85" s="260">
        <v>2011</v>
      </c>
      <c r="E85" s="18">
        <v>1702.8154184097457</v>
      </c>
      <c r="F85" s="18">
        <v>2000</v>
      </c>
      <c r="G85" s="260"/>
      <c r="H85" s="260">
        <v>30000</v>
      </c>
      <c r="I85" s="260" t="s">
        <v>428</v>
      </c>
      <c r="J85" s="74">
        <v>18.5</v>
      </c>
      <c r="K85" s="9">
        <v>7.4869500000000005E-2</v>
      </c>
      <c r="L85" s="9">
        <v>7.4866843770000004</v>
      </c>
      <c r="M85" s="1">
        <v>10.864360164930321</v>
      </c>
      <c r="N85" s="1">
        <v>22.743779755571303</v>
      </c>
      <c r="O85" s="260">
        <v>10.87</v>
      </c>
      <c r="P85" s="1">
        <v>4.3990889999999998E-2</v>
      </c>
      <c r="Q85" s="1">
        <v>4.399089</v>
      </c>
      <c r="R85" s="1">
        <v>6.3835456752860864</v>
      </c>
      <c r="S85" s="1">
        <v>38.708364809389984</v>
      </c>
      <c r="T85" s="260">
        <v>0.63200000000000001</v>
      </c>
      <c r="U85" s="1">
        <v>1.5822784810126582</v>
      </c>
      <c r="V85" s="1">
        <v>4.0344008667808069</v>
      </c>
      <c r="W85" s="260">
        <v>35.170215606689503</v>
      </c>
      <c r="X85" s="260">
        <v>-106.601098106934</v>
      </c>
      <c r="Y85" s="260" t="s">
        <v>91</v>
      </c>
      <c r="Z85" s="260"/>
      <c r="AA85" s="260" t="s">
        <v>94</v>
      </c>
      <c r="AB85" s="15">
        <v>0.107</v>
      </c>
      <c r="AC85" s="15" t="s">
        <v>366</v>
      </c>
      <c r="AD85" s="15" t="s">
        <v>146</v>
      </c>
      <c r="AE85" s="260" t="s">
        <v>29</v>
      </c>
      <c r="AF85" s="260" t="s">
        <v>157</v>
      </c>
    </row>
    <row r="86" spans="1:32" x14ac:dyDescent="0.3">
      <c r="A86" s="11" t="s">
        <v>160</v>
      </c>
      <c r="B86" s="11" t="s">
        <v>461</v>
      </c>
      <c r="C86" s="11"/>
      <c r="D86" s="260">
        <v>2011</v>
      </c>
      <c r="E86" s="18">
        <v>4257.0385460243642</v>
      </c>
      <c r="F86" s="18">
        <v>5000</v>
      </c>
      <c r="G86" s="260"/>
      <c r="H86" s="260">
        <v>78000</v>
      </c>
      <c r="I86" s="260" t="s">
        <v>462</v>
      </c>
      <c r="J86" s="260">
        <v>50</v>
      </c>
      <c r="K86" s="9">
        <v>0.20235</v>
      </c>
      <c r="L86" s="9">
        <v>20.234282100000001</v>
      </c>
      <c r="M86" s="1">
        <v>11.745254232357105</v>
      </c>
      <c r="N86" s="1">
        <v>21.037996273903456</v>
      </c>
      <c r="O86" s="11">
        <v>34.08</v>
      </c>
      <c r="P86" s="1">
        <v>0.13792176</v>
      </c>
      <c r="Q86" s="1">
        <v>13.792176</v>
      </c>
      <c r="R86" s="1">
        <v>8.0055652847746028</v>
      </c>
      <c r="S86" s="1">
        <v>30.865604861947556</v>
      </c>
      <c r="T86" s="260">
        <v>0.60396000000000005</v>
      </c>
      <c r="U86" s="1">
        <v>1.6557387906483871</v>
      </c>
      <c r="V86" s="1">
        <v>4.83504120939247</v>
      </c>
      <c r="W86" s="260">
        <v>32.166899889707601</v>
      </c>
      <c r="X86" s="260">
        <v>-107.751079872251</v>
      </c>
      <c r="Y86" s="260" t="s">
        <v>91</v>
      </c>
      <c r="Z86" s="260" t="s">
        <v>463</v>
      </c>
      <c r="AA86" s="11"/>
      <c r="AB86" s="15">
        <v>0.107</v>
      </c>
      <c r="AC86" s="260" t="s">
        <v>366</v>
      </c>
      <c r="AD86" s="260" t="s">
        <v>102</v>
      </c>
      <c r="AE86" s="260" t="s">
        <v>29</v>
      </c>
      <c r="AF86" s="260" t="s">
        <v>157</v>
      </c>
    </row>
    <row r="87" spans="1:32" x14ac:dyDescent="0.3">
      <c r="A87" s="11" t="s">
        <v>160</v>
      </c>
      <c r="B87" s="11" t="s">
        <v>386</v>
      </c>
      <c r="C87" s="11"/>
      <c r="D87" s="260">
        <v>2011</v>
      </c>
      <c r="E87" s="18">
        <v>4257.0385460243642</v>
      </c>
      <c r="F87" s="18">
        <v>5000</v>
      </c>
      <c r="G87" s="260"/>
      <c r="H87" s="260">
        <v>78000</v>
      </c>
      <c r="I87" s="260" t="s">
        <v>387</v>
      </c>
      <c r="J87" s="74">
        <v>50</v>
      </c>
      <c r="K87" s="9">
        <v>0.20235</v>
      </c>
      <c r="L87" s="9">
        <v>20.234282100000001</v>
      </c>
      <c r="M87" s="1">
        <v>11.745254232357105</v>
      </c>
      <c r="N87" s="1">
        <v>21.037996273903456</v>
      </c>
      <c r="O87" s="24" t="s">
        <v>707</v>
      </c>
      <c r="P87" s="88"/>
      <c r="Q87" s="88"/>
      <c r="R87" s="88"/>
      <c r="S87" s="88"/>
      <c r="T87" s="1"/>
      <c r="U87" s="1"/>
      <c r="V87" s="1"/>
      <c r="W87" s="260">
        <v>32.865855000000003</v>
      </c>
      <c r="X87" s="260">
        <v>-106.000299</v>
      </c>
      <c r="Y87" s="260" t="s">
        <v>91</v>
      </c>
      <c r="Z87" s="260"/>
      <c r="AA87" s="11" t="s">
        <v>94</v>
      </c>
      <c r="AB87" s="15">
        <v>0.107</v>
      </c>
      <c r="AC87" s="260" t="s">
        <v>366</v>
      </c>
      <c r="AD87" s="260" t="s">
        <v>146</v>
      </c>
      <c r="AE87" s="260" t="s">
        <v>29</v>
      </c>
      <c r="AF87" s="260" t="s">
        <v>157</v>
      </c>
    </row>
    <row r="88" spans="1:32" x14ac:dyDescent="0.3">
      <c r="A88" s="11" t="s">
        <v>107</v>
      </c>
      <c r="B88" s="260" t="s">
        <v>185</v>
      </c>
      <c r="C88" s="260"/>
      <c r="D88" s="260">
        <v>2008</v>
      </c>
      <c r="E88" s="42">
        <v>10000</v>
      </c>
      <c r="F88" s="94">
        <v>12000</v>
      </c>
      <c r="G88" s="260"/>
      <c r="H88" s="260">
        <v>167000</v>
      </c>
      <c r="I88" s="260" t="s">
        <v>186</v>
      </c>
      <c r="J88" s="260">
        <v>80</v>
      </c>
      <c r="K88" s="9">
        <v>0.32376000000000005</v>
      </c>
      <c r="L88" s="9">
        <v>32.374851360000001</v>
      </c>
      <c r="M88" s="1">
        <v>8</v>
      </c>
      <c r="N88" s="1">
        <v>30.88707684704719</v>
      </c>
      <c r="O88" s="260">
        <v>70</v>
      </c>
      <c r="P88" s="1">
        <v>0.28329000000000004</v>
      </c>
      <c r="Q88" s="1">
        <v>28.329000000000001</v>
      </c>
      <c r="R88" s="1">
        <v>7</v>
      </c>
      <c r="S88" s="1">
        <v>35.299516396625364</v>
      </c>
      <c r="T88" s="260">
        <v>0.46</v>
      </c>
      <c r="U88" s="1">
        <v>2.1739130434782608</v>
      </c>
      <c r="V88" s="1">
        <v>0.46</v>
      </c>
      <c r="W88" s="260">
        <v>35.788820000000001</v>
      </c>
      <c r="X88" s="260">
        <v>-114.99776</v>
      </c>
      <c r="Y88" s="260" t="s">
        <v>91</v>
      </c>
      <c r="Z88" s="260"/>
      <c r="AA88" s="260" t="s">
        <v>94</v>
      </c>
      <c r="AB88" s="15">
        <v>0.107</v>
      </c>
      <c r="AC88" s="15"/>
      <c r="AD88" s="15" t="s">
        <v>146</v>
      </c>
      <c r="AE88" s="260" t="s">
        <v>29</v>
      </c>
      <c r="AF88" s="260" t="s">
        <v>110</v>
      </c>
    </row>
    <row r="89" spans="1:32" x14ac:dyDescent="0.3">
      <c r="A89" s="11" t="s">
        <v>196</v>
      </c>
      <c r="B89" s="260" t="s">
        <v>197</v>
      </c>
      <c r="C89" s="260"/>
      <c r="D89" s="260">
        <v>2010</v>
      </c>
      <c r="E89" s="42">
        <v>10000</v>
      </c>
      <c r="F89" s="94">
        <v>12600</v>
      </c>
      <c r="G89" s="260"/>
      <c r="H89" s="260">
        <v>159200</v>
      </c>
      <c r="I89" s="260" t="s">
        <v>199</v>
      </c>
      <c r="J89" s="260">
        <v>77</v>
      </c>
      <c r="K89" s="9">
        <v>0.31161900000000003</v>
      </c>
      <c r="L89" s="9">
        <v>31.160794434</v>
      </c>
      <c r="M89" s="1">
        <v>7.7</v>
      </c>
      <c r="N89" s="1">
        <v>32.090469451477603</v>
      </c>
      <c r="O89" s="260">
        <v>61.91</v>
      </c>
      <c r="P89" s="1">
        <v>0.25054977</v>
      </c>
      <c r="Q89" s="1">
        <v>25.054976999999997</v>
      </c>
      <c r="R89" s="1">
        <v>6.1909999999999998</v>
      </c>
      <c r="S89" s="1">
        <v>39.912229813661369</v>
      </c>
      <c r="T89" s="260">
        <v>0.48530000000000001</v>
      </c>
      <c r="U89" s="1">
        <v>2.06058108386565</v>
      </c>
      <c r="V89" s="1">
        <v>0.48530000000000001</v>
      </c>
      <c r="W89" s="260">
        <v>40.879255999999998</v>
      </c>
      <c r="X89" s="260">
        <v>-83.318020000000004</v>
      </c>
      <c r="Y89" s="260" t="s">
        <v>91</v>
      </c>
      <c r="Z89" s="260"/>
      <c r="AA89" s="260" t="s">
        <v>94</v>
      </c>
      <c r="AB89" s="15">
        <v>0.107</v>
      </c>
      <c r="AC89" s="15" t="s">
        <v>366</v>
      </c>
      <c r="AD89" s="15" t="s">
        <v>146</v>
      </c>
      <c r="AE89" s="260" t="s">
        <v>29</v>
      </c>
      <c r="AF89" s="260" t="s">
        <v>110</v>
      </c>
    </row>
    <row r="90" spans="1:32" x14ac:dyDescent="0.3">
      <c r="A90" s="11" t="s">
        <v>573</v>
      </c>
      <c r="B90" s="11" t="s">
        <v>572</v>
      </c>
      <c r="C90" s="11"/>
      <c r="D90" s="260">
        <v>2012</v>
      </c>
      <c r="E90" s="75">
        <v>14814.494140164788</v>
      </c>
      <c r="F90" s="75">
        <v>17400</v>
      </c>
      <c r="G90" s="260">
        <v>60</v>
      </c>
      <c r="H90" s="260">
        <v>220000</v>
      </c>
      <c r="I90" s="260" t="s">
        <v>574</v>
      </c>
      <c r="J90" s="74">
        <v>135</v>
      </c>
      <c r="K90" s="9">
        <v>0.54634500000000008</v>
      </c>
      <c r="L90" s="9">
        <v>54.632561670000001</v>
      </c>
      <c r="M90" s="1">
        <v>9.1126972492425811</v>
      </c>
      <c r="N90" s="1">
        <v>27.115639641920005</v>
      </c>
      <c r="O90" s="11">
        <v>90</v>
      </c>
      <c r="P90" s="25">
        <v>0.36423</v>
      </c>
      <c r="Q90" s="1">
        <v>36.423000000000002</v>
      </c>
      <c r="R90" s="1">
        <v>6.075131499495054</v>
      </c>
      <c r="S90" s="1">
        <v>40.673459462880018</v>
      </c>
      <c r="T90" s="11"/>
      <c r="U90" s="11"/>
      <c r="V90" s="11"/>
      <c r="W90" s="260">
        <v>39.677639999999997</v>
      </c>
      <c r="X90" s="260">
        <v>-77.341440000000006</v>
      </c>
      <c r="Y90" s="260" t="s">
        <v>91</v>
      </c>
      <c r="Z90" s="260" t="s">
        <v>575</v>
      </c>
      <c r="AA90" s="11"/>
      <c r="AB90" s="15">
        <v>0.107</v>
      </c>
      <c r="AC90" s="11" t="s">
        <v>366</v>
      </c>
      <c r="AD90" s="260" t="s">
        <v>102</v>
      </c>
      <c r="AE90" s="260" t="s">
        <v>109</v>
      </c>
      <c r="AF90" s="11" t="s">
        <v>157</v>
      </c>
    </row>
    <row r="91" spans="1:32" x14ac:dyDescent="0.3">
      <c r="A91" s="260" t="s">
        <v>26</v>
      </c>
      <c r="B91" s="260" t="s">
        <v>650</v>
      </c>
      <c r="C91" s="260"/>
      <c r="D91" s="260">
        <v>2011</v>
      </c>
      <c r="E91" s="98">
        <v>18000</v>
      </c>
      <c r="F91" s="18">
        <v>21141.457618242788</v>
      </c>
      <c r="G91" s="260"/>
      <c r="H91" s="260">
        <v>281880</v>
      </c>
      <c r="I91" s="260" t="s">
        <v>167</v>
      </c>
      <c r="J91" s="260">
        <v>139.19999999999999</v>
      </c>
      <c r="K91" s="9">
        <v>0.56334240000000002</v>
      </c>
      <c r="L91" s="9">
        <v>56.332241366399998</v>
      </c>
      <c r="M91" s="1">
        <v>7.7333333333333325</v>
      </c>
      <c r="N91" s="9">
        <v>31.952148462462613</v>
      </c>
      <c r="O91" s="260">
        <v>100.07</v>
      </c>
      <c r="P91" s="1">
        <v>0.40498329</v>
      </c>
      <c r="Q91" s="1">
        <v>40.498328999999998</v>
      </c>
      <c r="R91" s="1">
        <v>5.559444444444444</v>
      </c>
      <c r="S91" s="1">
        <v>44.446278264962487</v>
      </c>
      <c r="T91" s="260">
        <v>0.58758500000000002</v>
      </c>
      <c r="U91" s="260"/>
      <c r="V91" s="260"/>
      <c r="W91" s="260">
        <v>38.365569999999998</v>
      </c>
      <c r="X91" s="260">
        <v>-121.41294000000001</v>
      </c>
      <c r="Y91" s="260" t="s">
        <v>91</v>
      </c>
      <c r="Z91" s="260" t="s">
        <v>653</v>
      </c>
      <c r="AA91" s="260" t="s">
        <v>96</v>
      </c>
      <c r="AB91" s="15">
        <v>0.107</v>
      </c>
      <c r="AC91" s="260" t="s">
        <v>366</v>
      </c>
      <c r="AD91" s="260" t="s">
        <v>146</v>
      </c>
      <c r="AE91" s="260" t="s">
        <v>29</v>
      </c>
      <c r="AF91" s="260" t="s">
        <v>493</v>
      </c>
    </row>
    <row r="92" spans="1:32" x14ac:dyDescent="0.3">
      <c r="A92" s="260" t="s">
        <v>35</v>
      </c>
      <c r="B92" s="260" t="s">
        <v>658</v>
      </c>
      <c r="C92" s="260"/>
      <c r="D92" s="260">
        <v>2014</v>
      </c>
      <c r="E92" s="98">
        <v>290000</v>
      </c>
      <c r="F92" s="18">
        <v>340612.37273835606</v>
      </c>
      <c r="G92" s="260">
        <v>1800</v>
      </c>
      <c r="H92" s="260"/>
      <c r="I92" s="260" t="s">
        <v>659</v>
      </c>
      <c r="J92" s="260">
        <v>2400</v>
      </c>
      <c r="K92" s="9">
        <v>9.7128000000000014</v>
      </c>
      <c r="L92" s="9">
        <v>971.28</v>
      </c>
      <c r="M92" s="1">
        <v>8.2758620689655178</v>
      </c>
      <c r="N92" s="9">
        <v>29.857507618812285</v>
      </c>
      <c r="O92" s="260"/>
      <c r="P92" s="260"/>
      <c r="Q92" s="260"/>
      <c r="R92" s="1"/>
      <c r="S92" s="260"/>
      <c r="T92" s="260"/>
      <c r="U92" s="260"/>
      <c r="V92" s="260"/>
      <c r="W92" s="260">
        <v>32.965800000000002</v>
      </c>
      <c r="X92" s="260">
        <v>-113.52719999999999</v>
      </c>
      <c r="Y92" s="260" t="s">
        <v>91</v>
      </c>
      <c r="Z92" s="260"/>
      <c r="AA92" s="260"/>
      <c r="AB92" s="15">
        <v>0.107</v>
      </c>
      <c r="AC92" s="260" t="s">
        <v>366</v>
      </c>
      <c r="AD92" s="260" t="s">
        <v>660</v>
      </c>
      <c r="AE92" s="260" t="s">
        <v>109</v>
      </c>
      <c r="AF92" s="260" t="s">
        <v>475</v>
      </c>
    </row>
    <row r="93" spans="1:32" x14ac:dyDescent="0.3">
      <c r="A93" s="11" t="s">
        <v>26</v>
      </c>
      <c r="B93" s="11" t="s">
        <v>570</v>
      </c>
      <c r="C93" s="11"/>
      <c r="D93" s="260">
        <v>2014</v>
      </c>
      <c r="E93" s="94">
        <v>550000</v>
      </c>
      <c r="F93" s="18">
        <v>645988.98277964082</v>
      </c>
      <c r="G93" s="260">
        <v>1200</v>
      </c>
      <c r="H93" s="260">
        <v>9000000</v>
      </c>
      <c r="I93" s="260" t="s">
        <v>571</v>
      </c>
      <c r="J93" s="74">
        <v>3500</v>
      </c>
      <c r="K93" s="9">
        <v>14.1645</v>
      </c>
      <c r="L93" s="9">
        <v>1416.45</v>
      </c>
      <c r="M93" s="1">
        <v>6.3636363636363633</v>
      </c>
      <c r="N93" s="1">
        <v>38.829468036287899</v>
      </c>
      <c r="O93" s="260" t="s">
        <v>598</v>
      </c>
      <c r="P93" s="1"/>
      <c r="Q93" s="1"/>
      <c r="R93" s="1"/>
      <c r="S93" s="1"/>
      <c r="T93" s="11"/>
      <c r="U93" s="11"/>
      <c r="V93" s="11"/>
      <c r="W93" s="11">
        <v>35.365969911217697</v>
      </c>
      <c r="X93" s="11">
        <v>-120.040639713407</v>
      </c>
      <c r="Y93" s="260" t="s">
        <v>91</v>
      </c>
      <c r="Z93" s="260"/>
      <c r="AA93" s="11"/>
      <c r="AB93" s="15">
        <v>0.107</v>
      </c>
      <c r="AC93" s="11" t="s">
        <v>366</v>
      </c>
      <c r="AD93" s="260" t="s">
        <v>102</v>
      </c>
      <c r="AE93" s="260" t="s">
        <v>109</v>
      </c>
      <c r="AF93" s="260" t="s">
        <v>475</v>
      </c>
    </row>
    <row r="94" spans="1:32" x14ac:dyDescent="0.3">
      <c r="A94" s="11" t="s">
        <v>107</v>
      </c>
      <c r="B94" s="11" t="s">
        <v>384</v>
      </c>
      <c r="C94" s="11"/>
      <c r="D94" s="260">
        <v>2012</v>
      </c>
      <c r="E94" s="18">
        <v>4257.0385460243642</v>
      </c>
      <c r="F94" s="18">
        <v>5000</v>
      </c>
      <c r="G94" s="260"/>
      <c r="H94" s="260">
        <v>78000</v>
      </c>
      <c r="I94" s="260" t="s">
        <v>428</v>
      </c>
      <c r="J94" s="74">
        <v>50</v>
      </c>
      <c r="K94" s="9">
        <v>0.20235</v>
      </c>
      <c r="L94" s="9">
        <v>20.234282100000001</v>
      </c>
      <c r="M94" s="1">
        <v>11.745254232357105</v>
      </c>
      <c r="N94" s="1">
        <v>21.037996273903456</v>
      </c>
      <c r="O94" s="24" t="s">
        <v>598</v>
      </c>
      <c r="P94" s="88"/>
      <c r="Q94" s="88"/>
      <c r="R94" s="88"/>
      <c r="S94" s="88"/>
      <c r="T94" s="1"/>
      <c r="U94" s="1"/>
      <c r="V94" s="1"/>
      <c r="W94" s="260"/>
      <c r="X94" s="260"/>
      <c r="Y94" s="260" t="s">
        <v>203</v>
      </c>
      <c r="Z94" s="260"/>
      <c r="AA94" s="24"/>
      <c r="AB94" s="15">
        <v>0.107</v>
      </c>
      <c r="AC94" s="15" t="s">
        <v>366</v>
      </c>
      <c r="AD94" s="15" t="s">
        <v>146</v>
      </c>
      <c r="AE94" s="260" t="s">
        <v>29</v>
      </c>
      <c r="AF94" s="260" t="s">
        <v>157</v>
      </c>
    </row>
    <row r="95" spans="1:32" x14ac:dyDescent="0.3">
      <c r="A95" s="11" t="s">
        <v>3</v>
      </c>
      <c r="B95" s="260" t="s">
        <v>145</v>
      </c>
      <c r="C95" s="260"/>
      <c r="D95" s="260">
        <v>2008</v>
      </c>
      <c r="E95" s="18">
        <v>1702.8154184097457</v>
      </c>
      <c r="F95" s="18">
        <v>2000</v>
      </c>
      <c r="G95" s="260">
        <v>13</v>
      </c>
      <c r="H95" s="260">
        <v>27588</v>
      </c>
      <c r="I95" s="260"/>
      <c r="J95" s="260">
        <v>12.5</v>
      </c>
      <c r="K95" s="9">
        <v>5.0587500000000001E-2</v>
      </c>
      <c r="L95" s="9">
        <v>5.0585705250000004</v>
      </c>
      <c r="M95" s="1">
        <v>7.3407838952231907</v>
      </c>
      <c r="N95" s="1">
        <v>33.660794038245527</v>
      </c>
      <c r="O95" s="260">
        <v>10.7</v>
      </c>
      <c r="P95" s="1">
        <v>4.3302899999999998E-2</v>
      </c>
      <c r="Q95" s="1">
        <v>4.3302899999999998</v>
      </c>
      <c r="R95" s="1">
        <v>6.2837110143110504</v>
      </c>
      <c r="S95" s="1">
        <v>39.323357521314875</v>
      </c>
      <c r="T95" s="260">
        <v>0.56999999999999995</v>
      </c>
      <c r="U95" s="1">
        <v>1.7543859649122808</v>
      </c>
      <c r="V95" s="1">
        <v>3.5817152781572985</v>
      </c>
      <c r="W95" s="260">
        <v>38.722852000000003</v>
      </c>
      <c r="X95" s="260">
        <v>-104.78174</v>
      </c>
      <c r="Y95" s="260" t="s">
        <v>91</v>
      </c>
      <c r="Z95" s="260"/>
      <c r="AA95" s="260" t="s">
        <v>95</v>
      </c>
      <c r="AB95" s="15">
        <v>0.1069</v>
      </c>
      <c r="AC95" s="15" t="s">
        <v>366</v>
      </c>
      <c r="AD95" s="15" t="s">
        <v>367</v>
      </c>
      <c r="AE95" s="260" t="s">
        <v>29</v>
      </c>
      <c r="AF95" s="260" t="s">
        <v>110</v>
      </c>
    </row>
    <row r="96" spans="1:32" x14ac:dyDescent="0.3">
      <c r="A96" s="260" t="s">
        <v>35</v>
      </c>
      <c r="B96" s="260" t="s">
        <v>642</v>
      </c>
      <c r="C96" s="260"/>
      <c r="D96" s="260">
        <v>2011</v>
      </c>
      <c r="E96" s="98">
        <v>17280</v>
      </c>
      <c r="F96" s="18">
        <v>20295.799313513078</v>
      </c>
      <c r="G96" s="260"/>
      <c r="H96" s="260">
        <v>300000</v>
      </c>
      <c r="I96" s="260" t="s">
        <v>644</v>
      </c>
      <c r="J96" s="260">
        <v>200</v>
      </c>
      <c r="K96" s="260">
        <v>0.80940000000000001</v>
      </c>
      <c r="L96" s="9">
        <v>80.937128400000006</v>
      </c>
      <c r="M96" s="1">
        <v>11.574074074074073</v>
      </c>
      <c r="N96" s="98">
        <v>21.349147516679022</v>
      </c>
      <c r="O96" s="260"/>
      <c r="P96" s="260"/>
      <c r="Q96" s="260"/>
      <c r="R96" s="260"/>
      <c r="S96" s="260"/>
      <c r="T96" s="260"/>
      <c r="U96" s="260"/>
      <c r="V96" s="260"/>
      <c r="W96" s="260">
        <v>33.031500000000001</v>
      </c>
      <c r="X96" s="260">
        <v>-112.6606</v>
      </c>
      <c r="Y96" s="260" t="s">
        <v>91</v>
      </c>
      <c r="Z96" s="260"/>
      <c r="AA96" s="260"/>
      <c r="AB96" s="15">
        <v>0.106</v>
      </c>
      <c r="AC96" s="260" t="s">
        <v>366</v>
      </c>
      <c r="AD96" s="260" t="s">
        <v>102</v>
      </c>
      <c r="AE96" s="260" t="s">
        <v>29</v>
      </c>
      <c r="AF96" s="260" t="s">
        <v>645</v>
      </c>
    </row>
    <row r="97" spans="1:32" x14ac:dyDescent="0.3">
      <c r="A97" s="69" t="s">
        <v>107</v>
      </c>
      <c r="B97" s="11" t="s">
        <v>108</v>
      </c>
      <c r="C97" s="11"/>
      <c r="D97" s="260">
        <v>2015</v>
      </c>
      <c r="E97" s="94">
        <v>150000</v>
      </c>
      <c r="F97" s="18">
        <v>176178.81348535657</v>
      </c>
      <c r="G97" s="260"/>
      <c r="H97" s="260"/>
      <c r="I97" s="260" t="s">
        <v>102</v>
      </c>
      <c r="J97" s="260">
        <v>1110</v>
      </c>
      <c r="K97" s="9">
        <v>4.4921700000000007</v>
      </c>
      <c r="L97" s="9">
        <v>449.21699999999998</v>
      </c>
      <c r="M97" s="1">
        <v>7.4</v>
      </c>
      <c r="N97" s="9">
        <v>33.391434429240206</v>
      </c>
      <c r="O97" s="260"/>
      <c r="P97" s="1"/>
      <c r="Q97" s="1"/>
      <c r="R97" s="1"/>
      <c r="S97" s="1"/>
      <c r="T97" s="1"/>
      <c r="U97" s="1"/>
      <c r="V97" s="1"/>
      <c r="W97" s="24"/>
      <c r="X97" s="24"/>
      <c r="Y97" s="260" t="s">
        <v>21</v>
      </c>
      <c r="Z97" s="260"/>
      <c r="AA97" s="24"/>
      <c r="AB97" s="15">
        <v>0.1</v>
      </c>
      <c r="AC97" s="15"/>
      <c r="AD97" s="15" t="s">
        <v>102</v>
      </c>
      <c r="AE97" s="260" t="s">
        <v>109</v>
      </c>
      <c r="AF97" s="260" t="s">
        <v>110</v>
      </c>
    </row>
    <row r="98" spans="1:32" x14ac:dyDescent="0.3">
      <c r="A98" s="69" t="s">
        <v>107</v>
      </c>
      <c r="B98" s="11" t="s">
        <v>369</v>
      </c>
      <c r="C98" s="11"/>
      <c r="D98" s="260">
        <v>2014</v>
      </c>
      <c r="E98" s="18">
        <v>297992.6982217055</v>
      </c>
      <c r="F98" s="18">
        <v>350000</v>
      </c>
      <c r="G98" s="260"/>
      <c r="H98" s="260">
        <v>1686000</v>
      </c>
      <c r="I98" s="260" t="s">
        <v>102</v>
      </c>
      <c r="J98" s="260">
        <v>2900</v>
      </c>
      <c r="K98" s="9">
        <v>11.7363</v>
      </c>
      <c r="L98" s="9">
        <v>1173.6300000000001</v>
      </c>
      <c r="M98" s="1">
        <v>9.7317820782387443</v>
      </c>
      <c r="N98" s="9">
        <v>25.390685158159343</v>
      </c>
      <c r="O98" s="260">
        <v>2967</v>
      </c>
      <c r="P98" s="1">
        <v>12.007449000000001</v>
      </c>
      <c r="Q98" s="1">
        <v>1200.7448999999999</v>
      </c>
      <c r="R98" s="1">
        <v>9.956619802115295</v>
      </c>
      <c r="S98" s="1">
        <v>24.817319500728711</v>
      </c>
      <c r="T98" s="1"/>
      <c r="U98" s="1"/>
      <c r="V98" s="1"/>
      <c r="W98" s="260">
        <v>35.59751</v>
      </c>
      <c r="X98" s="260">
        <v>-115.33087</v>
      </c>
      <c r="Y98" s="260" t="s">
        <v>21</v>
      </c>
      <c r="Z98" s="260"/>
      <c r="AA98" s="260" t="s">
        <v>106</v>
      </c>
      <c r="AB98" s="15">
        <v>0.1</v>
      </c>
      <c r="AC98" s="15" t="s">
        <v>366</v>
      </c>
      <c r="AD98" s="15" t="s">
        <v>102</v>
      </c>
      <c r="AE98" s="260" t="s">
        <v>24</v>
      </c>
      <c r="AF98" s="260" t="s">
        <v>34</v>
      </c>
    </row>
    <row r="99" spans="1:32" x14ac:dyDescent="0.3">
      <c r="A99" s="11" t="s">
        <v>171</v>
      </c>
      <c r="B99" s="260" t="s">
        <v>198</v>
      </c>
      <c r="C99" s="260"/>
      <c r="D99" s="260">
        <v>2009</v>
      </c>
      <c r="E99" s="42">
        <v>2086.4699999999998</v>
      </c>
      <c r="F99" s="94">
        <v>2151</v>
      </c>
      <c r="G99" s="260"/>
      <c r="H99" s="260">
        <v>28260</v>
      </c>
      <c r="I99" s="260" t="s">
        <v>199</v>
      </c>
      <c r="J99" s="260">
        <v>14</v>
      </c>
      <c r="K99" s="9">
        <v>5.6658E-2</v>
      </c>
      <c r="L99" s="9">
        <v>5.6655989880000002</v>
      </c>
      <c r="M99" s="1">
        <v>6.7098975782062533</v>
      </c>
      <c r="N99" s="1">
        <v>36.825690988033458</v>
      </c>
      <c r="O99" s="260">
        <v>11.5</v>
      </c>
      <c r="P99" s="1">
        <v>4.6540500000000005E-2</v>
      </c>
      <c r="Q99" s="1">
        <v>4.6540499999999998</v>
      </c>
      <c r="R99" s="1">
        <v>5.5117015820979933</v>
      </c>
      <c r="S99" s="1">
        <v>44.831275985432036</v>
      </c>
      <c r="T99" s="260">
        <v>0.4</v>
      </c>
      <c r="U99" s="1">
        <v>2.5</v>
      </c>
      <c r="V99" s="1">
        <v>2.2046806328391972</v>
      </c>
      <c r="W99" s="260">
        <v>40.860551999999998</v>
      </c>
      <c r="X99" s="260">
        <v>-74.822644999999994</v>
      </c>
      <c r="Y99" s="260" t="s">
        <v>91</v>
      </c>
      <c r="Z99" s="260"/>
      <c r="AA99" s="260" t="s">
        <v>96</v>
      </c>
      <c r="AB99" s="15">
        <v>0.1</v>
      </c>
      <c r="AC99" s="15" t="s">
        <v>366</v>
      </c>
      <c r="AD99" s="15" t="s">
        <v>200</v>
      </c>
      <c r="AE99" s="260" t="s">
        <v>29</v>
      </c>
      <c r="AF99" s="15" t="s">
        <v>110</v>
      </c>
    </row>
    <row r="100" spans="1:32" x14ac:dyDescent="0.3">
      <c r="A100" s="69" t="s">
        <v>107</v>
      </c>
      <c r="B100" s="11" t="s">
        <v>207</v>
      </c>
      <c r="C100" s="11"/>
      <c r="D100" s="260">
        <v>2011</v>
      </c>
      <c r="E100" s="18">
        <v>17532.187547946742</v>
      </c>
      <c r="F100" s="18">
        <v>20592</v>
      </c>
      <c r="G100" s="260"/>
      <c r="H100" s="260">
        <v>52000</v>
      </c>
      <c r="I100" s="260" t="s">
        <v>423</v>
      </c>
      <c r="J100" s="260">
        <v>180</v>
      </c>
      <c r="K100" s="9">
        <v>0.72846</v>
      </c>
      <c r="L100" s="9">
        <v>72.846000000000004</v>
      </c>
      <c r="M100" s="1">
        <v>10.266830622689778</v>
      </c>
      <c r="N100" s="9">
        <v>24.067467737345552</v>
      </c>
      <c r="O100" s="24" t="s">
        <v>598</v>
      </c>
      <c r="P100" s="1"/>
      <c r="Q100" s="1"/>
      <c r="R100" s="1"/>
      <c r="S100" s="1"/>
      <c r="T100" s="1"/>
      <c r="U100" s="1"/>
      <c r="V100" s="1"/>
      <c r="W100" s="69">
        <v>40.098574999999997</v>
      </c>
      <c r="X100" s="69">
        <v>-119.889014</v>
      </c>
      <c r="Y100" s="260" t="s">
        <v>91</v>
      </c>
      <c r="Z100" s="260" t="s">
        <v>209</v>
      </c>
      <c r="AA100" s="10" t="s">
        <v>106</v>
      </c>
      <c r="AB100" s="15">
        <v>0.1</v>
      </c>
      <c r="AC100" s="15" t="s">
        <v>366</v>
      </c>
      <c r="AD100" s="15" t="s">
        <v>208</v>
      </c>
      <c r="AE100" s="260" t="s">
        <v>109</v>
      </c>
      <c r="AF100" s="260" t="s">
        <v>34</v>
      </c>
    </row>
    <row r="101" spans="1:32" x14ac:dyDescent="0.3">
      <c r="A101" s="69" t="s">
        <v>26</v>
      </c>
      <c r="B101" s="11" t="s">
        <v>184</v>
      </c>
      <c r="C101" s="11"/>
      <c r="D101" s="260">
        <v>2009</v>
      </c>
      <c r="E101" s="42">
        <v>21000</v>
      </c>
      <c r="F101" s="94">
        <v>25200</v>
      </c>
      <c r="G101" s="260"/>
      <c r="H101" s="260">
        <v>351000</v>
      </c>
      <c r="I101" s="260" t="s">
        <v>102</v>
      </c>
      <c r="J101" s="260">
        <v>186</v>
      </c>
      <c r="K101" s="9">
        <v>0.75274200000000002</v>
      </c>
      <c r="L101" s="9">
        <v>75.274200000000008</v>
      </c>
      <c r="M101" s="1">
        <v>8.8571428571428577</v>
      </c>
      <c r="N101" s="9">
        <v>27.898004894107142</v>
      </c>
      <c r="O101" s="260">
        <v>134.4</v>
      </c>
      <c r="P101" s="1">
        <v>0.54391680000000009</v>
      </c>
      <c r="Q101" s="1">
        <v>54.391680000000001</v>
      </c>
      <c r="R101" s="1">
        <v>6.4</v>
      </c>
      <c r="S101" s="1">
        <v>38.608846058808986</v>
      </c>
      <c r="T101" s="1">
        <v>0.33</v>
      </c>
      <c r="U101" s="1">
        <v>3.0303030303030303</v>
      </c>
      <c r="V101" s="1">
        <v>2.1120000000000001</v>
      </c>
      <c r="W101" s="260">
        <v>33.591261000000003</v>
      </c>
      <c r="X101" s="72">
        <v>-114.748228</v>
      </c>
      <c r="Y101" s="260" t="s">
        <v>91</v>
      </c>
      <c r="Z101" s="260"/>
      <c r="AA101" s="10" t="s">
        <v>96</v>
      </c>
      <c r="AB101" s="15">
        <v>0.1</v>
      </c>
      <c r="AC101" s="15"/>
      <c r="AD101" s="15" t="s">
        <v>102</v>
      </c>
      <c r="AE101" s="260" t="s">
        <v>29</v>
      </c>
      <c r="AF101" s="15" t="s">
        <v>110</v>
      </c>
    </row>
    <row r="102" spans="1:32" x14ac:dyDescent="0.3">
      <c r="A102" s="69" t="s">
        <v>160</v>
      </c>
      <c r="B102" s="11" t="s">
        <v>204</v>
      </c>
      <c r="C102" s="11"/>
      <c r="D102" s="260">
        <v>2010</v>
      </c>
      <c r="E102" s="94">
        <v>30000</v>
      </c>
      <c r="F102" s="18">
        <v>35235.762697071317</v>
      </c>
      <c r="G102" s="260"/>
      <c r="H102" s="260">
        <v>500000</v>
      </c>
      <c r="I102" s="260" t="s">
        <v>102</v>
      </c>
      <c r="J102" s="260">
        <v>250</v>
      </c>
      <c r="K102" s="9">
        <v>1.0117500000000001</v>
      </c>
      <c r="L102" s="9">
        <v>101.175</v>
      </c>
      <c r="M102" s="1">
        <v>8.3333333333333339</v>
      </c>
      <c r="N102" s="9">
        <v>29.651593773165303</v>
      </c>
      <c r="O102" s="260">
        <v>222</v>
      </c>
      <c r="P102" s="1">
        <v>0.89843400000000007</v>
      </c>
      <c r="Q102" s="1">
        <v>89.843400000000003</v>
      </c>
      <c r="R102" s="1">
        <v>7.4</v>
      </c>
      <c r="S102" s="1">
        <v>33.391434429240206</v>
      </c>
      <c r="T102" s="1">
        <v>0.48899999999999999</v>
      </c>
      <c r="U102" s="1">
        <v>2.0449897750511248</v>
      </c>
      <c r="V102" s="1">
        <v>3.6186000000000003</v>
      </c>
      <c r="W102" s="260">
        <v>36.466596000000003</v>
      </c>
      <c r="X102" s="260">
        <v>-104.638834</v>
      </c>
      <c r="Y102" s="260" t="s">
        <v>91</v>
      </c>
      <c r="Z102" s="260"/>
      <c r="AA102" s="69" t="s">
        <v>94</v>
      </c>
      <c r="AB102" s="15">
        <v>0.1</v>
      </c>
      <c r="AC102" s="15" t="s">
        <v>366</v>
      </c>
      <c r="AD102" s="15"/>
      <c r="AE102" s="260" t="s">
        <v>29</v>
      </c>
      <c r="AF102" s="260" t="s">
        <v>110</v>
      </c>
    </row>
    <row r="103" spans="1:32" x14ac:dyDescent="0.3">
      <c r="A103" s="69" t="s">
        <v>26</v>
      </c>
      <c r="B103" s="11" t="s">
        <v>103</v>
      </c>
      <c r="C103" s="11"/>
      <c r="D103" s="260">
        <v>2013</v>
      </c>
      <c r="E103" s="18">
        <v>34482.012222797348</v>
      </c>
      <c r="F103" s="18">
        <v>40500</v>
      </c>
      <c r="G103" s="260"/>
      <c r="H103" s="260"/>
      <c r="I103" s="260" t="s">
        <v>104</v>
      </c>
      <c r="J103" s="260">
        <v>422</v>
      </c>
      <c r="K103" s="9">
        <v>1.7078340000000001</v>
      </c>
      <c r="L103" s="9">
        <v>170.7834</v>
      </c>
      <c r="M103" s="1">
        <v>12.238264903838761</v>
      </c>
      <c r="N103" s="9">
        <v>20.190494054338625</v>
      </c>
      <c r="O103" s="260">
        <v>422</v>
      </c>
      <c r="P103" s="1">
        <v>1.7078340000000001</v>
      </c>
      <c r="Q103" s="1">
        <v>170.7834</v>
      </c>
      <c r="R103" s="1">
        <v>12.238264903838761</v>
      </c>
      <c r="S103" s="1">
        <v>20.190494054338625</v>
      </c>
      <c r="T103" s="1"/>
      <c r="U103" s="1"/>
      <c r="V103" s="1"/>
      <c r="W103" s="260">
        <v>34.425964999999998</v>
      </c>
      <c r="X103" s="260">
        <v>-116.78941</v>
      </c>
      <c r="Y103" s="260" t="s">
        <v>91</v>
      </c>
      <c r="Z103" s="260" t="s">
        <v>105</v>
      </c>
      <c r="AA103" s="260" t="s">
        <v>106</v>
      </c>
      <c r="AB103" s="15">
        <v>0.1</v>
      </c>
      <c r="AC103" s="15" t="s">
        <v>366</v>
      </c>
      <c r="AD103" s="15"/>
      <c r="AE103" s="260" t="s">
        <v>109</v>
      </c>
      <c r="AF103" s="260" t="s">
        <v>34</v>
      </c>
    </row>
    <row r="104" spans="1:32" x14ac:dyDescent="0.3">
      <c r="A104" s="69" t="s">
        <v>26</v>
      </c>
      <c r="B104" s="11" t="s">
        <v>187</v>
      </c>
      <c r="C104" s="11"/>
      <c r="D104" s="260">
        <v>2010</v>
      </c>
      <c r="E104" s="42">
        <v>48000</v>
      </c>
      <c r="F104" s="94">
        <v>58000</v>
      </c>
      <c r="G104" s="260">
        <v>141</v>
      </c>
      <c r="H104" s="260">
        <v>775000</v>
      </c>
      <c r="I104" s="260" t="s">
        <v>375</v>
      </c>
      <c r="J104" s="260">
        <v>380</v>
      </c>
      <c r="K104" s="9">
        <v>1.53786</v>
      </c>
      <c r="L104" s="9">
        <v>153.786</v>
      </c>
      <c r="M104" s="1">
        <v>7.916666666666667</v>
      </c>
      <c r="N104" s="9">
        <v>31.212203971752956</v>
      </c>
      <c r="O104" s="260">
        <v>326</v>
      </c>
      <c r="P104" s="1">
        <v>1.3193220000000001</v>
      </c>
      <c r="Q104" s="1">
        <v>131.93219999999999</v>
      </c>
      <c r="R104" s="1">
        <v>6.791666666666667</v>
      </c>
      <c r="S104" s="1">
        <v>36.382323648055589</v>
      </c>
      <c r="T104" s="1">
        <v>0.45341999999999999</v>
      </c>
      <c r="U104" s="1"/>
      <c r="V104" s="1"/>
      <c r="W104" s="260">
        <v>35.783332999999999</v>
      </c>
      <c r="X104" s="260">
        <v>-114.99166700000001</v>
      </c>
      <c r="Y104" s="260" t="s">
        <v>91</v>
      </c>
      <c r="Z104" s="260"/>
      <c r="AA104" s="10" t="s">
        <v>96</v>
      </c>
      <c r="AB104" s="15">
        <v>0.1</v>
      </c>
      <c r="AC104" s="15" t="s">
        <v>366</v>
      </c>
      <c r="AD104" s="15" t="s">
        <v>102</v>
      </c>
      <c r="AE104" s="260" t="s">
        <v>24</v>
      </c>
      <c r="AF104" s="260" t="s">
        <v>110</v>
      </c>
    </row>
    <row r="105" spans="1:32" x14ac:dyDescent="0.3">
      <c r="A105" s="69" t="s">
        <v>107</v>
      </c>
      <c r="B105" s="11" t="s">
        <v>368</v>
      </c>
      <c r="C105" s="11"/>
      <c r="D105" s="260">
        <v>2012</v>
      </c>
      <c r="E105" s="42">
        <v>50400</v>
      </c>
      <c r="F105" s="94">
        <v>65100</v>
      </c>
      <c r="G105" s="260"/>
      <c r="H105" s="260">
        <v>840000</v>
      </c>
      <c r="I105" s="260" t="s">
        <v>102</v>
      </c>
      <c r="J105" s="260">
        <v>600</v>
      </c>
      <c r="K105" s="9">
        <v>2.4282000000000004</v>
      </c>
      <c r="L105" s="9">
        <v>242.82</v>
      </c>
      <c r="M105" s="1">
        <v>11.904761904761905</v>
      </c>
      <c r="N105" s="9">
        <v>20.756115641215711</v>
      </c>
      <c r="O105" s="260"/>
      <c r="P105" s="1"/>
      <c r="Q105" s="1"/>
      <c r="R105" s="1"/>
      <c r="S105" s="1"/>
      <c r="T105" s="1"/>
      <c r="U105" s="1"/>
      <c r="V105" s="1"/>
      <c r="W105" s="260">
        <v>34.59751</v>
      </c>
      <c r="X105" s="260">
        <v>-115.33087</v>
      </c>
      <c r="Y105" s="260" t="s">
        <v>91</v>
      </c>
      <c r="Z105" s="260" t="s">
        <v>370</v>
      </c>
      <c r="AA105" s="260" t="s">
        <v>106</v>
      </c>
      <c r="AB105" s="15">
        <v>0.1</v>
      </c>
      <c r="AC105" s="15" t="s">
        <v>366</v>
      </c>
      <c r="AD105" s="15" t="s">
        <v>102</v>
      </c>
      <c r="AE105" s="260" t="s">
        <v>109</v>
      </c>
      <c r="AF105" s="15" t="s">
        <v>34</v>
      </c>
    </row>
    <row r="106" spans="1:32" x14ac:dyDescent="0.3">
      <c r="A106" s="69" t="s">
        <v>26</v>
      </c>
      <c r="B106" s="11" t="s">
        <v>101</v>
      </c>
      <c r="C106" s="11"/>
      <c r="D106" s="260">
        <v>2013</v>
      </c>
      <c r="E106" s="94">
        <v>550000</v>
      </c>
      <c r="F106" s="18">
        <v>645988.98277964082</v>
      </c>
      <c r="G106" s="260">
        <v>254</v>
      </c>
      <c r="H106" s="260"/>
      <c r="I106" s="260" t="s">
        <v>102</v>
      </c>
      <c r="J106" s="260">
        <v>4245</v>
      </c>
      <c r="K106" s="9">
        <v>17.179515000000002</v>
      </c>
      <c r="L106" s="9">
        <v>1717.9515000000001</v>
      </c>
      <c r="M106" s="1">
        <v>7.7181818181818178</v>
      </c>
      <c r="N106" s="9">
        <v>32.014873528152563</v>
      </c>
      <c r="O106" s="260">
        <v>3005</v>
      </c>
      <c r="P106" s="1">
        <v>12.161235000000001</v>
      </c>
      <c r="Q106" s="1">
        <v>1216.1234999999999</v>
      </c>
      <c r="R106" s="1">
        <v>5.4636363636363638</v>
      </c>
      <c r="S106" s="1">
        <v>45.225669925792893</v>
      </c>
      <c r="T106" s="1">
        <v>0.44827706048968663</v>
      </c>
      <c r="U106" s="1">
        <v>2.230763267046556</v>
      </c>
      <c r="V106" s="1">
        <v>2.4492228486754697</v>
      </c>
      <c r="W106" s="260">
        <v>33.812399999999997</v>
      </c>
      <c r="X106" s="260">
        <v>-115.39709999999999</v>
      </c>
      <c r="Y106" s="260" t="s">
        <v>91</v>
      </c>
      <c r="Z106" s="260"/>
      <c r="AA106" s="11" t="s">
        <v>95</v>
      </c>
      <c r="AB106" s="15">
        <v>0.1</v>
      </c>
      <c r="AC106" s="15" t="s">
        <v>366</v>
      </c>
      <c r="AD106" s="15" t="s">
        <v>102</v>
      </c>
      <c r="AE106" s="260" t="s">
        <v>24</v>
      </c>
      <c r="AF106" s="15" t="s">
        <v>53</v>
      </c>
    </row>
    <row r="107" spans="1:32" x14ac:dyDescent="0.3">
      <c r="A107" s="11" t="s">
        <v>557</v>
      </c>
      <c r="B107" s="11" t="s">
        <v>553</v>
      </c>
      <c r="C107" s="11"/>
      <c r="D107" s="260">
        <v>2011</v>
      </c>
      <c r="E107" s="18">
        <v>1013.1751739537987</v>
      </c>
      <c r="F107" s="75">
        <v>1190</v>
      </c>
      <c r="G107" s="260"/>
      <c r="H107" s="260">
        <v>5940</v>
      </c>
      <c r="I107" s="260" t="s">
        <v>170</v>
      </c>
      <c r="J107" s="74">
        <v>9.4</v>
      </c>
      <c r="K107" s="9">
        <v>3.8041800000000001E-2</v>
      </c>
      <c r="L107" s="9">
        <v>3.8040450348000001</v>
      </c>
      <c r="M107" s="1">
        <v>9.2777638474081332</v>
      </c>
      <c r="N107" s="1">
        <v>26.633208048877776</v>
      </c>
      <c r="O107" s="24" t="s">
        <v>598</v>
      </c>
      <c r="P107" s="88"/>
      <c r="Q107" s="88"/>
      <c r="R107" s="88"/>
      <c r="S107" s="88"/>
      <c r="T107" s="260"/>
      <c r="U107" s="11"/>
      <c r="V107" s="11"/>
      <c r="W107" s="260">
        <v>45.113630000000001</v>
      </c>
      <c r="X107" s="260">
        <v>-123.2368</v>
      </c>
      <c r="Y107" s="260" t="s">
        <v>91</v>
      </c>
      <c r="Z107" s="260"/>
      <c r="AA107" s="11"/>
      <c r="AB107" s="15">
        <v>9.9900000000000003E-2</v>
      </c>
      <c r="AC107" s="11" t="s">
        <v>554</v>
      </c>
      <c r="AD107" s="260" t="s">
        <v>555</v>
      </c>
      <c r="AE107" s="260" t="s">
        <v>29</v>
      </c>
      <c r="AF107" s="260" t="s">
        <v>475</v>
      </c>
    </row>
    <row r="108" spans="1:32" x14ac:dyDescent="0.3">
      <c r="A108" s="11" t="s">
        <v>557</v>
      </c>
      <c r="B108" s="11" t="s">
        <v>556</v>
      </c>
      <c r="C108" s="11"/>
      <c r="D108" s="260">
        <v>2011</v>
      </c>
      <c r="E108" s="18">
        <v>1413.3367972800888</v>
      </c>
      <c r="F108" s="75">
        <v>1660</v>
      </c>
      <c r="G108" s="260"/>
      <c r="H108" s="260">
        <v>8316</v>
      </c>
      <c r="I108" s="260" t="s">
        <v>170</v>
      </c>
      <c r="J108" s="74">
        <v>11.9</v>
      </c>
      <c r="K108" s="9">
        <v>4.8159300000000002E-2</v>
      </c>
      <c r="L108" s="9">
        <v>4.8157591397999999</v>
      </c>
      <c r="M108" s="1">
        <v>8.4197906846415407</v>
      </c>
      <c r="N108" s="1">
        <v>29.347120852672042</v>
      </c>
      <c r="O108" s="24" t="s">
        <v>598</v>
      </c>
      <c r="P108" s="88"/>
      <c r="Q108" s="88"/>
      <c r="R108" s="88"/>
      <c r="S108" s="88"/>
      <c r="T108" s="260"/>
      <c r="U108" s="11"/>
      <c r="V108" s="11"/>
      <c r="W108" s="260">
        <v>45.110570000000003</v>
      </c>
      <c r="X108" s="260">
        <v>-123.2795</v>
      </c>
      <c r="Y108" s="260" t="s">
        <v>91</v>
      </c>
      <c r="Z108" s="260"/>
      <c r="AA108" s="11"/>
      <c r="AB108" s="15">
        <v>9.9900000000000003E-2</v>
      </c>
      <c r="AC108" s="11" t="s">
        <v>554</v>
      </c>
      <c r="AD108" s="260" t="s">
        <v>555</v>
      </c>
      <c r="AE108" s="260" t="s">
        <v>29</v>
      </c>
      <c r="AF108" s="260" t="s">
        <v>475</v>
      </c>
    </row>
    <row r="109" spans="1:32" x14ac:dyDescent="0.3">
      <c r="A109" s="260" t="s">
        <v>26</v>
      </c>
      <c r="B109" s="260" t="s">
        <v>173</v>
      </c>
      <c r="C109" s="260"/>
      <c r="D109" s="260">
        <v>2010</v>
      </c>
      <c r="E109" s="260">
        <v>5000</v>
      </c>
      <c r="F109" s="260">
        <v>6200</v>
      </c>
      <c r="G109" s="260"/>
      <c r="H109" s="260">
        <v>50000</v>
      </c>
      <c r="I109" s="260"/>
      <c r="J109" s="260">
        <v>48.7</v>
      </c>
      <c r="K109" s="260">
        <v>0.19708890000000001</v>
      </c>
      <c r="L109" s="260">
        <v>19.708190765400001</v>
      </c>
      <c r="M109" s="1">
        <v>9.74</v>
      </c>
      <c r="N109" s="260">
        <v>25.369262297369357</v>
      </c>
      <c r="O109" s="260">
        <v>37.5</v>
      </c>
      <c r="P109" s="260">
        <v>0.15176250000000002</v>
      </c>
      <c r="Q109" s="260">
        <v>15.175711575000001</v>
      </c>
      <c r="R109" s="1">
        <v>7.5</v>
      </c>
      <c r="S109" s="260">
        <v>32.946215303517</v>
      </c>
      <c r="T109" s="260">
        <v>0.50600000000000001</v>
      </c>
      <c r="U109" s="1">
        <v>1.9762845849802371</v>
      </c>
      <c r="V109" s="1">
        <v>3.7949999999999999</v>
      </c>
      <c r="W109" s="260">
        <v>36.759613000000002</v>
      </c>
      <c r="X109" s="260">
        <v>-120.365853</v>
      </c>
      <c r="Y109" s="260" t="s">
        <v>91</v>
      </c>
      <c r="Z109" s="260"/>
      <c r="AA109" s="260" t="s">
        <v>96</v>
      </c>
      <c r="AB109" s="260">
        <v>0.09</v>
      </c>
      <c r="AC109" s="260" t="s">
        <v>216</v>
      </c>
      <c r="AD109" s="260" t="s">
        <v>174</v>
      </c>
      <c r="AE109" s="260" t="s">
        <v>29</v>
      </c>
      <c r="AF109" s="260" t="s">
        <v>157</v>
      </c>
    </row>
    <row r="110" spans="1:32" x14ac:dyDescent="0.3">
      <c r="A110" s="11" t="s">
        <v>26</v>
      </c>
      <c r="B110" s="11" t="s">
        <v>401</v>
      </c>
      <c r="C110" s="11"/>
      <c r="D110" s="260">
        <v>2011</v>
      </c>
      <c r="E110" s="42">
        <v>45000</v>
      </c>
      <c r="F110" s="94">
        <v>57715</v>
      </c>
      <c r="G110" s="260"/>
      <c r="H110" s="260">
        <v>450900</v>
      </c>
      <c r="I110" s="260" t="s">
        <v>404</v>
      </c>
      <c r="J110" s="74">
        <v>500</v>
      </c>
      <c r="K110" s="9">
        <v>2.0235000000000003</v>
      </c>
      <c r="L110" s="9">
        <v>202.35</v>
      </c>
      <c r="M110" s="1">
        <v>11.111111111111111</v>
      </c>
      <c r="N110" s="1">
        <v>22.238695329873977</v>
      </c>
      <c r="O110" s="260">
        <v>345</v>
      </c>
      <c r="P110" s="1">
        <v>1.396215</v>
      </c>
      <c r="Q110" s="1">
        <v>139.6215</v>
      </c>
      <c r="R110" s="1">
        <v>7.666666666666667</v>
      </c>
      <c r="S110" s="1">
        <v>32.229993231701421</v>
      </c>
      <c r="T110" s="1">
        <v>0.47220000000000001</v>
      </c>
      <c r="U110" s="1"/>
      <c r="V110" s="1"/>
      <c r="W110" s="260">
        <v>35.984084000000003</v>
      </c>
      <c r="X110" s="260">
        <v>-120.10288199999999</v>
      </c>
      <c r="Y110" s="260" t="s">
        <v>91</v>
      </c>
      <c r="Z110" s="260"/>
      <c r="AA110" s="11" t="s">
        <v>96</v>
      </c>
      <c r="AB110" s="15">
        <v>0.09</v>
      </c>
      <c r="AC110" s="260" t="s">
        <v>366</v>
      </c>
      <c r="AD110" s="260" t="s">
        <v>402</v>
      </c>
      <c r="AE110" s="260" t="s">
        <v>29</v>
      </c>
      <c r="AF110" s="260" t="s">
        <v>405</v>
      </c>
    </row>
    <row r="111" spans="1:32" x14ac:dyDescent="0.3">
      <c r="A111" s="11" t="s">
        <v>196</v>
      </c>
      <c r="B111" s="11" t="s">
        <v>547</v>
      </c>
      <c r="C111" s="11">
        <v>6</v>
      </c>
      <c r="D111" s="260">
        <v>2010</v>
      </c>
      <c r="E111" s="18">
        <v>936.54848012536013</v>
      </c>
      <c r="F111" s="75">
        <v>1100</v>
      </c>
      <c r="G111" s="260">
        <v>5</v>
      </c>
      <c r="H111" s="260">
        <v>9120</v>
      </c>
      <c r="I111" s="260" t="s">
        <v>548</v>
      </c>
      <c r="J111" s="74">
        <v>9.75</v>
      </c>
      <c r="K111" s="9">
        <v>3.945825E-2</v>
      </c>
      <c r="L111" s="9">
        <v>3.9456850095</v>
      </c>
      <c r="M111" s="1">
        <v>10.410566251407433</v>
      </c>
      <c r="N111" s="1">
        <v>23.735175283378258</v>
      </c>
      <c r="O111" s="11">
        <v>7.18</v>
      </c>
      <c r="P111" s="1">
        <v>2.905746E-2</v>
      </c>
      <c r="Q111" s="1">
        <v>2.9057459999999997</v>
      </c>
      <c r="R111" s="1">
        <v>7.6664477625749097</v>
      </c>
      <c r="S111" s="1">
        <v>32.230913511551257</v>
      </c>
      <c r="T111" s="260">
        <v>0.44400000000000001</v>
      </c>
      <c r="U111" s="1">
        <v>2.2522522522522523</v>
      </c>
      <c r="V111" s="1">
        <v>3.4039028065832597</v>
      </c>
      <c r="W111" s="260">
        <v>39.600969999999997</v>
      </c>
      <c r="X111" s="260">
        <v>-84.205460000000002</v>
      </c>
      <c r="Y111" s="260" t="s">
        <v>91</v>
      </c>
      <c r="Z111" s="260"/>
      <c r="AA111" s="11"/>
      <c r="AB111" s="15">
        <v>8.5000000000000006E-2</v>
      </c>
      <c r="AC111" s="23" t="s">
        <v>216</v>
      </c>
      <c r="AD111" s="260" t="s">
        <v>549</v>
      </c>
      <c r="AE111" s="260" t="s">
        <v>29</v>
      </c>
      <c r="AF111" s="260" t="s">
        <v>506</v>
      </c>
    </row>
    <row r="112" spans="1:32" x14ac:dyDescent="0.3">
      <c r="A112" s="11" t="s">
        <v>26</v>
      </c>
      <c r="B112" s="11" t="s">
        <v>166</v>
      </c>
      <c r="C112" s="11"/>
      <c r="D112" s="260">
        <v>2008</v>
      </c>
      <c r="E112" s="18">
        <v>851.40770920487284</v>
      </c>
      <c r="F112" s="18">
        <v>1000</v>
      </c>
      <c r="G112" s="260"/>
      <c r="H112" s="260">
        <v>5445</v>
      </c>
      <c r="I112" s="260" t="s">
        <v>167</v>
      </c>
      <c r="J112" s="260">
        <v>5</v>
      </c>
      <c r="K112" s="9">
        <v>2.0235000000000003E-2</v>
      </c>
      <c r="L112" s="9">
        <v>2.0234282100000001</v>
      </c>
      <c r="M112" s="1">
        <v>5.8726271161785526</v>
      </c>
      <c r="N112" s="1">
        <v>42.075992547806905</v>
      </c>
      <c r="O112" s="260">
        <v>5</v>
      </c>
      <c r="P112" s="1">
        <v>2.0235000000000003E-2</v>
      </c>
      <c r="Q112" s="1">
        <v>2.0234282100000001</v>
      </c>
      <c r="R112" s="1">
        <v>5.8726271161785526</v>
      </c>
      <c r="S112" s="1">
        <v>42.075992547806905</v>
      </c>
      <c r="T112" s="1"/>
      <c r="U112" s="1"/>
      <c r="V112" s="1"/>
      <c r="W112" s="260">
        <v>36.353563999999999</v>
      </c>
      <c r="X112" s="260">
        <v>-119.400734</v>
      </c>
      <c r="Y112" s="260" t="s">
        <v>21</v>
      </c>
      <c r="Z112" s="260" t="s">
        <v>776</v>
      </c>
      <c r="AA112" s="260" t="s">
        <v>94</v>
      </c>
      <c r="AB112" s="15"/>
      <c r="AC112" s="15"/>
      <c r="AD112" s="15" t="s">
        <v>253</v>
      </c>
      <c r="AE112" s="260" t="s">
        <v>29</v>
      </c>
      <c r="AF112" s="260" t="s">
        <v>157</v>
      </c>
    </row>
    <row r="113" spans="1:32" x14ac:dyDescent="0.3">
      <c r="A113" s="11" t="s">
        <v>35</v>
      </c>
      <c r="B113" s="11" t="s">
        <v>165</v>
      </c>
      <c r="C113" s="11"/>
      <c r="D113" s="260">
        <v>2009</v>
      </c>
      <c r="E113" s="18">
        <v>936.54848012536013</v>
      </c>
      <c r="F113" s="18">
        <v>1100</v>
      </c>
      <c r="G113" s="11">
        <v>10</v>
      </c>
      <c r="H113" s="260">
        <v>5400</v>
      </c>
      <c r="I113" s="260" t="s">
        <v>165</v>
      </c>
      <c r="J113" s="260">
        <v>9</v>
      </c>
      <c r="K113" s="9">
        <v>3.6423000000000004E-2</v>
      </c>
      <c r="L113" s="9">
        <v>3.6421707780000001</v>
      </c>
      <c r="M113" s="1">
        <v>9.6097534628376309</v>
      </c>
      <c r="N113" s="1">
        <v>25.713106556993111</v>
      </c>
      <c r="O113" s="260">
        <v>6.4</v>
      </c>
      <c r="P113" s="1">
        <v>2.5900800000000002E-2</v>
      </c>
      <c r="Q113" s="1">
        <v>2.5899881088000001</v>
      </c>
      <c r="R113" s="1">
        <v>6.8336024624623155</v>
      </c>
      <c r="S113" s="1">
        <v>36.159056095771561</v>
      </c>
      <c r="T113" s="1"/>
      <c r="U113" s="1"/>
      <c r="V113" s="1"/>
      <c r="W113" s="260">
        <v>33.052171999999999</v>
      </c>
      <c r="X113" s="260">
        <v>-111.489773</v>
      </c>
      <c r="Y113" s="260" t="s">
        <v>21</v>
      </c>
      <c r="Z113" s="260" t="s">
        <v>776</v>
      </c>
      <c r="AA113" s="69" t="s">
        <v>96</v>
      </c>
      <c r="AB113" s="15"/>
      <c r="AC113" s="15"/>
      <c r="AD113" s="260"/>
      <c r="AE113" s="260" t="s">
        <v>29</v>
      </c>
      <c r="AF113" s="260" t="s">
        <v>157</v>
      </c>
    </row>
    <row r="114" spans="1:32" x14ac:dyDescent="0.3">
      <c r="A114" s="11" t="s">
        <v>3</v>
      </c>
      <c r="B114" s="11" t="s">
        <v>156</v>
      </c>
      <c r="C114" s="11"/>
      <c r="D114" s="260">
        <v>2010</v>
      </c>
      <c r="E114" s="18">
        <v>1702.8154184097457</v>
      </c>
      <c r="F114" s="18">
        <v>2000</v>
      </c>
      <c r="G114" s="260"/>
      <c r="H114" s="260">
        <v>8000</v>
      </c>
      <c r="I114" s="260" t="s">
        <v>159</v>
      </c>
      <c r="J114" s="260">
        <v>15</v>
      </c>
      <c r="K114" s="9">
        <v>6.0705000000000002E-2</v>
      </c>
      <c r="L114" s="9">
        <v>6.0702846299999997</v>
      </c>
      <c r="M114" s="1">
        <v>8.8089406742678289</v>
      </c>
      <c r="N114" s="1">
        <v>28.05066169853794</v>
      </c>
      <c r="O114" s="260">
        <v>12.8</v>
      </c>
      <c r="P114" s="1">
        <v>5.1801600000000003E-2</v>
      </c>
      <c r="Q114" s="1">
        <v>5.1799762176000002</v>
      </c>
      <c r="R114" s="1">
        <v>7.5169627087085473</v>
      </c>
      <c r="S114" s="1">
        <v>32.871869177974148</v>
      </c>
      <c r="T114" s="1">
        <v>0.315</v>
      </c>
      <c r="U114" s="1">
        <v>3.1746031746031744</v>
      </c>
      <c r="V114" s="1">
        <v>2.3678432532431923</v>
      </c>
      <c r="W114" s="260">
        <v>40.592049000000003</v>
      </c>
      <c r="X114" s="260">
        <v>-105.14837</v>
      </c>
      <c r="Y114" s="260" t="s">
        <v>21</v>
      </c>
      <c r="Z114" s="260" t="s">
        <v>776</v>
      </c>
      <c r="AA114" s="260" t="s">
        <v>94</v>
      </c>
      <c r="AB114" s="15"/>
      <c r="AC114" s="15"/>
      <c r="AD114" s="15" t="s">
        <v>254</v>
      </c>
      <c r="AE114" s="260" t="s">
        <v>29</v>
      </c>
      <c r="AF114" s="260" t="s">
        <v>157</v>
      </c>
    </row>
    <row r="115" spans="1:32" x14ac:dyDescent="0.3">
      <c r="A115" s="11" t="s">
        <v>3</v>
      </c>
      <c r="B115" s="11" t="s">
        <v>142</v>
      </c>
      <c r="C115" s="11"/>
      <c r="D115" s="260">
        <v>2008</v>
      </c>
      <c r="E115" s="18">
        <v>1702.8154184097457</v>
      </c>
      <c r="F115" s="18">
        <v>2000</v>
      </c>
      <c r="G115" s="260"/>
      <c r="H115" s="260">
        <v>9254</v>
      </c>
      <c r="I115" s="260"/>
      <c r="J115" s="260">
        <v>9.9600000000000009</v>
      </c>
      <c r="K115" s="9">
        <v>4.0308120000000003E-2</v>
      </c>
      <c r="L115" s="9">
        <v>4.03066899432</v>
      </c>
      <c r="M115" s="1">
        <v>5.8491366077138389</v>
      </c>
      <c r="N115" s="1">
        <v>42.244972437557138</v>
      </c>
      <c r="O115" s="11">
        <v>9.9600000000000009</v>
      </c>
      <c r="P115" s="25">
        <v>4.0308120000000003E-2</v>
      </c>
      <c r="Q115" s="1">
        <v>4.03066899432</v>
      </c>
      <c r="R115" s="1">
        <v>5.8491366077138389</v>
      </c>
      <c r="S115" s="25">
        <v>42.244972437557138</v>
      </c>
      <c r="T115" s="1">
        <v>0.47</v>
      </c>
      <c r="U115" s="1">
        <v>2.1276595744680851</v>
      </c>
      <c r="V115" s="1">
        <v>2.7490942056255041</v>
      </c>
      <c r="W115" s="260">
        <v>39.838630000000002</v>
      </c>
      <c r="X115" s="260">
        <v>-104.67359</v>
      </c>
      <c r="Y115" s="260" t="s">
        <v>21</v>
      </c>
      <c r="Z115" s="260" t="s">
        <v>776</v>
      </c>
      <c r="AA115" s="260" t="s">
        <v>95</v>
      </c>
      <c r="AB115" s="15"/>
      <c r="AC115" s="15"/>
      <c r="AD115" s="15"/>
      <c r="AE115" s="260" t="s">
        <v>29</v>
      </c>
      <c r="AF115" s="260" t="s">
        <v>110</v>
      </c>
    </row>
    <row r="116" spans="1:32" x14ac:dyDescent="0.3">
      <c r="A116" s="11" t="s">
        <v>413</v>
      </c>
      <c r="B116" s="11" t="s">
        <v>410</v>
      </c>
      <c r="C116" s="11"/>
      <c r="D116" s="260">
        <v>2011</v>
      </c>
      <c r="E116" s="18">
        <v>1702.8154184097457</v>
      </c>
      <c r="F116" s="18">
        <v>2000</v>
      </c>
      <c r="G116" s="260">
        <v>6.6</v>
      </c>
      <c r="H116" s="260">
        <v>7142</v>
      </c>
      <c r="I116" s="260" t="s">
        <v>411</v>
      </c>
      <c r="J116" s="74">
        <v>13</v>
      </c>
      <c r="K116" s="9">
        <v>5.2611000000000005E-2</v>
      </c>
      <c r="L116" s="9">
        <v>5.2609133460000006</v>
      </c>
      <c r="M116" s="1">
        <v>7.6344152510321184</v>
      </c>
      <c r="N116" s="1">
        <v>32.366148113697619</v>
      </c>
      <c r="O116" s="260">
        <v>9</v>
      </c>
      <c r="P116" s="1">
        <v>3.6423000000000004E-2</v>
      </c>
      <c r="Q116" s="1">
        <v>3.6421707780000001</v>
      </c>
      <c r="R116" s="1">
        <v>5.2853644045606973</v>
      </c>
      <c r="S116" s="1">
        <v>46.751102830896563</v>
      </c>
      <c r="T116" s="1"/>
      <c r="U116" s="1"/>
      <c r="V116" s="1"/>
      <c r="W116" s="260">
        <v>37.031095999999998</v>
      </c>
      <c r="X116" s="260">
        <v>-86.333764000000002</v>
      </c>
      <c r="Y116" s="260" t="s">
        <v>21</v>
      </c>
      <c r="Z116" s="260">
        <v>0</v>
      </c>
      <c r="AA116" s="11" t="s">
        <v>95</v>
      </c>
      <c r="AB116" s="111"/>
      <c r="AC116" s="260"/>
      <c r="AD116" s="260" t="s">
        <v>412</v>
      </c>
      <c r="AE116" s="260" t="s">
        <v>29</v>
      </c>
      <c r="AF116" s="260" t="s">
        <v>157</v>
      </c>
    </row>
    <row r="117" spans="1:32" x14ac:dyDescent="0.3">
      <c r="A117" s="11" t="s">
        <v>35</v>
      </c>
      <c r="B117" s="28" t="s">
        <v>631</v>
      </c>
      <c r="C117" s="28"/>
      <c r="D117" s="260">
        <v>2006</v>
      </c>
      <c r="E117" s="18">
        <v>2409.4838170497901</v>
      </c>
      <c r="F117" s="18">
        <v>2830</v>
      </c>
      <c r="G117" s="260"/>
      <c r="H117" s="260"/>
      <c r="I117" s="260" t="s">
        <v>175</v>
      </c>
      <c r="J117" s="260">
        <v>19.2</v>
      </c>
      <c r="K117" s="9">
        <v>7.7702400000000005E-2</v>
      </c>
      <c r="L117" s="9">
        <v>7.7699643264000002</v>
      </c>
      <c r="M117" s="1">
        <v>7.9685117053447492</v>
      </c>
      <c r="N117" s="1">
        <v>31.009129924555616</v>
      </c>
      <c r="O117" s="260">
        <v>19</v>
      </c>
      <c r="P117" s="1">
        <v>7.6893000000000003E-2</v>
      </c>
      <c r="Q117" s="1">
        <v>7.6890271979999998</v>
      </c>
      <c r="R117" s="1">
        <v>7.885506375080741</v>
      </c>
      <c r="S117" s="1">
        <v>31.335541818498307</v>
      </c>
      <c r="T117" s="1">
        <v>0.51</v>
      </c>
      <c r="U117" s="1">
        <v>1.9607843137254901</v>
      </c>
      <c r="V117" s="1">
        <v>4.0216082512911777</v>
      </c>
      <c r="W117" s="260">
        <v>34.677352999999997</v>
      </c>
      <c r="X117" s="260">
        <v>-112.405838</v>
      </c>
      <c r="Y117" s="260" t="s">
        <v>21</v>
      </c>
      <c r="Z117" s="260" t="s">
        <v>776</v>
      </c>
      <c r="AA117" s="260" t="s">
        <v>96</v>
      </c>
      <c r="AB117" s="15"/>
      <c r="AC117" s="15"/>
      <c r="AD117" s="15"/>
      <c r="AE117" s="260" t="s">
        <v>29</v>
      </c>
      <c r="AF117" s="260" t="s">
        <v>157</v>
      </c>
    </row>
    <row r="118" spans="1:32" x14ac:dyDescent="0.3">
      <c r="A118" s="11" t="s">
        <v>26</v>
      </c>
      <c r="B118" s="11" t="s">
        <v>163</v>
      </c>
      <c r="C118" s="11"/>
      <c r="D118" s="260">
        <v>2012</v>
      </c>
      <c r="E118" s="18">
        <v>2554.2231276146185</v>
      </c>
      <c r="F118" s="18">
        <v>3000</v>
      </c>
      <c r="G118" s="260"/>
      <c r="H118" s="260"/>
      <c r="I118" s="260" t="s">
        <v>164</v>
      </c>
      <c r="J118" s="260">
        <v>22</v>
      </c>
      <c r="K118" s="9">
        <v>8.9034000000000002E-2</v>
      </c>
      <c r="L118" s="9">
        <v>8.9030841239999994</v>
      </c>
      <c r="M118" s="1">
        <v>8.6131864370618771</v>
      </c>
      <c r="N118" s="1">
        <v>28.688176737141074</v>
      </c>
      <c r="O118" s="24" t="s">
        <v>598</v>
      </c>
      <c r="P118" s="88"/>
      <c r="Q118" s="88"/>
      <c r="R118" s="88"/>
      <c r="S118" s="88"/>
      <c r="T118" s="1"/>
      <c r="U118" s="1"/>
      <c r="V118" s="1"/>
      <c r="W118" s="260">
        <v>34.852480999999997</v>
      </c>
      <c r="X118" s="260">
        <v>-116.68293</v>
      </c>
      <c r="Y118" s="260" t="s">
        <v>21</v>
      </c>
      <c r="Z118" s="260"/>
      <c r="AA118" s="24"/>
      <c r="AB118" s="15"/>
      <c r="AC118" s="15"/>
      <c r="AD118" s="15"/>
      <c r="AE118" s="260" t="s">
        <v>24</v>
      </c>
      <c r="AF118" s="260" t="s">
        <v>157</v>
      </c>
    </row>
    <row r="119" spans="1:32" x14ac:dyDescent="0.3">
      <c r="A119" s="11" t="s">
        <v>171</v>
      </c>
      <c r="B119" s="11" t="s">
        <v>379</v>
      </c>
      <c r="C119" s="11"/>
      <c r="D119" s="260">
        <v>2010</v>
      </c>
      <c r="E119" s="18">
        <v>3490.7716077399787</v>
      </c>
      <c r="F119" s="18">
        <v>4100</v>
      </c>
      <c r="G119" s="260"/>
      <c r="H119" s="260">
        <v>13469</v>
      </c>
      <c r="I119" s="260" t="s">
        <v>381</v>
      </c>
      <c r="J119" s="74">
        <v>25</v>
      </c>
      <c r="K119" s="9">
        <v>0.101175</v>
      </c>
      <c r="L119" s="9">
        <v>10.117141050000001</v>
      </c>
      <c r="M119" s="1">
        <v>7.1617403855836006</v>
      </c>
      <c r="N119" s="1">
        <v>34.502313889201666</v>
      </c>
      <c r="O119" s="260">
        <v>18.649999999999999</v>
      </c>
      <c r="P119" s="1">
        <v>7.5476550000000003E-2</v>
      </c>
      <c r="Q119" s="1">
        <v>7.5473872232999994</v>
      </c>
      <c r="R119" s="1">
        <v>5.3426583276453652</v>
      </c>
      <c r="S119" s="1">
        <v>46.249750521718056</v>
      </c>
      <c r="T119" s="1">
        <v>0.44827706048968663</v>
      </c>
      <c r="U119" s="1">
        <v>2.230763267046556</v>
      </c>
      <c r="V119" s="1">
        <v>2.3949911703176094</v>
      </c>
      <c r="W119" s="260">
        <v>40.292326000000003</v>
      </c>
      <c r="X119" s="260">
        <v>-74.855862000000002</v>
      </c>
      <c r="Y119" s="260" t="s">
        <v>21</v>
      </c>
      <c r="Z119" s="260">
        <v>0</v>
      </c>
      <c r="AA119" s="260" t="s">
        <v>96</v>
      </c>
      <c r="AB119" s="15"/>
      <c r="AC119" s="15"/>
      <c r="AD119" s="15"/>
      <c r="AE119" s="260" t="s">
        <v>29</v>
      </c>
      <c r="AF119" s="260" t="s">
        <v>157</v>
      </c>
    </row>
    <row r="120" spans="1:32" x14ac:dyDescent="0.3">
      <c r="A120" s="260" t="s">
        <v>171</v>
      </c>
      <c r="B120" s="260" t="s">
        <v>710</v>
      </c>
      <c r="C120" s="260"/>
      <c r="D120" s="260">
        <v>2012</v>
      </c>
      <c r="E120" s="18">
        <v>4086.7570041833897</v>
      </c>
      <c r="F120" s="260">
        <v>4800</v>
      </c>
      <c r="G120" s="260"/>
      <c r="H120" s="260">
        <v>18216</v>
      </c>
      <c r="I120" s="260" t="s">
        <v>711</v>
      </c>
      <c r="J120" s="260">
        <v>34</v>
      </c>
      <c r="K120" s="9">
        <v>0.137598</v>
      </c>
      <c r="L120" s="9">
        <v>13.759311828000001</v>
      </c>
      <c r="M120" s="1">
        <v>8.3195550812529486</v>
      </c>
      <c r="N120" s="9">
        <v>29.700700621981351</v>
      </c>
      <c r="O120" s="260">
        <v>16</v>
      </c>
      <c r="P120" s="1">
        <v>6.4752000000000004E-2</v>
      </c>
      <c r="Q120" s="1">
        <v>6.4749702720000002</v>
      </c>
      <c r="R120" s="1">
        <v>3.9150847441190346</v>
      </c>
      <c r="S120" s="1">
        <v>63.113988821710372</v>
      </c>
      <c r="T120" s="260"/>
      <c r="U120" s="260"/>
      <c r="V120" s="260"/>
      <c r="W120" s="260">
        <v>40.353589999999997</v>
      </c>
      <c r="X120" s="260">
        <v>-74.185940000000002</v>
      </c>
      <c r="Y120" s="260" t="s">
        <v>21</v>
      </c>
      <c r="Z120" s="260"/>
      <c r="AA120" s="260"/>
      <c r="AB120" s="111"/>
      <c r="AC120" s="260" t="s">
        <v>399</v>
      </c>
      <c r="AD120" s="260"/>
      <c r="AE120" s="260" t="s">
        <v>24</v>
      </c>
      <c r="AF120" s="260" t="s">
        <v>611</v>
      </c>
    </row>
    <row r="121" spans="1:32" x14ac:dyDescent="0.3">
      <c r="A121" s="11" t="s">
        <v>148</v>
      </c>
      <c r="B121" s="11" t="s">
        <v>480</v>
      </c>
      <c r="C121" s="11"/>
      <c r="D121" s="260">
        <v>2011</v>
      </c>
      <c r="E121" s="18">
        <v>5031.8195614007982</v>
      </c>
      <c r="F121" s="94">
        <v>5910</v>
      </c>
      <c r="G121" s="260"/>
      <c r="H121" s="260">
        <v>25172</v>
      </c>
      <c r="I121" s="260" t="s">
        <v>481</v>
      </c>
      <c r="J121" s="74">
        <v>35</v>
      </c>
      <c r="K121" s="9">
        <v>0.14164500000000002</v>
      </c>
      <c r="L121" s="9">
        <v>14.16399747</v>
      </c>
      <c r="M121" s="1">
        <v>6.9557343169627526</v>
      </c>
      <c r="N121" s="1">
        <v>35.524159422505541</v>
      </c>
      <c r="O121" s="11">
        <v>24.748000000000001</v>
      </c>
      <c r="P121" s="1">
        <v>0.10015515600000001</v>
      </c>
      <c r="Q121" s="1">
        <v>10.015160268216</v>
      </c>
      <c r="R121" s="1">
        <v>4.9183003678912636</v>
      </c>
      <c r="S121" s="1">
        <v>50.240244859693476</v>
      </c>
      <c r="T121" s="11"/>
      <c r="U121" s="11"/>
      <c r="V121" s="11"/>
      <c r="W121" s="260">
        <v>28.488683999999999</v>
      </c>
      <c r="X121" s="260">
        <v>-81.181970000000007</v>
      </c>
      <c r="Y121" s="260" t="s">
        <v>21</v>
      </c>
      <c r="Z121" s="260" t="s">
        <v>776</v>
      </c>
      <c r="AA121" s="11" t="s">
        <v>95</v>
      </c>
      <c r="AB121" s="15"/>
      <c r="AC121" s="260"/>
      <c r="AD121" s="260"/>
      <c r="AE121" s="260" t="s">
        <v>29</v>
      </c>
      <c r="AF121" s="260" t="s">
        <v>427</v>
      </c>
    </row>
    <row r="122" spans="1:32" x14ac:dyDescent="0.3">
      <c r="A122" s="11" t="s">
        <v>26</v>
      </c>
      <c r="B122" s="11" t="s">
        <v>298</v>
      </c>
      <c r="C122" s="11"/>
      <c r="D122" s="260">
        <v>2010</v>
      </c>
      <c r="E122" s="18">
        <v>5108.4462552292371</v>
      </c>
      <c r="F122" s="18">
        <v>6000</v>
      </c>
      <c r="G122" s="260">
        <v>20</v>
      </c>
      <c r="H122" s="260">
        <v>30000</v>
      </c>
      <c r="I122" s="260"/>
      <c r="J122" s="260">
        <v>40</v>
      </c>
      <c r="K122" s="9">
        <v>0.16188000000000002</v>
      </c>
      <c r="L122" s="9">
        <v>16.18742568</v>
      </c>
      <c r="M122" s="1">
        <v>7.8301694882380701</v>
      </c>
      <c r="N122" s="1">
        <v>31.556994410855175</v>
      </c>
      <c r="O122" s="11">
        <v>27.5</v>
      </c>
      <c r="P122" s="25">
        <v>0.1112925</v>
      </c>
      <c r="Q122" s="1">
        <v>11.128855155</v>
      </c>
      <c r="R122" s="1">
        <v>5.3832415231636732</v>
      </c>
      <c r="S122" s="25">
        <v>45.901082779425714</v>
      </c>
      <c r="T122" s="1">
        <v>0.45100000000000001</v>
      </c>
      <c r="U122" s="1">
        <v>2.2172949002217295</v>
      </c>
      <c r="V122" s="1">
        <v>2.4278419269468166</v>
      </c>
      <c r="W122" s="260">
        <v>38.608604999999997</v>
      </c>
      <c r="X122" s="260">
        <v>-121.16918</v>
      </c>
      <c r="Y122" s="260" t="s">
        <v>21</v>
      </c>
      <c r="Z122" s="260" t="s">
        <v>776</v>
      </c>
      <c r="AA122" s="260" t="s">
        <v>95</v>
      </c>
      <c r="AB122" s="15"/>
      <c r="AC122" s="15" t="s">
        <v>399</v>
      </c>
      <c r="AD122" s="15" t="s">
        <v>299</v>
      </c>
      <c r="AE122" s="260" t="s">
        <v>29</v>
      </c>
      <c r="AF122" s="260" t="s">
        <v>125</v>
      </c>
    </row>
    <row r="123" spans="1:32" x14ac:dyDescent="0.3">
      <c r="A123" s="11" t="s">
        <v>3</v>
      </c>
      <c r="B123" s="11" t="s">
        <v>422</v>
      </c>
      <c r="C123" s="11"/>
      <c r="D123" s="260">
        <v>2011</v>
      </c>
      <c r="E123" s="18">
        <v>5108.4462552292371</v>
      </c>
      <c r="F123" s="18">
        <v>6000</v>
      </c>
      <c r="G123" s="260"/>
      <c r="H123" s="260">
        <v>18888</v>
      </c>
      <c r="I123" s="260" t="s">
        <v>389</v>
      </c>
      <c r="J123" s="74">
        <v>43</v>
      </c>
      <c r="K123" s="9">
        <v>0.17402100000000001</v>
      </c>
      <c r="L123" s="9">
        <v>17.401482606000002</v>
      </c>
      <c r="M123" s="1">
        <v>8.4174321998559254</v>
      </c>
      <c r="N123" s="1">
        <v>29.355343638004818</v>
      </c>
      <c r="O123" s="260">
        <v>26.75</v>
      </c>
      <c r="P123" s="1">
        <v>0.10825725000000001</v>
      </c>
      <c r="Q123" s="1">
        <v>10.825340923500001</v>
      </c>
      <c r="R123" s="1">
        <v>5.2364258452592098</v>
      </c>
      <c r="S123" s="1">
        <v>47.188029025577833</v>
      </c>
      <c r="T123" s="1">
        <v>0.28499999999999998</v>
      </c>
      <c r="U123" s="1">
        <v>3.5087719298245617</v>
      </c>
      <c r="V123" s="1">
        <v>1.4923813658988747</v>
      </c>
      <c r="W123" s="260">
        <v>38.956650000000003</v>
      </c>
      <c r="X123" s="260">
        <v>-104.80674</v>
      </c>
      <c r="Y123" s="260" t="s">
        <v>21</v>
      </c>
      <c r="Z123" s="260" t="s">
        <v>776</v>
      </c>
      <c r="AA123" s="11" t="s">
        <v>96</v>
      </c>
      <c r="AB123" s="111"/>
      <c r="AC123" s="260"/>
      <c r="AD123" s="260"/>
      <c r="AE123" s="260" t="s">
        <v>29</v>
      </c>
      <c r="AF123" s="260"/>
    </row>
    <row r="124" spans="1:32" x14ac:dyDescent="0.3">
      <c r="A124" s="11" t="s">
        <v>180</v>
      </c>
      <c r="B124" s="11" t="s">
        <v>181</v>
      </c>
      <c r="C124" s="11"/>
      <c r="D124" s="260">
        <v>2010</v>
      </c>
      <c r="E124" s="18">
        <v>8514.0770920487284</v>
      </c>
      <c r="F124" s="94">
        <v>10000</v>
      </c>
      <c r="G124" s="260">
        <v>62</v>
      </c>
      <c r="H124" s="260">
        <v>32292</v>
      </c>
      <c r="I124" s="260" t="s">
        <v>362</v>
      </c>
      <c r="J124" s="260">
        <v>41</v>
      </c>
      <c r="K124" s="9">
        <v>0.16592700000000002</v>
      </c>
      <c r="L124" s="9">
        <v>16.592111322000001</v>
      </c>
      <c r="M124" s="1">
        <v>4.8155542352664131</v>
      </c>
      <c r="N124" s="1">
        <v>51.312186033910862</v>
      </c>
      <c r="O124" s="260">
        <v>32</v>
      </c>
      <c r="P124" s="1">
        <v>0.12950400000000001</v>
      </c>
      <c r="Q124" s="1">
        <v>12.9504</v>
      </c>
      <c r="R124" s="1">
        <v>3.7584813543542737</v>
      </c>
      <c r="S124" s="1">
        <v>65.743738355948295</v>
      </c>
      <c r="T124" s="1">
        <v>0.51359999999999995</v>
      </c>
      <c r="U124" s="1">
        <v>1.9470404984423677</v>
      </c>
      <c r="V124" s="1">
        <v>1.9303560235963548</v>
      </c>
      <c r="W124" s="260">
        <v>41.674954999999997</v>
      </c>
      <c r="X124" s="260">
        <v>-87.650760000000005</v>
      </c>
      <c r="Y124" s="260" t="s">
        <v>21</v>
      </c>
      <c r="Z124" s="260" t="s">
        <v>776</v>
      </c>
      <c r="AA124" s="260" t="s">
        <v>94</v>
      </c>
      <c r="AB124" s="15"/>
      <c r="AC124" s="15"/>
      <c r="AD124" s="15"/>
      <c r="AE124" s="260" t="s">
        <v>29</v>
      </c>
      <c r="AF124" s="260" t="s">
        <v>110</v>
      </c>
    </row>
    <row r="125" spans="1:32" ht="15.6" x14ac:dyDescent="0.3">
      <c r="A125" s="11" t="s">
        <v>160</v>
      </c>
      <c r="B125" s="11" t="s">
        <v>458</v>
      </c>
      <c r="C125" s="11"/>
      <c r="D125" s="260">
        <v>2011</v>
      </c>
      <c r="E125" s="18">
        <v>9110.0624884921399</v>
      </c>
      <c r="F125" s="18">
        <v>10700</v>
      </c>
      <c r="G125" s="260"/>
      <c r="H125" s="260">
        <v>38528</v>
      </c>
      <c r="I125" s="260" t="s">
        <v>8</v>
      </c>
      <c r="J125" s="74">
        <v>100</v>
      </c>
      <c r="K125" s="9">
        <v>0.4047</v>
      </c>
      <c r="L125" s="9">
        <v>40.468564200000003</v>
      </c>
      <c r="M125" s="1">
        <v>10.976873114352433</v>
      </c>
      <c r="N125" s="1">
        <v>22.510656013076698</v>
      </c>
      <c r="O125" s="11">
        <v>73.599999999999994</v>
      </c>
      <c r="P125" s="1">
        <v>0.29785919999999999</v>
      </c>
      <c r="Q125" s="1">
        <v>29.785919999999997</v>
      </c>
      <c r="R125" s="1">
        <v>8.0789786121633913</v>
      </c>
      <c r="S125" s="1">
        <v>30.585130452549866</v>
      </c>
      <c r="T125" s="260">
        <v>0.32450000000000001</v>
      </c>
      <c r="U125" s="1">
        <v>3.0816640986132509</v>
      </c>
      <c r="V125" s="1">
        <v>2.6216285596470206</v>
      </c>
      <c r="W125" s="260">
        <v>32.195472717285199</v>
      </c>
      <c r="X125" s="260">
        <v>-103.191032409668</v>
      </c>
      <c r="Y125" s="260" t="s">
        <v>21</v>
      </c>
      <c r="Z125" s="260" t="s">
        <v>776</v>
      </c>
      <c r="AA125" s="11"/>
      <c r="AB125" s="260"/>
      <c r="AC125" s="260"/>
      <c r="AD125" s="80" t="s">
        <v>464</v>
      </c>
      <c r="AE125" s="260" t="s">
        <v>29</v>
      </c>
      <c r="AF125" s="260" t="s">
        <v>157</v>
      </c>
    </row>
    <row r="126" spans="1:32" ht="15.6" x14ac:dyDescent="0.3">
      <c r="A126" s="11" t="s">
        <v>160</v>
      </c>
      <c r="B126" s="11" t="s">
        <v>456</v>
      </c>
      <c r="C126" s="11"/>
      <c r="D126" s="260">
        <v>2011</v>
      </c>
      <c r="E126" s="18">
        <v>9195.2032594126267</v>
      </c>
      <c r="F126" s="18">
        <v>10800</v>
      </c>
      <c r="G126" s="260"/>
      <c r="H126" s="260">
        <v>38888.074766355137</v>
      </c>
      <c r="I126" s="260" t="s">
        <v>8</v>
      </c>
      <c r="J126" s="74">
        <v>85.71</v>
      </c>
      <c r="K126" s="9">
        <v>0.34686836999999998</v>
      </c>
      <c r="L126" s="9">
        <v>34.685606375820001</v>
      </c>
      <c r="M126" s="1">
        <v>9.3211642616234034</v>
      </c>
      <c r="N126" s="1">
        <v>26.50920076515661</v>
      </c>
      <c r="O126" s="11">
        <v>76.900000000000006</v>
      </c>
      <c r="P126" s="1">
        <v>0.31121430000000005</v>
      </c>
      <c r="Q126" s="1">
        <v>31.121430000000004</v>
      </c>
      <c r="R126" s="1">
        <v>8.3630560228542734</v>
      </c>
      <c r="S126" s="1">
        <v>29.546210631749968</v>
      </c>
      <c r="T126" s="260">
        <v>0.32679999999999998</v>
      </c>
      <c r="U126" s="1">
        <v>3.0599755201958385</v>
      </c>
      <c r="V126" s="1">
        <v>2.7330467082687764</v>
      </c>
      <c r="W126" s="260">
        <v>32.341262817382798</v>
      </c>
      <c r="X126" s="260">
        <v>-104.23040008544901</v>
      </c>
      <c r="Y126" s="260" t="s">
        <v>21</v>
      </c>
      <c r="Z126" s="260" t="s">
        <v>776</v>
      </c>
      <c r="AA126" s="11"/>
      <c r="AB126" s="111"/>
      <c r="AC126" s="260"/>
      <c r="AD126" s="80" t="s">
        <v>464</v>
      </c>
      <c r="AE126" s="260" t="s">
        <v>29</v>
      </c>
      <c r="AF126" s="260" t="s">
        <v>157</v>
      </c>
    </row>
    <row r="127" spans="1:32" x14ac:dyDescent="0.3">
      <c r="A127" s="260" t="s">
        <v>35</v>
      </c>
      <c r="B127" s="260" t="s">
        <v>633</v>
      </c>
      <c r="C127" s="260"/>
      <c r="D127" s="260">
        <v>2006</v>
      </c>
      <c r="E127" s="108">
        <v>10000</v>
      </c>
      <c r="F127" s="98">
        <v>11750</v>
      </c>
      <c r="G127" s="260"/>
      <c r="H127" s="260">
        <v>43000</v>
      </c>
      <c r="I127" s="260" t="s">
        <v>639</v>
      </c>
      <c r="J127" s="260">
        <v>80</v>
      </c>
      <c r="K127" s="9">
        <v>0.32376000000000005</v>
      </c>
      <c r="L127" s="9">
        <v>32.374851360000001</v>
      </c>
      <c r="M127" s="1">
        <v>8</v>
      </c>
      <c r="N127" s="9">
        <v>30.88707684704719</v>
      </c>
      <c r="O127" s="260"/>
      <c r="P127" s="260"/>
      <c r="Q127" s="260"/>
      <c r="R127" s="260"/>
      <c r="S127" s="260"/>
      <c r="T127" s="260"/>
      <c r="U127" s="260"/>
      <c r="V127" s="260"/>
      <c r="W127" s="260">
        <v>34.690739999999998</v>
      </c>
      <c r="X127" s="260">
        <v>-112.40475000000001</v>
      </c>
      <c r="Y127" s="260" t="s">
        <v>21</v>
      </c>
      <c r="Z127" s="260"/>
      <c r="AA127" s="260"/>
      <c r="AB127" s="111"/>
      <c r="AC127" s="260"/>
      <c r="AD127" s="260"/>
      <c r="AE127" s="260" t="s">
        <v>109</v>
      </c>
      <c r="AF127" s="260"/>
    </row>
    <row r="128" spans="1:32" x14ac:dyDescent="0.3">
      <c r="A128" s="69" t="s">
        <v>171</v>
      </c>
      <c r="B128" s="11" t="s">
        <v>172</v>
      </c>
      <c r="C128" s="11"/>
      <c r="D128" s="260">
        <v>2014</v>
      </c>
      <c r="E128" s="18">
        <v>12260.271012550169</v>
      </c>
      <c r="F128" s="18">
        <v>14400</v>
      </c>
      <c r="G128" s="260"/>
      <c r="H128" s="260"/>
      <c r="I128" s="260" t="s">
        <v>374</v>
      </c>
      <c r="J128" s="260">
        <v>90</v>
      </c>
      <c r="K128" s="9">
        <v>0.36423</v>
      </c>
      <c r="L128" s="9">
        <v>36.421707779999998</v>
      </c>
      <c r="M128" s="1">
        <v>7.3407838952231907</v>
      </c>
      <c r="N128" s="9">
        <v>33.660794038245527</v>
      </c>
      <c r="O128" s="24" t="s">
        <v>598</v>
      </c>
      <c r="P128" s="88"/>
      <c r="Q128" s="88"/>
      <c r="R128" s="88"/>
      <c r="S128" s="88"/>
      <c r="T128" s="1"/>
      <c r="U128" s="1"/>
      <c r="V128" s="1"/>
      <c r="W128" s="260">
        <v>39.605580000000003</v>
      </c>
      <c r="X128" s="260">
        <v>-75.1999</v>
      </c>
      <c r="Y128" s="260" t="s">
        <v>21</v>
      </c>
      <c r="Z128" s="260"/>
      <c r="AA128" s="10" t="s">
        <v>96</v>
      </c>
      <c r="AB128" s="15"/>
      <c r="AC128" s="15"/>
      <c r="AD128" s="15"/>
      <c r="AE128" s="11" t="s">
        <v>24</v>
      </c>
      <c r="AF128" s="260" t="s">
        <v>157</v>
      </c>
    </row>
    <row r="129" spans="1:32" x14ac:dyDescent="0.3">
      <c r="A129" s="11" t="s">
        <v>107</v>
      </c>
      <c r="B129" s="11" t="s">
        <v>141</v>
      </c>
      <c r="C129" s="11"/>
      <c r="D129" s="260">
        <v>2007</v>
      </c>
      <c r="E129" s="42">
        <v>13500</v>
      </c>
      <c r="F129" s="94">
        <v>18000</v>
      </c>
      <c r="G129" s="260"/>
      <c r="H129" s="260">
        <v>72416</v>
      </c>
      <c r="I129" s="260"/>
      <c r="J129" s="260">
        <v>140</v>
      </c>
      <c r="K129" s="9">
        <v>0.56658000000000008</v>
      </c>
      <c r="L129" s="9">
        <v>56.65598988</v>
      </c>
      <c r="M129" s="1">
        <v>10.37037037037037</v>
      </c>
      <c r="N129" s="1">
        <v>23.82717356772212</v>
      </c>
      <c r="O129" s="260">
        <v>111</v>
      </c>
      <c r="P129" s="1">
        <v>0.44921700000000003</v>
      </c>
      <c r="Q129" s="1">
        <v>44.921700000000001</v>
      </c>
      <c r="R129" s="1">
        <v>8.2222222222222214</v>
      </c>
      <c r="S129" s="1">
        <v>30.052290986316187</v>
      </c>
      <c r="T129" s="105">
        <v>0.20730499999999999</v>
      </c>
      <c r="U129" s="1">
        <v>4.8238103277779123</v>
      </c>
      <c r="V129" s="1">
        <v>1.7045077777777775</v>
      </c>
      <c r="W129" s="260">
        <v>36.256827000000001</v>
      </c>
      <c r="X129" s="260">
        <v>-115.05431</v>
      </c>
      <c r="Y129" s="260" t="s">
        <v>21</v>
      </c>
      <c r="Z129" s="100" t="s">
        <v>898</v>
      </c>
      <c r="AA129" s="260" t="s">
        <v>95</v>
      </c>
      <c r="AB129" s="15"/>
      <c r="AC129" s="15"/>
      <c r="AD129" s="15"/>
      <c r="AE129" s="260" t="s">
        <v>29</v>
      </c>
      <c r="AF129" s="260" t="s">
        <v>34</v>
      </c>
    </row>
    <row r="130" spans="1:32" x14ac:dyDescent="0.3">
      <c r="A130" s="69" t="s">
        <v>47</v>
      </c>
      <c r="B130" s="11" t="s">
        <v>188</v>
      </c>
      <c r="C130" s="11"/>
      <c r="D130" s="260">
        <v>2011</v>
      </c>
      <c r="E130" s="28">
        <v>15500</v>
      </c>
      <c r="F130" s="94">
        <v>17200</v>
      </c>
      <c r="G130" s="260">
        <v>173</v>
      </c>
      <c r="H130" s="260">
        <v>64000</v>
      </c>
      <c r="I130" s="260" t="s">
        <v>189</v>
      </c>
      <c r="J130" s="260">
        <v>200</v>
      </c>
      <c r="K130" s="9">
        <v>0.80940000000000001</v>
      </c>
      <c r="L130" s="9">
        <v>80.937128400000006</v>
      </c>
      <c r="M130" s="1">
        <v>12.903225806451612</v>
      </c>
      <c r="N130" s="9">
        <v>19.149987645169261</v>
      </c>
      <c r="O130" s="260">
        <v>116.5</v>
      </c>
      <c r="P130" s="1">
        <v>0.47147550000000005</v>
      </c>
      <c r="Q130" s="1">
        <v>47.147550000000003</v>
      </c>
      <c r="R130" s="1">
        <v>7.5161290322580649</v>
      </c>
      <c r="S130" s="1">
        <v>32.875515270676843</v>
      </c>
      <c r="T130" s="260">
        <v>0.34799999999999998</v>
      </c>
      <c r="U130" s="1">
        <v>2.8735632183908049</v>
      </c>
      <c r="V130" s="1">
        <v>2.6156129032258066</v>
      </c>
      <c r="W130" s="260">
        <v>35.749160000000003</v>
      </c>
      <c r="X130" s="260">
        <v>-80.292460000000005</v>
      </c>
      <c r="Y130" s="260" t="s">
        <v>21</v>
      </c>
      <c r="Z130" s="260" t="s">
        <v>777</v>
      </c>
      <c r="AA130" s="11" t="s">
        <v>96</v>
      </c>
      <c r="AB130" s="15"/>
      <c r="AC130" s="15"/>
      <c r="AD130" s="15"/>
      <c r="AE130" s="260" t="s">
        <v>29</v>
      </c>
      <c r="AF130" s="260" t="s">
        <v>110</v>
      </c>
    </row>
    <row r="131" spans="1:32" x14ac:dyDescent="0.3">
      <c r="A131" s="260" t="s">
        <v>107</v>
      </c>
      <c r="B131" s="260" t="s">
        <v>654</v>
      </c>
      <c r="C131" s="260"/>
      <c r="D131" s="260">
        <v>2012</v>
      </c>
      <c r="E131" s="108">
        <v>17500</v>
      </c>
      <c r="F131" s="98">
        <v>20000</v>
      </c>
      <c r="G131" s="260"/>
      <c r="H131" s="260"/>
      <c r="I131" s="260" t="s">
        <v>655</v>
      </c>
      <c r="J131" s="260">
        <v>212</v>
      </c>
      <c r="K131" s="9">
        <v>0.85796400000000006</v>
      </c>
      <c r="L131" s="9">
        <v>85.793356103999997</v>
      </c>
      <c r="M131" s="1">
        <v>12.114285714285714</v>
      </c>
      <c r="N131" s="9">
        <v>20.397126219748145</v>
      </c>
      <c r="O131" s="260"/>
      <c r="P131" s="260"/>
      <c r="Q131" s="260"/>
      <c r="R131" s="260"/>
      <c r="S131" s="260"/>
      <c r="T131" s="260"/>
      <c r="U131" s="260"/>
      <c r="V131" s="260"/>
      <c r="W131" s="260">
        <v>35.484279999999998</v>
      </c>
      <c r="X131" s="260">
        <v>-114.93731</v>
      </c>
      <c r="Y131" s="260" t="s">
        <v>21</v>
      </c>
      <c r="Z131" s="260"/>
      <c r="AA131" s="260"/>
      <c r="AB131" s="111"/>
      <c r="AC131" s="260"/>
      <c r="AD131" s="260"/>
      <c r="AE131" s="260" t="s">
        <v>29</v>
      </c>
      <c r="AF131" s="260" t="s">
        <v>611</v>
      </c>
    </row>
    <row r="132" spans="1:32" x14ac:dyDescent="0.3">
      <c r="A132" s="260" t="s">
        <v>35</v>
      </c>
      <c r="B132" s="260" t="s">
        <v>637</v>
      </c>
      <c r="C132" s="260"/>
      <c r="D132" s="260">
        <v>2011</v>
      </c>
      <c r="E132" s="108">
        <v>18000</v>
      </c>
      <c r="F132" s="98">
        <v>21000</v>
      </c>
      <c r="G132" s="260"/>
      <c r="H132" s="260">
        <v>75168</v>
      </c>
      <c r="I132" s="260" t="s">
        <v>643</v>
      </c>
      <c r="J132" s="260">
        <v>145</v>
      </c>
      <c r="K132" s="9">
        <v>0.58681500000000009</v>
      </c>
      <c r="L132" s="9">
        <v>58.679418089999999</v>
      </c>
      <c r="M132" s="1">
        <v>8.0555555555555554</v>
      </c>
      <c r="N132" s="9">
        <v>30.674062523964107</v>
      </c>
      <c r="O132" s="260"/>
      <c r="P132" s="260"/>
      <c r="Q132" s="260"/>
      <c r="R132" s="260"/>
      <c r="S132" s="260"/>
      <c r="T132" s="260"/>
      <c r="U132" s="260"/>
      <c r="V132" s="260"/>
      <c r="W132" s="260">
        <v>33.031500000000001</v>
      </c>
      <c r="X132" s="260">
        <v>-112.6606</v>
      </c>
      <c r="Y132" s="260" t="s">
        <v>21</v>
      </c>
      <c r="Z132" s="260"/>
      <c r="AA132" s="260"/>
      <c r="AB132" s="15"/>
      <c r="AC132" s="260"/>
      <c r="AD132" s="260" t="s">
        <v>593</v>
      </c>
      <c r="AE132" s="260" t="s">
        <v>29</v>
      </c>
      <c r="AF132" s="260" t="s">
        <v>645</v>
      </c>
    </row>
    <row r="133" spans="1:32" x14ac:dyDescent="0.3">
      <c r="A133" s="260" t="s">
        <v>35</v>
      </c>
      <c r="B133" s="260" t="s">
        <v>667</v>
      </c>
      <c r="C133" s="260"/>
      <c r="D133" s="260">
        <v>2012</v>
      </c>
      <c r="E133" s="18">
        <v>21285.19273012182</v>
      </c>
      <c r="F133" s="98">
        <v>25000</v>
      </c>
      <c r="G133" s="260"/>
      <c r="H133" s="260"/>
      <c r="I133" s="260" t="s">
        <v>8</v>
      </c>
      <c r="J133" s="260">
        <v>199</v>
      </c>
      <c r="K133" s="9">
        <v>0.8053530000000001</v>
      </c>
      <c r="L133" s="9">
        <v>80.535300000000007</v>
      </c>
      <c r="M133" s="1">
        <v>9.349222368956255</v>
      </c>
      <c r="N133" s="9">
        <v>26.429643560180217</v>
      </c>
      <c r="O133" s="260"/>
      <c r="P133" s="260"/>
      <c r="Q133" s="260"/>
      <c r="R133" s="260"/>
      <c r="S133" s="260"/>
      <c r="T133" s="260"/>
      <c r="U133" s="260"/>
      <c r="V133" s="260"/>
      <c r="W133" s="260">
        <v>32.369999999999997</v>
      </c>
      <c r="X133" s="260">
        <v>-111.24250000000001</v>
      </c>
      <c r="Y133" s="260" t="s">
        <v>21</v>
      </c>
      <c r="Z133" s="260"/>
      <c r="AA133" s="260"/>
      <c r="AB133" s="111"/>
      <c r="AC133" s="260"/>
      <c r="AD133" s="260"/>
      <c r="AE133" s="260" t="s">
        <v>109</v>
      </c>
      <c r="AF133" s="260" t="s">
        <v>475</v>
      </c>
    </row>
    <row r="134" spans="1:32" x14ac:dyDescent="0.3">
      <c r="A134" s="69" t="s">
        <v>26</v>
      </c>
      <c r="B134" s="11" t="s">
        <v>361</v>
      </c>
      <c r="C134" s="11"/>
      <c r="D134" s="260">
        <v>2015</v>
      </c>
      <c r="E134" s="94">
        <v>250000</v>
      </c>
      <c r="F134" s="18">
        <v>293631.35580892762</v>
      </c>
      <c r="G134" s="260"/>
      <c r="H134" s="260">
        <v>811000</v>
      </c>
      <c r="I134" s="260" t="s">
        <v>372</v>
      </c>
      <c r="J134" s="260">
        <v>1735</v>
      </c>
      <c r="K134" s="9">
        <v>7.0215450000000006</v>
      </c>
      <c r="L134" s="9">
        <v>702.15449999999998</v>
      </c>
      <c r="M134" s="1">
        <v>6.94</v>
      </c>
      <c r="N134" s="9">
        <v>35.604699535501084</v>
      </c>
      <c r="O134" s="260"/>
      <c r="P134" s="1"/>
      <c r="Q134" s="1"/>
      <c r="R134" s="1"/>
      <c r="S134" s="1"/>
      <c r="T134" s="1"/>
      <c r="U134" s="1"/>
      <c r="V134" s="1"/>
      <c r="W134" s="71">
        <v>35.3074997663498</v>
      </c>
      <c r="X134" s="71">
        <v>-119.91612017154701</v>
      </c>
      <c r="Y134" s="260" t="s">
        <v>21</v>
      </c>
      <c r="Z134" s="260"/>
      <c r="AA134" s="69" t="s">
        <v>371</v>
      </c>
      <c r="AB134" s="15"/>
      <c r="AC134" s="15"/>
      <c r="AD134" s="15"/>
      <c r="AE134" s="260" t="s">
        <v>109</v>
      </c>
      <c r="AF134" s="260" t="s">
        <v>110</v>
      </c>
    </row>
    <row r="135" spans="1:32" x14ac:dyDescent="0.3">
      <c r="A135" s="260" t="s">
        <v>35</v>
      </c>
      <c r="B135" s="260" t="s">
        <v>697</v>
      </c>
      <c r="C135" s="260"/>
      <c r="D135" s="260">
        <v>2016</v>
      </c>
      <c r="E135" s="98">
        <v>300000</v>
      </c>
      <c r="F135" s="18">
        <v>352357.62697071314</v>
      </c>
      <c r="G135" s="260"/>
      <c r="H135" s="260"/>
      <c r="I135" s="260" t="s">
        <v>698</v>
      </c>
      <c r="J135" s="260">
        <v>2013</v>
      </c>
      <c r="K135" s="9">
        <v>8.146611</v>
      </c>
      <c r="L135" s="9">
        <v>814.66110000000003</v>
      </c>
      <c r="M135" s="1">
        <v>6.71</v>
      </c>
      <c r="N135" s="9">
        <v>36.825128878744792</v>
      </c>
      <c r="O135" s="260"/>
      <c r="P135" s="260"/>
      <c r="Q135" s="260"/>
      <c r="R135" s="1"/>
      <c r="S135" s="260"/>
      <c r="T135" s="260"/>
      <c r="U135" s="260"/>
      <c r="V135" s="260"/>
      <c r="W135" s="260">
        <v>33.2393</v>
      </c>
      <c r="X135" s="260">
        <v>-112.6202</v>
      </c>
      <c r="Y135" s="260" t="s">
        <v>21</v>
      </c>
      <c r="Z135" s="260"/>
      <c r="AA135" s="260"/>
      <c r="AB135" s="111"/>
      <c r="AC135" s="260"/>
      <c r="AD135" s="260"/>
      <c r="AE135" s="260" t="s">
        <v>24</v>
      </c>
      <c r="AF135" s="260" t="s">
        <v>694</v>
      </c>
    </row>
    <row r="136" spans="1:32" x14ac:dyDescent="0.3">
      <c r="A136" s="11" t="s">
        <v>529</v>
      </c>
      <c r="B136" s="11" t="s">
        <v>528</v>
      </c>
      <c r="C136" s="11"/>
      <c r="D136" s="260">
        <v>2011</v>
      </c>
      <c r="E136" s="18">
        <v>1873.0969602507203</v>
      </c>
      <c r="F136" s="75">
        <v>2200</v>
      </c>
      <c r="G136" s="260">
        <v>12</v>
      </c>
      <c r="H136" s="260">
        <v>9000</v>
      </c>
      <c r="I136" s="260" t="s">
        <v>530</v>
      </c>
      <c r="J136" s="74">
        <v>27</v>
      </c>
      <c r="K136" s="9">
        <v>0.10926900000000001</v>
      </c>
      <c r="L136" s="9">
        <v>10.926512334</v>
      </c>
      <c r="M136" s="1">
        <v>14.414630194256446</v>
      </c>
      <c r="N136" s="1">
        <v>17.142071037995407</v>
      </c>
      <c r="O136" s="11">
        <v>22</v>
      </c>
      <c r="P136" s="1">
        <v>8.9034000000000002E-2</v>
      </c>
      <c r="Q136" s="1">
        <v>8.9033999999999995</v>
      </c>
      <c r="R136" s="1">
        <v>11.745254232357103</v>
      </c>
      <c r="S136" s="1">
        <v>21.037996273903456</v>
      </c>
      <c r="T136" s="260">
        <v>0.22450000000000001</v>
      </c>
      <c r="U136" s="25">
        <v>4.4543429844097995</v>
      </c>
      <c r="V136" s="25">
        <v>2.6368095751641696</v>
      </c>
      <c r="W136" s="260">
        <v>44.435600000000001</v>
      </c>
      <c r="X136" s="260">
        <v>-73.146010000000004</v>
      </c>
      <c r="Y136" s="260" t="s">
        <v>139</v>
      </c>
      <c r="Z136" s="260" t="s">
        <v>531</v>
      </c>
      <c r="AA136" s="11" t="s">
        <v>96</v>
      </c>
      <c r="AB136" s="15"/>
      <c r="AC136" s="11"/>
      <c r="AD136" s="260" t="s">
        <v>532</v>
      </c>
      <c r="AE136" s="260" t="s">
        <v>29</v>
      </c>
      <c r="AF136" s="260" t="s">
        <v>157</v>
      </c>
    </row>
    <row r="137" spans="1:32" x14ac:dyDescent="0.3">
      <c r="A137" s="11" t="s">
        <v>407</v>
      </c>
      <c r="B137" s="11" t="s">
        <v>406</v>
      </c>
      <c r="C137" s="11"/>
      <c r="D137" s="260">
        <v>2011</v>
      </c>
      <c r="E137" s="18">
        <v>851.40770920487284</v>
      </c>
      <c r="F137" s="18">
        <v>1000</v>
      </c>
      <c r="G137" s="260"/>
      <c r="H137" s="260">
        <v>4340</v>
      </c>
      <c r="I137" s="260" t="s">
        <v>408</v>
      </c>
      <c r="J137" s="74">
        <v>4.8499999999999996</v>
      </c>
      <c r="K137" s="9">
        <v>1.9627949999999998E-2</v>
      </c>
      <c r="L137" s="9">
        <v>1.9627253636999999</v>
      </c>
      <c r="M137" s="1">
        <v>5.6964483026931951</v>
      </c>
      <c r="N137" s="1">
        <v>43.377311904955583</v>
      </c>
      <c r="O137" s="24" t="s">
        <v>598</v>
      </c>
      <c r="P137" s="88"/>
      <c r="Q137" s="88"/>
      <c r="R137" s="88"/>
      <c r="S137" s="88"/>
      <c r="T137" s="260"/>
      <c r="U137" s="1"/>
      <c r="V137" s="1"/>
      <c r="W137" s="260">
        <v>34.842637000000003</v>
      </c>
      <c r="X137" s="260">
        <v>-84.033394000000001</v>
      </c>
      <c r="Y137" s="260" t="s">
        <v>91</v>
      </c>
      <c r="Z137" s="260"/>
      <c r="AA137" s="11" t="s">
        <v>94</v>
      </c>
      <c r="AB137" s="111"/>
      <c r="AC137" s="260"/>
      <c r="AD137" s="260" t="s">
        <v>409</v>
      </c>
      <c r="AE137" s="260" t="s">
        <v>29</v>
      </c>
      <c r="AF137" s="260" t="s">
        <v>157</v>
      </c>
    </row>
    <row r="138" spans="1:32" x14ac:dyDescent="0.3">
      <c r="A138" s="11" t="s">
        <v>148</v>
      </c>
      <c r="B138" s="260" t="s">
        <v>154</v>
      </c>
      <c r="C138" s="260"/>
      <c r="D138" s="260">
        <v>2009</v>
      </c>
      <c r="E138" s="42">
        <v>900</v>
      </c>
      <c r="F138" s="94">
        <v>1000</v>
      </c>
      <c r="G138" s="260"/>
      <c r="H138" s="260"/>
      <c r="I138" s="260" t="s">
        <v>155</v>
      </c>
      <c r="J138" s="260">
        <v>5.5</v>
      </c>
      <c r="K138" s="9">
        <v>2.2258500000000001E-2</v>
      </c>
      <c r="L138" s="9">
        <v>2.2257710309999998</v>
      </c>
      <c r="M138" s="1">
        <v>6.1111111111111107</v>
      </c>
      <c r="N138" s="1">
        <v>40.43399150886178</v>
      </c>
      <c r="O138" s="260">
        <v>2.5</v>
      </c>
      <c r="P138" s="1">
        <v>1.0117500000000001E-2</v>
      </c>
      <c r="Q138" s="1">
        <v>1.0117499999999999</v>
      </c>
      <c r="R138" s="1">
        <v>2.7777777777777777</v>
      </c>
      <c r="S138" s="1">
        <v>88.954781319495908</v>
      </c>
      <c r="T138" s="260">
        <v>0.57999999999999996</v>
      </c>
      <c r="U138" s="1">
        <v>1.7241379310344829</v>
      </c>
      <c r="V138" s="1">
        <v>1.6111111111111109</v>
      </c>
      <c r="W138" s="260">
        <v>28.516894000000001</v>
      </c>
      <c r="X138" s="260">
        <v>-80.649524</v>
      </c>
      <c r="Y138" s="260" t="s">
        <v>91</v>
      </c>
      <c r="Z138" s="260"/>
      <c r="AA138" s="260" t="s">
        <v>94</v>
      </c>
      <c r="AB138" s="15"/>
      <c r="AC138" s="15"/>
      <c r="AD138" s="15"/>
      <c r="AE138" s="260" t="s">
        <v>29</v>
      </c>
      <c r="AF138" s="260" t="s">
        <v>110</v>
      </c>
    </row>
    <row r="139" spans="1:32" x14ac:dyDescent="0.3">
      <c r="A139" s="11" t="s">
        <v>3</v>
      </c>
      <c r="B139" s="260" t="s">
        <v>158</v>
      </c>
      <c r="C139" s="260"/>
      <c r="D139" s="260">
        <v>2009</v>
      </c>
      <c r="E139" s="18">
        <v>1021.6892510458474</v>
      </c>
      <c r="F139" s="18">
        <v>1200</v>
      </c>
      <c r="G139" s="260"/>
      <c r="H139" s="260">
        <v>6800</v>
      </c>
      <c r="I139" s="260" t="s">
        <v>364</v>
      </c>
      <c r="J139" s="260">
        <v>4.3</v>
      </c>
      <c r="K139" s="9">
        <v>1.74021E-2</v>
      </c>
      <c r="L139" s="9">
        <v>1.7401482606000001</v>
      </c>
      <c r="M139" s="1">
        <v>4.2087160999279618</v>
      </c>
      <c r="N139" s="1">
        <v>58.710687276009651</v>
      </c>
      <c r="O139" s="260">
        <v>3.5</v>
      </c>
      <c r="P139" s="1">
        <v>1.41645E-2</v>
      </c>
      <c r="Q139" s="1">
        <v>1.41645</v>
      </c>
      <c r="R139" s="1">
        <v>3.4256991511041552</v>
      </c>
      <c r="S139" s="1">
        <v>72.130272939097566</v>
      </c>
      <c r="T139" s="260"/>
      <c r="U139" s="1"/>
      <c r="V139" s="1"/>
      <c r="W139" s="260">
        <v>38.312379</v>
      </c>
      <c r="X139" s="260">
        <v>-104.575934</v>
      </c>
      <c r="Y139" s="260" t="s">
        <v>91</v>
      </c>
      <c r="Z139" s="260"/>
      <c r="AA139" s="260" t="s">
        <v>96</v>
      </c>
      <c r="AB139" s="15"/>
      <c r="AC139" s="15"/>
      <c r="AD139" s="15"/>
      <c r="AE139" s="260" t="s">
        <v>29</v>
      </c>
      <c r="AF139" s="260" t="s">
        <v>157</v>
      </c>
    </row>
    <row r="140" spans="1:32" ht="15.6" x14ac:dyDescent="0.3">
      <c r="A140" s="11" t="s">
        <v>429</v>
      </c>
      <c r="B140" s="11" t="s">
        <v>454</v>
      </c>
      <c r="C140" s="11"/>
      <c r="D140" s="260">
        <v>2011</v>
      </c>
      <c r="E140" s="18">
        <v>1021.6892510458474</v>
      </c>
      <c r="F140" s="18">
        <v>1200</v>
      </c>
      <c r="G140" s="260">
        <v>7</v>
      </c>
      <c r="H140" s="260">
        <v>6000</v>
      </c>
      <c r="I140" s="260" t="s">
        <v>455</v>
      </c>
      <c r="J140" s="74">
        <v>6</v>
      </c>
      <c r="K140" s="9">
        <v>2.4282000000000001E-2</v>
      </c>
      <c r="L140" s="9">
        <v>2.4281138520000001</v>
      </c>
      <c r="M140" s="1">
        <v>5.8726271161785517</v>
      </c>
      <c r="N140" s="1">
        <v>42.075992547806912</v>
      </c>
      <c r="O140" s="11">
        <v>5.6588000000000003</v>
      </c>
      <c r="P140" s="1">
        <v>2.2901163600000003E-2</v>
      </c>
      <c r="Q140" s="1">
        <v>2.2901163600000003</v>
      </c>
      <c r="R140" s="1">
        <v>5.5386703875051984</v>
      </c>
      <c r="S140" s="1">
        <v>44.612984252286964</v>
      </c>
      <c r="T140" s="260"/>
      <c r="U140" s="260"/>
      <c r="V140" s="260"/>
      <c r="W140" s="260">
        <v>38.991762999999999</v>
      </c>
      <c r="X140" s="260">
        <v>-75.440185999999997</v>
      </c>
      <c r="Y140" s="260" t="s">
        <v>91</v>
      </c>
      <c r="Z140" s="260"/>
      <c r="AA140" s="11"/>
      <c r="AB140" s="15"/>
      <c r="AC140" s="260"/>
      <c r="AD140" s="80"/>
      <c r="AE140" s="260" t="s">
        <v>109</v>
      </c>
      <c r="AF140" s="260" t="s">
        <v>157</v>
      </c>
    </row>
    <row r="141" spans="1:32" x14ac:dyDescent="0.3">
      <c r="A141" s="11" t="s">
        <v>26</v>
      </c>
      <c r="B141" s="11" t="s">
        <v>542</v>
      </c>
      <c r="C141" s="11"/>
      <c r="D141" s="260">
        <v>2003</v>
      </c>
      <c r="E141" s="18">
        <v>1099.1673525834908</v>
      </c>
      <c r="F141" s="75">
        <v>1291</v>
      </c>
      <c r="G141" s="260"/>
      <c r="H141" s="260">
        <v>8000</v>
      </c>
      <c r="I141" s="260" t="s">
        <v>364</v>
      </c>
      <c r="J141" s="74">
        <v>9</v>
      </c>
      <c r="K141" s="9">
        <v>3.6423000000000004E-2</v>
      </c>
      <c r="L141" s="9">
        <v>3.6421707780000001</v>
      </c>
      <c r="M141" s="1">
        <v>8.1880161186068126</v>
      </c>
      <c r="N141" s="1">
        <v>30.177836877343733</v>
      </c>
      <c r="O141" s="11">
        <v>6</v>
      </c>
      <c r="P141" s="25">
        <v>2.4282000000000001E-2</v>
      </c>
      <c r="Q141" s="1">
        <v>2.4281999999999999</v>
      </c>
      <c r="R141" s="1">
        <v>5.4586774124045414</v>
      </c>
      <c r="S141" s="1">
        <v>45.266755316015598</v>
      </c>
      <c r="T141" s="260">
        <v>0.48630000000000001</v>
      </c>
      <c r="U141" s="1">
        <v>2.056343820686819</v>
      </c>
      <c r="V141" s="1">
        <v>2.6545548256523284</v>
      </c>
      <c r="W141" s="260">
        <v>34.238880000000002</v>
      </c>
      <c r="X141" s="260">
        <v>-116.05292</v>
      </c>
      <c r="Y141" s="260" t="s">
        <v>91</v>
      </c>
      <c r="Z141" s="260" t="s">
        <v>543</v>
      </c>
      <c r="AA141" s="11" t="s">
        <v>106</v>
      </c>
      <c r="AB141" s="15"/>
      <c r="AC141" s="11"/>
      <c r="AD141" s="260"/>
      <c r="AE141" s="260" t="s">
        <v>29</v>
      </c>
      <c r="AF141" s="260" t="s">
        <v>475</v>
      </c>
    </row>
    <row r="142" spans="1:32" x14ac:dyDescent="0.3">
      <c r="A142" s="11" t="s">
        <v>171</v>
      </c>
      <c r="B142" s="11" t="s">
        <v>437</v>
      </c>
      <c r="C142" s="11"/>
      <c r="D142" s="260">
        <v>2012</v>
      </c>
      <c r="E142" s="18">
        <v>1106.8300219663347</v>
      </c>
      <c r="F142" s="18">
        <v>1300</v>
      </c>
      <c r="G142" s="260"/>
      <c r="H142" s="260">
        <v>5496</v>
      </c>
      <c r="I142" s="260" t="s">
        <v>438</v>
      </c>
      <c r="J142" s="74">
        <v>5.5</v>
      </c>
      <c r="K142" s="9">
        <v>2.2258500000000001E-2</v>
      </c>
      <c r="L142" s="9">
        <v>2.2257710309999998</v>
      </c>
      <c r="M142" s="1">
        <v>4.9691460213818521</v>
      </c>
      <c r="N142" s="1">
        <v>49.72617301104453</v>
      </c>
      <c r="O142" s="260">
        <v>4.5</v>
      </c>
      <c r="P142" s="1">
        <v>1.8211500000000002E-2</v>
      </c>
      <c r="Q142" s="1">
        <v>1.82115</v>
      </c>
      <c r="R142" s="1">
        <v>4.0656649265851517</v>
      </c>
      <c r="S142" s="1">
        <v>60.776433680165532</v>
      </c>
      <c r="T142" s="260"/>
      <c r="U142" s="260"/>
      <c r="V142" s="260"/>
      <c r="W142" s="260">
        <v>40.168640000000003</v>
      </c>
      <c r="X142" s="260">
        <v>-74.753636999999998</v>
      </c>
      <c r="Y142" s="260" t="s">
        <v>91</v>
      </c>
      <c r="Z142" s="260"/>
      <c r="AA142" s="11" t="s">
        <v>95</v>
      </c>
      <c r="AB142" s="111"/>
      <c r="AC142" s="260"/>
      <c r="AD142" s="260"/>
      <c r="AE142" s="260" t="s">
        <v>29</v>
      </c>
      <c r="AF142" s="260" t="s">
        <v>157</v>
      </c>
    </row>
    <row r="143" spans="1:32" x14ac:dyDescent="0.3">
      <c r="A143" s="11" t="s">
        <v>3</v>
      </c>
      <c r="B143" s="11" t="s">
        <v>143</v>
      </c>
      <c r="C143" s="11"/>
      <c r="D143" s="260">
        <v>2009</v>
      </c>
      <c r="E143" s="18">
        <v>1362.2523347277966</v>
      </c>
      <c r="F143" s="18">
        <v>1600</v>
      </c>
      <c r="G143" s="260">
        <v>7</v>
      </c>
      <c r="H143" s="260">
        <v>7392</v>
      </c>
      <c r="I143" s="260"/>
      <c r="J143" s="260">
        <v>9</v>
      </c>
      <c r="K143" s="9">
        <v>3.6423000000000004E-2</v>
      </c>
      <c r="L143" s="9">
        <v>3.6421707780000001</v>
      </c>
      <c r="M143" s="1">
        <v>6.6067055057008712</v>
      </c>
      <c r="N143" s="1">
        <v>37.400882264717254</v>
      </c>
      <c r="O143" s="11">
        <v>7.1</v>
      </c>
      <c r="P143" s="25">
        <v>2.8733700000000001E-2</v>
      </c>
      <c r="Q143" s="1">
        <v>2.8732680581999999</v>
      </c>
      <c r="R143" s="1">
        <v>5.2119565656084648</v>
      </c>
      <c r="S143" s="1">
        <v>47.409569067951452</v>
      </c>
      <c r="T143" s="260">
        <v>0.43</v>
      </c>
      <c r="U143" s="1">
        <v>2.3255813953488373</v>
      </c>
      <c r="V143" s="1">
        <v>2.2411413232116399</v>
      </c>
      <c r="W143" s="260">
        <v>39.900089999999999</v>
      </c>
      <c r="X143" s="260">
        <v>-104.673615</v>
      </c>
      <c r="Y143" s="260" t="s">
        <v>91</v>
      </c>
      <c r="Z143" s="260"/>
      <c r="AA143" s="260" t="s">
        <v>95</v>
      </c>
      <c r="AB143" s="15"/>
      <c r="AC143" s="15"/>
      <c r="AD143" s="15"/>
      <c r="AE143" s="260" t="s">
        <v>29</v>
      </c>
      <c r="AF143" s="260" t="s">
        <v>110</v>
      </c>
    </row>
    <row r="144" spans="1:32" x14ac:dyDescent="0.3">
      <c r="A144" s="11" t="s">
        <v>491</v>
      </c>
      <c r="B144" s="11" t="s">
        <v>559</v>
      </c>
      <c r="C144" s="11"/>
      <c r="D144" s="260">
        <v>2011</v>
      </c>
      <c r="E144" s="18">
        <v>1702.8154184097457</v>
      </c>
      <c r="F144" s="75">
        <v>2000</v>
      </c>
      <c r="G144" s="260"/>
      <c r="H144" s="260">
        <v>18000</v>
      </c>
      <c r="I144" s="260" t="s">
        <v>558</v>
      </c>
      <c r="J144" s="74">
        <v>11</v>
      </c>
      <c r="K144" s="9">
        <v>4.4517000000000001E-2</v>
      </c>
      <c r="L144" s="9">
        <v>4.4515420619999997</v>
      </c>
      <c r="M144" s="1">
        <v>6.4598898277964079</v>
      </c>
      <c r="N144" s="1">
        <v>38.250902316188103</v>
      </c>
      <c r="O144" s="11">
        <v>7.9</v>
      </c>
      <c r="P144" s="25">
        <v>3.1971300000000001E-2</v>
      </c>
      <c r="Q144" s="1">
        <v>3.19713</v>
      </c>
      <c r="R144" s="1">
        <v>4.6393754217810566</v>
      </c>
      <c r="S144" s="1">
        <v>53.260750060515079</v>
      </c>
      <c r="T144" s="11">
        <v>0.52844999999999998</v>
      </c>
      <c r="U144" s="11"/>
      <c r="V144" s="11"/>
      <c r="W144" s="260">
        <v>42.610520000000001</v>
      </c>
      <c r="X144" s="260">
        <v>-72.475325999999995</v>
      </c>
      <c r="Y144" s="260" t="s">
        <v>91</v>
      </c>
      <c r="Z144" s="260"/>
      <c r="AA144" s="11"/>
      <c r="AB144" s="15"/>
      <c r="AC144" s="11" t="s">
        <v>366</v>
      </c>
      <c r="AD144" s="260" t="s">
        <v>560</v>
      </c>
      <c r="AE144" s="260" t="s">
        <v>29</v>
      </c>
      <c r="AF144" s="260" t="s">
        <v>157</v>
      </c>
    </row>
    <row r="145" spans="1:32" x14ac:dyDescent="0.3">
      <c r="A145" s="11" t="s">
        <v>168</v>
      </c>
      <c r="B145" s="260" t="s">
        <v>169</v>
      </c>
      <c r="C145" s="260"/>
      <c r="D145" s="260">
        <v>2010</v>
      </c>
      <c r="E145" s="18">
        <v>2554.2231276146185</v>
      </c>
      <c r="F145" s="18">
        <v>3000</v>
      </c>
      <c r="G145" s="260"/>
      <c r="H145" s="260">
        <v>40000</v>
      </c>
      <c r="I145" s="260" t="s">
        <v>170</v>
      </c>
      <c r="J145" s="260">
        <v>23.2</v>
      </c>
      <c r="K145" s="9">
        <v>9.3890399999999999E-2</v>
      </c>
      <c r="L145" s="9">
        <v>9.3887068944000003</v>
      </c>
      <c r="M145" s="1">
        <v>9.0829966063561614</v>
      </c>
      <c r="N145" s="1">
        <v>27.204305526599295</v>
      </c>
      <c r="O145" s="260">
        <v>15.2</v>
      </c>
      <c r="P145" s="1">
        <v>6.1514400000000004E-2</v>
      </c>
      <c r="Q145" s="1">
        <v>6.15144</v>
      </c>
      <c r="R145" s="1">
        <v>5.9509288110609333</v>
      </c>
      <c r="S145" s="1">
        <v>41.522361066914712</v>
      </c>
      <c r="T145" s="260">
        <v>0.462337</v>
      </c>
      <c r="U145" s="1">
        <v>2.1629244468861457</v>
      </c>
      <c r="V145" s="1">
        <v>2.7513345737194785</v>
      </c>
      <c r="W145" s="260">
        <v>41.061152</v>
      </c>
      <c r="X145" s="260">
        <v>-75.514830000000003</v>
      </c>
      <c r="Y145" s="260" t="s">
        <v>91</v>
      </c>
      <c r="Z145" s="260"/>
      <c r="AA145" s="260" t="s">
        <v>94</v>
      </c>
      <c r="AB145" s="15"/>
      <c r="AC145" s="15"/>
      <c r="AD145" s="15"/>
      <c r="AE145" s="260" t="s">
        <v>109</v>
      </c>
      <c r="AF145" s="260" t="s">
        <v>157</v>
      </c>
    </row>
    <row r="146" spans="1:32" x14ac:dyDescent="0.3">
      <c r="A146" s="11" t="s">
        <v>168</v>
      </c>
      <c r="B146" s="260" t="s">
        <v>178</v>
      </c>
      <c r="C146" s="260"/>
      <c r="D146" s="260">
        <v>2008</v>
      </c>
      <c r="E146" s="18">
        <v>2554.2231276146185</v>
      </c>
      <c r="F146" s="18">
        <v>3000</v>
      </c>
      <c r="G146" s="260"/>
      <c r="H146" s="260">
        <v>17000</v>
      </c>
      <c r="I146" s="260" t="s">
        <v>179</v>
      </c>
      <c r="J146" s="260">
        <v>16.5</v>
      </c>
      <c r="K146" s="9">
        <v>6.6775500000000002E-2</v>
      </c>
      <c r="L146" s="9">
        <v>6.6773130930000004</v>
      </c>
      <c r="M146" s="1">
        <v>6.4598898277964079</v>
      </c>
      <c r="N146" s="1">
        <v>38.250902316188096</v>
      </c>
      <c r="O146" s="260">
        <v>11</v>
      </c>
      <c r="P146" s="1">
        <v>4.4517000000000001E-2</v>
      </c>
      <c r="Q146" s="1">
        <v>4.4516999999999998</v>
      </c>
      <c r="R146" s="1">
        <v>4.3065932185309386</v>
      </c>
      <c r="S146" s="1">
        <v>57.376353474282148</v>
      </c>
      <c r="T146" s="260">
        <v>0.47499999999999998</v>
      </c>
      <c r="U146" s="1">
        <v>2.1052631578947367</v>
      </c>
      <c r="V146" s="1">
        <v>2.0456317788021958</v>
      </c>
      <c r="W146" s="260">
        <v>40.148798999999997</v>
      </c>
      <c r="X146" s="260">
        <v>-74.777175999999997</v>
      </c>
      <c r="Y146" s="260" t="s">
        <v>91</v>
      </c>
      <c r="Z146" s="260"/>
      <c r="AA146" s="69" t="s">
        <v>95</v>
      </c>
      <c r="AB146" s="15"/>
      <c r="AC146" s="15"/>
      <c r="AD146" s="15"/>
      <c r="AE146" s="260" t="s">
        <v>29</v>
      </c>
      <c r="AF146" s="260" t="s">
        <v>110</v>
      </c>
    </row>
    <row r="147" spans="1:32" x14ac:dyDescent="0.3">
      <c r="A147" s="11" t="s">
        <v>171</v>
      </c>
      <c r="B147" s="11" t="s">
        <v>441</v>
      </c>
      <c r="C147" s="11"/>
      <c r="D147" s="260">
        <v>2011</v>
      </c>
      <c r="E147" s="18">
        <v>2554.2231276146185</v>
      </c>
      <c r="F147" s="94">
        <v>3000</v>
      </c>
      <c r="G147" s="260">
        <v>18</v>
      </c>
      <c r="H147" s="260">
        <v>12506</v>
      </c>
      <c r="I147" s="260" t="s">
        <v>443</v>
      </c>
      <c r="J147" s="74">
        <v>13</v>
      </c>
      <c r="K147" s="9">
        <v>5.2611000000000005E-2</v>
      </c>
      <c r="L147" s="9">
        <v>5.2609133460000006</v>
      </c>
      <c r="M147" s="1">
        <v>5.0896101673547456</v>
      </c>
      <c r="N147" s="1">
        <v>48.549222170546429</v>
      </c>
      <c r="O147" s="24" t="s">
        <v>598</v>
      </c>
      <c r="P147" s="24"/>
      <c r="Q147" s="24"/>
      <c r="R147" s="24"/>
      <c r="S147" s="24"/>
      <c r="T147" s="260"/>
      <c r="U147" s="260"/>
      <c r="V147" s="260"/>
      <c r="W147" s="260">
        <v>40.751061</v>
      </c>
      <c r="X147" s="260">
        <v>-74.109864000000002</v>
      </c>
      <c r="Y147" s="260" t="s">
        <v>91</v>
      </c>
      <c r="Z147" s="260"/>
      <c r="AA147" s="11" t="s">
        <v>95</v>
      </c>
      <c r="AB147" s="111"/>
      <c r="AC147" s="260"/>
      <c r="AD147" s="260"/>
      <c r="AE147" s="260" t="s">
        <v>29</v>
      </c>
      <c r="AF147" s="260" t="s">
        <v>157</v>
      </c>
    </row>
    <row r="148" spans="1:32" x14ac:dyDescent="0.3">
      <c r="A148" s="11" t="s">
        <v>3</v>
      </c>
      <c r="B148" s="11" t="s">
        <v>613</v>
      </c>
      <c r="C148" s="11"/>
      <c r="D148" s="260">
        <v>2010</v>
      </c>
      <c r="E148" s="18">
        <v>2809.6454403760804</v>
      </c>
      <c r="F148" s="18">
        <v>3300</v>
      </c>
      <c r="G148" s="260"/>
      <c r="H148" s="260">
        <v>8000</v>
      </c>
      <c r="I148" s="70" t="s">
        <v>365</v>
      </c>
      <c r="J148" s="260">
        <v>13.13</v>
      </c>
      <c r="K148" s="9">
        <v>5.3137110000000008E-2</v>
      </c>
      <c r="L148" s="9">
        <v>5.3135224794600004</v>
      </c>
      <c r="M148" s="1">
        <v>4.6731875172984489</v>
      </c>
      <c r="N148" s="1">
        <v>52.875390482773334</v>
      </c>
      <c r="O148" s="11">
        <v>11.9</v>
      </c>
      <c r="P148" s="1">
        <v>4.8159300000000002E-2</v>
      </c>
      <c r="Q148" s="1">
        <v>4.8159299999999998</v>
      </c>
      <c r="R148" s="1">
        <v>4.235409859546956</v>
      </c>
      <c r="S148" s="1">
        <v>58.340661936034785</v>
      </c>
      <c r="T148" s="260">
        <v>0.59</v>
      </c>
      <c r="U148" s="1">
        <v>1.6949152542372883</v>
      </c>
      <c r="V148" s="1">
        <v>2.4988918171327041</v>
      </c>
      <c r="W148" s="260">
        <v>40.592049000000003</v>
      </c>
      <c r="X148" s="260">
        <v>-105.14837</v>
      </c>
      <c r="Y148" s="260" t="s">
        <v>91</v>
      </c>
      <c r="Z148" s="260"/>
      <c r="AA148" s="69" t="s">
        <v>94</v>
      </c>
      <c r="AB148" s="15"/>
      <c r="AC148" s="15"/>
      <c r="AD148" s="15" t="s">
        <v>254</v>
      </c>
      <c r="AE148" s="260" t="s">
        <v>29</v>
      </c>
      <c r="AF148" s="260" t="s">
        <v>157</v>
      </c>
    </row>
    <row r="149" spans="1:32" x14ac:dyDescent="0.3">
      <c r="A149" s="11" t="s">
        <v>171</v>
      </c>
      <c r="B149" s="11" t="s">
        <v>182</v>
      </c>
      <c r="C149" s="11"/>
      <c r="D149" s="260">
        <v>2009</v>
      </c>
      <c r="E149" s="18">
        <v>3490.7716077399787</v>
      </c>
      <c r="F149" s="18">
        <v>4100</v>
      </c>
      <c r="G149" s="260">
        <v>24</v>
      </c>
      <c r="H149" s="260">
        <v>13000</v>
      </c>
      <c r="I149" s="260"/>
      <c r="J149" s="260">
        <v>28</v>
      </c>
      <c r="K149" s="9">
        <v>0.113316</v>
      </c>
      <c r="L149" s="9">
        <v>11.331197976</v>
      </c>
      <c r="M149" s="1">
        <v>8.0211492318536326</v>
      </c>
      <c r="N149" s="1">
        <v>30.805637401072918</v>
      </c>
      <c r="O149" s="260">
        <v>15</v>
      </c>
      <c r="P149" s="1">
        <v>6.0705000000000002E-2</v>
      </c>
      <c r="Q149" s="1">
        <v>6.0705</v>
      </c>
      <c r="R149" s="1">
        <v>4.29704423135016</v>
      </c>
      <c r="S149" s="1">
        <v>57.503856482002782</v>
      </c>
      <c r="T149" s="260">
        <v>0.60821000000000003</v>
      </c>
      <c r="U149" s="1">
        <v>1.6441689548017953</v>
      </c>
      <c r="V149" s="1">
        <v>2.6135052719494811</v>
      </c>
      <c r="W149" s="260">
        <v>39.464311000000002</v>
      </c>
      <c r="X149" s="260">
        <v>-75.067610000000002</v>
      </c>
      <c r="Y149" s="260" t="s">
        <v>91</v>
      </c>
      <c r="Z149" s="260" t="s">
        <v>183</v>
      </c>
      <c r="AA149" s="260" t="s">
        <v>94</v>
      </c>
      <c r="AB149" s="15"/>
      <c r="AC149" s="15" t="s">
        <v>391</v>
      </c>
      <c r="AD149" s="15"/>
      <c r="AE149" s="260" t="s">
        <v>29</v>
      </c>
      <c r="AF149" s="260" t="s">
        <v>110</v>
      </c>
    </row>
    <row r="150" spans="1:32" x14ac:dyDescent="0.3">
      <c r="A150" s="11" t="s">
        <v>3</v>
      </c>
      <c r="B150" s="11" t="s">
        <v>144</v>
      </c>
      <c r="C150" s="11"/>
      <c r="D150" s="260">
        <v>2010</v>
      </c>
      <c r="E150" s="18">
        <v>3746.1939205014405</v>
      </c>
      <c r="F150" s="18">
        <v>4400</v>
      </c>
      <c r="G150" s="260"/>
      <c r="H150" s="260"/>
      <c r="I150" s="260"/>
      <c r="J150" s="260">
        <v>30</v>
      </c>
      <c r="K150" s="9">
        <v>0.12141</v>
      </c>
      <c r="L150" s="9">
        <v>12.140569259999999</v>
      </c>
      <c r="M150" s="1">
        <v>8.0081278856980251</v>
      </c>
      <c r="N150" s="1">
        <v>30.855727868391735</v>
      </c>
      <c r="O150" s="11">
        <v>22.9</v>
      </c>
      <c r="P150" s="25">
        <v>9.2676300000000003E-2</v>
      </c>
      <c r="Q150" s="1">
        <v>9.2673012018000005</v>
      </c>
      <c r="R150" s="1">
        <v>6.1128709527494927</v>
      </c>
      <c r="S150" s="25">
        <v>40.42235091929048</v>
      </c>
      <c r="T150" s="260">
        <v>0.39328999999999997</v>
      </c>
      <c r="U150" s="1">
        <v>2.5426530041445248</v>
      </c>
      <c r="V150" s="1">
        <v>2.4041310170068479</v>
      </c>
      <c r="W150" s="260">
        <v>39.902560000000001</v>
      </c>
      <c r="X150" s="260">
        <v>-104.65940999999999</v>
      </c>
      <c r="Y150" s="260" t="s">
        <v>91</v>
      </c>
      <c r="Z150" s="260"/>
      <c r="AA150" s="24" t="s">
        <v>94</v>
      </c>
      <c r="AB150" s="15"/>
      <c r="AC150" s="15"/>
      <c r="AD150" s="15"/>
      <c r="AE150" s="260" t="s">
        <v>29</v>
      </c>
      <c r="AF150" s="260" t="s">
        <v>110</v>
      </c>
    </row>
    <row r="151" spans="1:32" x14ac:dyDescent="0.3">
      <c r="A151" s="11" t="s">
        <v>584</v>
      </c>
      <c r="B151" s="11" t="s">
        <v>585</v>
      </c>
      <c r="C151" s="11"/>
      <c r="D151" s="260">
        <v>2012</v>
      </c>
      <c r="E151" s="18">
        <v>4257.0385460243642</v>
      </c>
      <c r="F151" s="75">
        <v>5000</v>
      </c>
      <c r="G151" s="260">
        <v>31</v>
      </c>
      <c r="H151" s="260">
        <v>21300</v>
      </c>
      <c r="I151" s="260" t="s">
        <v>586</v>
      </c>
      <c r="J151" s="74">
        <v>25</v>
      </c>
      <c r="K151" s="9">
        <v>0.101175</v>
      </c>
      <c r="L151" s="9">
        <v>10.117141050000001</v>
      </c>
      <c r="M151" s="1">
        <v>5.8726271161785526</v>
      </c>
      <c r="N151" s="1">
        <v>42.075992547806912</v>
      </c>
      <c r="O151" s="100">
        <v>22.9</v>
      </c>
      <c r="P151" s="105">
        <v>9.2676300000000003E-2</v>
      </c>
      <c r="Q151" s="105">
        <v>9.2676299999999987</v>
      </c>
      <c r="R151" s="1">
        <v>5.3793264384195538</v>
      </c>
      <c r="S151" s="105">
        <v>45.934489681011911</v>
      </c>
      <c r="T151" s="260"/>
      <c r="U151" s="11"/>
      <c r="V151" s="11"/>
      <c r="W151" s="260">
        <v>35.409700000000001</v>
      </c>
      <c r="X151" s="260">
        <v>-89.38964</v>
      </c>
      <c r="Y151" s="260" t="s">
        <v>91</v>
      </c>
      <c r="Z151" s="260"/>
      <c r="AA151" s="11" t="s">
        <v>95</v>
      </c>
      <c r="AB151" s="15"/>
      <c r="AC151" s="260"/>
      <c r="AD151" s="260"/>
      <c r="AE151" s="260" t="s">
        <v>109</v>
      </c>
      <c r="AF151" s="11" t="s">
        <v>427</v>
      </c>
    </row>
    <row r="152" spans="1:32" x14ac:dyDescent="0.3">
      <c r="A152" s="11" t="s">
        <v>26</v>
      </c>
      <c r="B152" s="73" t="s">
        <v>382</v>
      </c>
      <c r="C152" s="73"/>
      <c r="D152" s="260">
        <v>2010</v>
      </c>
      <c r="E152" s="18">
        <v>4257.0385460243642</v>
      </c>
      <c r="F152" s="18">
        <v>5000</v>
      </c>
      <c r="G152" s="260"/>
      <c r="H152" s="260">
        <v>25000</v>
      </c>
      <c r="I152" s="260" t="s">
        <v>167</v>
      </c>
      <c r="J152" s="74">
        <v>13</v>
      </c>
      <c r="K152" s="9">
        <v>5.2611000000000005E-2</v>
      </c>
      <c r="L152" s="9">
        <v>5.2609133460000006</v>
      </c>
      <c r="M152" s="1">
        <v>3.0537661004128474</v>
      </c>
      <c r="N152" s="1">
        <v>80.915370284244048</v>
      </c>
      <c r="O152" s="260">
        <v>13</v>
      </c>
      <c r="P152" s="1">
        <v>5.2611000000000005E-2</v>
      </c>
      <c r="Q152" s="1">
        <v>5.2610999999999999</v>
      </c>
      <c r="R152" s="1">
        <v>3.0537661004128474</v>
      </c>
      <c r="S152" s="1">
        <v>80.915370284244048</v>
      </c>
      <c r="T152" s="260">
        <v>0.9</v>
      </c>
      <c r="U152" s="1">
        <v>1.1111111111111112</v>
      </c>
      <c r="V152" s="1">
        <v>2.7483894903715629</v>
      </c>
      <c r="W152" s="260">
        <v>37.749599456787102</v>
      </c>
      <c r="X152" s="260">
        <v>-122.48329925537099</v>
      </c>
      <c r="Y152" s="260" t="s">
        <v>91</v>
      </c>
      <c r="Z152" s="260"/>
      <c r="AA152" s="260" t="s">
        <v>96</v>
      </c>
      <c r="AB152" s="15"/>
      <c r="AC152" s="15"/>
      <c r="AD152" s="15"/>
      <c r="AE152" s="260" t="s">
        <v>29</v>
      </c>
      <c r="AF152" s="260" t="s">
        <v>157</v>
      </c>
    </row>
    <row r="153" spans="1:32" x14ac:dyDescent="0.3">
      <c r="A153" s="260" t="s">
        <v>738</v>
      </c>
      <c r="B153" s="260" t="s">
        <v>737</v>
      </c>
      <c r="C153" s="260"/>
      <c r="D153" s="260">
        <v>2013</v>
      </c>
      <c r="E153" s="18">
        <v>8514.0770920487284</v>
      </c>
      <c r="F153" s="260">
        <v>10000</v>
      </c>
      <c r="G153" s="260"/>
      <c r="H153" s="260">
        <v>41000</v>
      </c>
      <c r="I153" s="260" t="s">
        <v>739</v>
      </c>
      <c r="J153" s="260">
        <v>60</v>
      </c>
      <c r="K153" s="9">
        <v>0.24282000000000001</v>
      </c>
      <c r="L153" s="9">
        <v>24.281138519999999</v>
      </c>
      <c r="M153" s="1">
        <v>7.0471525394142631</v>
      </c>
      <c r="N153" s="9">
        <v>35.063327123172421</v>
      </c>
      <c r="O153" s="260"/>
      <c r="P153" s="260"/>
      <c r="Q153" s="260"/>
      <c r="R153" s="260"/>
      <c r="S153" s="260"/>
      <c r="T153" s="260"/>
      <c r="U153" s="260"/>
      <c r="V153" s="260"/>
      <c r="W153" s="260">
        <v>39.69556</v>
      </c>
      <c r="X153" s="260">
        <v>-86.315439999999995</v>
      </c>
      <c r="Y153" s="260" t="s">
        <v>91</v>
      </c>
      <c r="Z153" s="260"/>
      <c r="AA153" s="260"/>
      <c r="AB153" s="15"/>
      <c r="AC153" s="260"/>
      <c r="AD153" s="260" t="s">
        <v>740</v>
      </c>
      <c r="AE153" s="260" t="s">
        <v>109</v>
      </c>
      <c r="AF153" s="260" t="s">
        <v>611</v>
      </c>
    </row>
    <row r="154" spans="1:32" x14ac:dyDescent="0.3">
      <c r="A154" s="11" t="s">
        <v>148</v>
      </c>
      <c r="B154" s="260" t="s">
        <v>152</v>
      </c>
      <c r="C154" s="260"/>
      <c r="D154" s="260">
        <v>2010</v>
      </c>
      <c r="E154" s="94">
        <v>10000</v>
      </c>
      <c r="F154" s="18">
        <v>11745.254232357105</v>
      </c>
      <c r="G154" s="260">
        <v>74</v>
      </c>
      <c r="H154" s="260">
        <v>35000</v>
      </c>
      <c r="I154" s="260" t="s">
        <v>153</v>
      </c>
      <c r="J154" s="260">
        <v>45</v>
      </c>
      <c r="K154" s="9">
        <v>0.182115</v>
      </c>
      <c r="L154" s="9">
        <v>18.210853889999999</v>
      </c>
      <c r="M154" s="1">
        <v>4.5</v>
      </c>
      <c r="N154" s="1">
        <v>54.910358839195013</v>
      </c>
      <c r="O154" s="260">
        <v>30</v>
      </c>
      <c r="P154" s="1">
        <v>0.12141</v>
      </c>
      <c r="Q154" s="1">
        <v>12.141</v>
      </c>
      <c r="R154" s="1">
        <v>3</v>
      </c>
      <c r="S154" s="1">
        <v>82.365538258792512</v>
      </c>
      <c r="T154" s="260">
        <v>0.61839999999999995</v>
      </c>
      <c r="U154" s="1">
        <v>1.6170763260025875</v>
      </c>
      <c r="V154" s="1">
        <v>0.61839999999999995</v>
      </c>
      <c r="W154" s="260">
        <v>28.48742</v>
      </c>
      <c r="X154" s="260">
        <v>-80.679969999999997</v>
      </c>
      <c r="Y154" s="260" t="s">
        <v>91</v>
      </c>
      <c r="Z154" s="260"/>
      <c r="AA154" s="260" t="s">
        <v>95</v>
      </c>
      <c r="AB154" s="15"/>
      <c r="AC154" s="15"/>
      <c r="AD154" s="15"/>
      <c r="AE154" s="260" t="s">
        <v>29</v>
      </c>
      <c r="AF154" s="260" t="s">
        <v>110</v>
      </c>
    </row>
    <row r="155" spans="1:32" x14ac:dyDescent="0.3">
      <c r="A155" s="11" t="s">
        <v>190</v>
      </c>
      <c r="B155" s="260" t="s">
        <v>191</v>
      </c>
      <c r="C155" s="260"/>
      <c r="D155" s="260">
        <v>2010</v>
      </c>
      <c r="E155" s="42">
        <v>14000</v>
      </c>
      <c r="F155" s="94">
        <v>16100</v>
      </c>
      <c r="G155" s="260"/>
      <c r="H155" s="260">
        <v>214500</v>
      </c>
      <c r="I155" s="260" t="s">
        <v>192</v>
      </c>
      <c r="J155" s="260">
        <v>108</v>
      </c>
      <c r="K155" s="9">
        <v>0.43707600000000002</v>
      </c>
      <c r="L155" s="9">
        <v>43.706049336</v>
      </c>
      <c r="M155" s="1">
        <v>7.7142857142857144</v>
      </c>
      <c r="N155" s="1">
        <v>32.031042656197087</v>
      </c>
      <c r="O155" s="260">
        <v>83.2</v>
      </c>
      <c r="P155" s="1">
        <v>0.33671040000000002</v>
      </c>
      <c r="Q155" s="1">
        <v>33.671040000000005</v>
      </c>
      <c r="R155" s="1">
        <v>5.9428571428571431</v>
      </c>
      <c r="S155" s="1">
        <v>41.57875729410199</v>
      </c>
      <c r="T155" s="1">
        <v>0.59</v>
      </c>
      <c r="U155" s="1"/>
      <c r="V155" s="1"/>
      <c r="W155" s="260">
        <v>29.300809999999998</v>
      </c>
      <c r="X155" s="260">
        <v>-98.392099999999999</v>
      </c>
      <c r="Y155" s="260" t="s">
        <v>91</v>
      </c>
      <c r="Z155" s="260" t="s">
        <v>600</v>
      </c>
      <c r="AA155" s="260" t="s">
        <v>95</v>
      </c>
      <c r="AB155" s="15"/>
      <c r="AC155" s="15"/>
      <c r="AD155" s="15"/>
      <c r="AE155" s="260" t="s">
        <v>109</v>
      </c>
      <c r="AF155" s="260" t="s">
        <v>110</v>
      </c>
    </row>
    <row r="156" spans="1:32" x14ac:dyDescent="0.3">
      <c r="A156" s="260" t="s">
        <v>168</v>
      </c>
      <c r="B156" s="260" t="s">
        <v>736</v>
      </c>
      <c r="C156" s="260"/>
      <c r="D156" s="260">
        <v>2013</v>
      </c>
      <c r="E156" s="75">
        <v>17028.154184097457</v>
      </c>
      <c r="F156" s="260">
        <v>20000</v>
      </c>
      <c r="G156" s="260"/>
      <c r="H156" s="260"/>
      <c r="I156" s="260" t="s">
        <v>408</v>
      </c>
      <c r="J156" s="260">
        <v>100</v>
      </c>
      <c r="K156" s="9">
        <v>0.4047</v>
      </c>
      <c r="L156" s="9">
        <v>40.468564200000003</v>
      </c>
      <c r="M156" s="1">
        <v>5.8726271161785526</v>
      </c>
      <c r="N156" s="9">
        <v>42.075992547806912</v>
      </c>
      <c r="O156" s="260">
        <v>84.7</v>
      </c>
      <c r="P156" s="1">
        <v>0.34278090000000005</v>
      </c>
      <c r="Q156" s="1">
        <v>34.278089999999999</v>
      </c>
      <c r="R156" s="1">
        <v>4.9741151674032347</v>
      </c>
      <c r="S156" s="1">
        <v>49.676496514529994</v>
      </c>
      <c r="T156" s="260"/>
      <c r="U156" s="260"/>
      <c r="V156" s="260"/>
      <c r="W156" s="260">
        <v>40.120260000000002</v>
      </c>
      <c r="X156" s="260">
        <v>-80.437110000000004</v>
      </c>
      <c r="Y156" s="260" t="s">
        <v>91</v>
      </c>
      <c r="Z156" s="260"/>
      <c r="AA156" s="260"/>
      <c r="AB156" s="15"/>
      <c r="AC156" s="260"/>
      <c r="AD156" s="260"/>
      <c r="AE156" s="260" t="s">
        <v>24</v>
      </c>
      <c r="AF156" s="260" t="s">
        <v>475</v>
      </c>
    </row>
    <row r="157" spans="1:32" x14ac:dyDescent="0.3">
      <c r="A157" s="69" t="s">
        <v>160</v>
      </c>
      <c r="B157" s="11" t="s">
        <v>161</v>
      </c>
      <c r="C157" s="11"/>
      <c r="D157" s="260">
        <v>2010</v>
      </c>
      <c r="E157" s="18">
        <v>18730.969602507204</v>
      </c>
      <c r="F157" s="18">
        <v>22000</v>
      </c>
      <c r="G157" s="260">
        <v>130</v>
      </c>
      <c r="H157" s="260"/>
      <c r="I157" s="260" t="s">
        <v>162</v>
      </c>
      <c r="J157" s="260">
        <v>160</v>
      </c>
      <c r="K157" s="9">
        <v>0.6475200000000001</v>
      </c>
      <c r="L157" s="9">
        <v>64.751999999999995</v>
      </c>
      <c r="M157" s="1">
        <v>8.5420030780778937</v>
      </c>
      <c r="N157" s="9">
        <v>28.927244876617252</v>
      </c>
      <c r="O157" s="260"/>
      <c r="P157" s="1"/>
      <c r="Q157" s="1"/>
      <c r="R157" s="1"/>
      <c r="S157" s="1"/>
      <c r="T157" s="1"/>
      <c r="U157" s="1"/>
      <c r="V157" s="1"/>
      <c r="W157" s="260"/>
      <c r="X157" s="260"/>
      <c r="Y157" s="260" t="s">
        <v>91</v>
      </c>
      <c r="Z157" s="260"/>
      <c r="AA157" s="10" t="s">
        <v>106</v>
      </c>
      <c r="AB157" s="15"/>
      <c r="AC157" s="15"/>
      <c r="AD157" s="15"/>
      <c r="AE157" s="260" t="s">
        <v>109</v>
      </c>
      <c r="AF157" s="260" t="s">
        <v>157</v>
      </c>
    </row>
    <row r="158" spans="1:32" x14ac:dyDescent="0.3">
      <c r="A158" s="11" t="s">
        <v>491</v>
      </c>
      <c r="B158" s="11" t="s">
        <v>535</v>
      </c>
      <c r="C158" s="11"/>
      <c r="D158" s="260">
        <v>2011</v>
      </c>
      <c r="E158" s="18">
        <v>1958.2377311712075</v>
      </c>
      <c r="F158" s="75">
        <v>2300</v>
      </c>
      <c r="G158" s="260"/>
      <c r="H158" s="260">
        <v>8200</v>
      </c>
      <c r="I158" s="260" t="s">
        <v>536</v>
      </c>
      <c r="J158" s="74">
        <v>12</v>
      </c>
      <c r="K158" s="9">
        <v>4.8564000000000003E-2</v>
      </c>
      <c r="L158" s="9">
        <v>4.8562277040000001</v>
      </c>
      <c r="M158" s="1">
        <v>6.1279587299254459</v>
      </c>
      <c r="N158" s="1">
        <v>40.322826191648289</v>
      </c>
      <c r="O158" s="24" t="s">
        <v>598</v>
      </c>
      <c r="P158" s="88"/>
      <c r="Q158" s="88"/>
      <c r="R158" s="88"/>
      <c r="S158" s="88"/>
      <c r="T158" s="11"/>
      <c r="U158" s="11"/>
      <c r="V158" s="11"/>
      <c r="W158" s="260">
        <v>42.152920000000002</v>
      </c>
      <c r="X158" s="260">
        <v>-72.49915</v>
      </c>
      <c r="Y158" s="260" t="s">
        <v>203</v>
      </c>
      <c r="Z158" s="260"/>
      <c r="AA158" s="11"/>
      <c r="AB158" s="15"/>
      <c r="AC158" s="11"/>
      <c r="AD158" s="260"/>
      <c r="AE158" s="260" t="s">
        <v>29</v>
      </c>
      <c r="AF158" s="260" t="s">
        <v>157</v>
      </c>
    </row>
    <row r="159" spans="1:32" x14ac:dyDescent="0.3">
      <c r="A159" s="11" t="s">
        <v>171</v>
      </c>
      <c r="B159" s="11" t="s">
        <v>436</v>
      </c>
      <c r="C159" s="11"/>
      <c r="D159" s="260">
        <v>2010</v>
      </c>
      <c r="E159" s="18">
        <v>2724.5046694555931</v>
      </c>
      <c r="F159" s="94">
        <v>3200</v>
      </c>
      <c r="G159" s="260"/>
      <c r="H159" s="260">
        <v>11484</v>
      </c>
      <c r="I159" s="260" t="s">
        <v>438</v>
      </c>
      <c r="J159" s="74">
        <v>10</v>
      </c>
      <c r="K159" s="9">
        <v>4.0470000000000006E-2</v>
      </c>
      <c r="L159" s="9">
        <v>4.0468564200000001</v>
      </c>
      <c r="M159" s="1">
        <v>3.6703919476115949</v>
      </c>
      <c r="N159" s="1">
        <v>67.321588076491054</v>
      </c>
      <c r="O159" s="24" t="s">
        <v>598</v>
      </c>
      <c r="P159" s="88"/>
      <c r="Q159" s="88"/>
      <c r="R159" s="88"/>
      <c r="S159" s="88"/>
      <c r="T159" s="260"/>
      <c r="U159" s="260"/>
      <c r="V159" s="260"/>
      <c r="W159" s="260"/>
      <c r="X159" s="260"/>
      <c r="Y159" s="260" t="s">
        <v>203</v>
      </c>
      <c r="Z159" s="260"/>
      <c r="AA159" s="11"/>
      <c r="AB159" s="111"/>
      <c r="AC159" s="260"/>
      <c r="AD159" s="260"/>
      <c r="AE159" s="260" t="s">
        <v>29</v>
      </c>
      <c r="AF159" s="260" t="s">
        <v>157</v>
      </c>
    </row>
    <row r="160" spans="1:32" x14ac:dyDescent="0.3">
      <c r="A160" s="11" t="s">
        <v>491</v>
      </c>
      <c r="B160" s="11" t="s">
        <v>533</v>
      </c>
      <c r="C160" s="11"/>
      <c r="D160" s="260">
        <v>2011</v>
      </c>
      <c r="E160" s="18">
        <v>3575.9123786604659</v>
      </c>
      <c r="F160" s="75">
        <v>4200</v>
      </c>
      <c r="G160" s="260">
        <v>22</v>
      </c>
      <c r="H160" s="260">
        <v>17000</v>
      </c>
      <c r="I160" s="260" t="s">
        <v>536</v>
      </c>
      <c r="J160" s="74">
        <v>62</v>
      </c>
      <c r="K160" s="9">
        <v>0.25091400000000003</v>
      </c>
      <c r="L160" s="9">
        <v>25.090509804</v>
      </c>
      <c r="M160" s="1">
        <v>17.338232438241441</v>
      </c>
      <c r="N160" s="1">
        <v>14.251545862966855</v>
      </c>
      <c r="O160" s="11">
        <v>40</v>
      </c>
      <c r="P160" s="1">
        <v>0.16188000000000002</v>
      </c>
      <c r="Q160" s="1">
        <v>16.187999999999999</v>
      </c>
      <c r="R160" s="1">
        <v>11.185956411768672</v>
      </c>
      <c r="S160" s="1">
        <v>22.089896087598625</v>
      </c>
      <c r="T160" s="11"/>
      <c r="U160" s="11"/>
      <c r="V160" s="11"/>
      <c r="W160" s="260">
        <v>42.144219999999997</v>
      </c>
      <c r="X160" s="260">
        <v>-72.543379999999999</v>
      </c>
      <c r="Y160" s="260" t="s">
        <v>203</v>
      </c>
      <c r="Z160" s="260"/>
      <c r="AA160" s="11"/>
      <c r="AB160" s="15"/>
      <c r="AC160" s="11"/>
      <c r="AD160" s="260"/>
      <c r="AE160" s="260" t="s">
        <v>29</v>
      </c>
      <c r="AF160" s="260" t="s">
        <v>157</v>
      </c>
    </row>
    <row r="161" spans="1:32" x14ac:dyDescent="0.3">
      <c r="A161" s="11" t="s">
        <v>47</v>
      </c>
      <c r="B161" s="11" t="s">
        <v>561</v>
      </c>
      <c r="C161" s="11"/>
      <c r="D161" s="260">
        <v>2012</v>
      </c>
      <c r="E161" s="18">
        <v>4257.0385460243642</v>
      </c>
      <c r="F161" s="75">
        <v>5000</v>
      </c>
      <c r="G161" s="260">
        <v>22</v>
      </c>
      <c r="H161" s="260">
        <v>22000</v>
      </c>
      <c r="I161" s="260" t="s">
        <v>562</v>
      </c>
      <c r="J161" s="74">
        <v>28</v>
      </c>
      <c r="K161" s="9">
        <v>0.113316</v>
      </c>
      <c r="L161" s="9">
        <v>11.331197976</v>
      </c>
      <c r="M161" s="1">
        <v>6.5773423701199789</v>
      </c>
      <c r="N161" s="1">
        <v>37.567850489113312</v>
      </c>
      <c r="O161" s="24" t="s">
        <v>598</v>
      </c>
      <c r="P161" s="88"/>
      <c r="Q161" s="88"/>
      <c r="R161" s="88"/>
      <c r="S161" s="88"/>
      <c r="T161" s="11"/>
      <c r="U161" s="11"/>
      <c r="V161" s="11"/>
      <c r="W161" s="260">
        <v>35.199890000000003</v>
      </c>
      <c r="X161" s="260">
        <v>-81.409350000000003</v>
      </c>
      <c r="Y161" s="260" t="s">
        <v>203</v>
      </c>
      <c r="Z161" s="260"/>
      <c r="AA161" s="11"/>
      <c r="AB161" s="15"/>
      <c r="AC161" s="11"/>
      <c r="AD161" s="11" t="s">
        <v>563</v>
      </c>
      <c r="AE161" s="260" t="s">
        <v>29</v>
      </c>
      <c r="AF161" s="260" t="s">
        <v>157</v>
      </c>
    </row>
    <row r="162" spans="1:32" x14ac:dyDescent="0.3">
      <c r="A162" s="260" t="s">
        <v>171</v>
      </c>
      <c r="B162" s="260" t="s">
        <v>670</v>
      </c>
      <c r="C162" s="260"/>
      <c r="D162" s="260">
        <v>2012</v>
      </c>
      <c r="E162" s="18">
        <v>16925.985258992871</v>
      </c>
      <c r="F162" s="260">
        <v>19880</v>
      </c>
      <c r="G162" s="260">
        <v>80</v>
      </c>
      <c r="H162" s="260">
        <v>85000</v>
      </c>
      <c r="I162" s="260" t="s">
        <v>671</v>
      </c>
      <c r="J162" s="260">
        <v>95</v>
      </c>
      <c r="K162" s="9">
        <v>0.384465</v>
      </c>
      <c r="L162" s="9">
        <v>38.445135990000004</v>
      </c>
      <c r="M162" s="1">
        <v>5.6126717911163233</v>
      </c>
      <c r="N162" s="9">
        <v>44.024775360547437</v>
      </c>
      <c r="O162" s="260"/>
      <c r="P162" s="260"/>
      <c r="Q162" s="260"/>
      <c r="R162" s="260"/>
      <c r="S162" s="260"/>
      <c r="T162" s="260"/>
      <c r="U162" s="260"/>
      <c r="V162" s="260"/>
      <c r="W162" s="260">
        <v>40.26643</v>
      </c>
      <c r="X162" s="260">
        <v>-74.084199999999996</v>
      </c>
      <c r="Y162" s="260" t="s">
        <v>203</v>
      </c>
      <c r="Z162" s="260"/>
      <c r="AA162" s="260"/>
      <c r="AB162" s="111"/>
      <c r="AC162" s="260"/>
      <c r="AD162" s="260"/>
      <c r="AE162" s="260" t="s">
        <v>109</v>
      </c>
      <c r="AF162" s="260" t="s">
        <v>645</v>
      </c>
    </row>
    <row r="163" spans="1:32" x14ac:dyDescent="0.3">
      <c r="A163" s="260" t="s">
        <v>26</v>
      </c>
      <c r="B163" s="260" t="s">
        <v>672</v>
      </c>
      <c r="C163" s="260"/>
      <c r="D163" s="260">
        <v>2013</v>
      </c>
      <c r="E163" s="18">
        <v>17028.154184097457</v>
      </c>
      <c r="F163" s="260">
        <v>20000</v>
      </c>
      <c r="G163" s="260"/>
      <c r="H163" s="260"/>
      <c r="I163" s="260" t="s">
        <v>8</v>
      </c>
      <c r="J163" s="260">
        <v>200</v>
      </c>
      <c r="K163" s="9">
        <v>0.80940000000000001</v>
      </c>
      <c r="L163" s="9">
        <v>80.937128400000006</v>
      </c>
      <c r="M163" s="1">
        <v>11.745254232357105</v>
      </c>
      <c r="N163" s="9">
        <v>21.037996273903456</v>
      </c>
      <c r="O163" s="260"/>
      <c r="P163" s="260"/>
      <c r="Q163" s="260"/>
      <c r="R163" s="260"/>
      <c r="S163" s="260"/>
      <c r="T163" s="260"/>
      <c r="U163" s="260"/>
      <c r="V163" s="260"/>
      <c r="W163" s="260">
        <v>34.7119</v>
      </c>
      <c r="X163" s="260">
        <v>-118.3296</v>
      </c>
      <c r="Y163" s="260" t="s">
        <v>203</v>
      </c>
      <c r="Z163" s="260"/>
      <c r="AA163" s="260"/>
      <c r="AB163" s="111"/>
      <c r="AC163" s="260"/>
      <c r="AD163" s="260"/>
      <c r="AE163" s="260" t="s">
        <v>24</v>
      </c>
      <c r="AF163" s="260" t="s">
        <v>475</v>
      </c>
    </row>
    <row r="164" spans="1:32" x14ac:dyDescent="0.3">
      <c r="A164" s="260" t="s">
        <v>26</v>
      </c>
      <c r="B164" s="260" t="s">
        <v>674</v>
      </c>
      <c r="C164" s="260"/>
      <c r="D164" s="260">
        <v>2013</v>
      </c>
      <c r="E164" s="18">
        <v>17028.154184097457</v>
      </c>
      <c r="F164" s="260">
        <v>20000</v>
      </c>
      <c r="G164" s="260"/>
      <c r="H164" s="260"/>
      <c r="I164" s="260" t="s">
        <v>8</v>
      </c>
      <c r="J164" s="260">
        <v>174</v>
      </c>
      <c r="K164" s="9">
        <v>0.70417800000000008</v>
      </c>
      <c r="L164" s="9">
        <v>70.415301708000001</v>
      </c>
      <c r="M164" s="1">
        <v>10.218371182150682</v>
      </c>
      <c r="N164" s="9">
        <v>24.181604912532702</v>
      </c>
      <c r="O164" s="260"/>
      <c r="P164" s="260"/>
      <c r="Q164" s="260"/>
      <c r="R164" s="260"/>
      <c r="S164" s="260"/>
      <c r="T164" s="260"/>
      <c r="U164" s="260"/>
      <c r="V164" s="260"/>
      <c r="W164" s="260">
        <v>34.935099999999998</v>
      </c>
      <c r="X164" s="260">
        <v>-118.1452</v>
      </c>
      <c r="Y164" s="260" t="s">
        <v>203</v>
      </c>
      <c r="Z164" s="260"/>
      <c r="AA164" s="260"/>
      <c r="AB164" s="111"/>
      <c r="AC164" s="260"/>
      <c r="AD164" s="260"/>
      <c r="AE164" s="260" t="s">
        <v>24</v>
      </c>
      <c r="AF164" s="260" t="s">
        <v>475</v>
      </c>
    </row>
    <row r="165" spans="1:32" x14ac:dyDescent="0.3">
      <c r="A165" s="69" t="s">
        <v>26</v>
      </c>
      <c r="B165" s="11" t="s">
        <v>378</v>
      </c>
      <c r="C165" s="11"/>
      <c r="D165" s="260">
        <v>2012</v>
      </c>
      <c r="E165" s="18">
        <v>17028.154184097457</v>
      </c>
      <c r="F165" s="18">
        <v>20000</v>
      </c>
      <c r="G165" s="260"/>
      <c r="H165" s="260"/>
      <c r="I165" s="260"/>
      <c r="J165" s="260">
        <v>180</v>
      </c>
      <c r="K165" s="9">
        <v>0.72846</v>
      </c>
      <c r="L165" s="9">
        <v>72.846000000000004</v>
      </c>
      <c r="M165" s="1">
        <v>10.570728809121395</v>
      </c>
      <c r="N165" s="9">
        <v>23.375551415448282</v>
      </c>
      <c r="O165" s="260"/>
      <c r="P165" s="1"/>
      <c r="Q165" s="1"/>
      <c r="R165" s="1"/>
      <c r="S165" s="1"/>
      <c r="T165" s="1"/>
      <c r="U165" s="1"/>
      <c r="V165" s="1"/>
      <c r="W165" s="24"/>
      <c r="X165" s="24"/>
      <c r="Y165" s="260" t="s">
        <v>203</v>
      </c>
      <c r="Z165" s="260"/>
      <c r="AA165" s="24"/>
      <c r="AB165" s="15"/>
      <c r="AC165" s="15"/>
      <c r="AD165" s="15"/>
      <c r="AE165" s="260" t="s">
        <v>24</v>
      </c>
      <c r="AF165" s="260" t="s">
        <v>157</v>
      </c>
    </row>
    <row r="166" spans="1:32" x14ac:dyDescent="0.3">
      <c r="A166" s="260" t="s">
        <v>26</v>
      </c>
      <c r="B166" s="260" t="s">
        <v>656</v>
      </c>
      <c r="C166" s="260"/>
      <c r="D166" s="260">
        <v>2012</v>
      </c>
      <c r="E166" s="108">
        <v>20000</v>
      </c>
      <c r="F166" s="98">
        <v>23500</v>
      </c>
      <c r="G166" s="260"/>
      <c r="H166" s="260">
        <v>187500</v>
      </c>
      <c r="I166" s="260" t="s">
        <v>657</v>
      </c>
      <c r="J166" s="260">
        <v>160</v>
      </c>
      <c r="K166" s="9">
        <v>0.6475200000000001</v>
      </c>
      <c r="L166" s="9">
        <v>64.751999999999995</v>
      </c>
      <c r="M166" s="1">
        <v>8</v>
      </c>
      <c r="N166" s="9">
        <v>30.88707684704719</v>
      </c>
      <c r="O166" s="260"/>
      <c r="P166" s="260"/>
      <c r="Q166" s="260"/>
      <c r="R166" s="260"/>
      <c r="S166" s="260"/>
      <c r="T166" s="260"/>
      <c r="U166" s="260"/>
      <c r="V166" s="260"/>
      <c r="W166" s="260">
        <v>35.856999999999999</v>
      </c>
      <c r="X166" s="260">
        <v>-119.44029999999999</v>
      </c>
      <c r="Y166" s="260" t="s">
        <v>203</v>
      </c>
      <c r="Z166" s="260"/>
      <c r="AA166" s="260"/>
      <c r="AB166" s="111"/>
      <c r="AC166" s="260"/>
      <c r="AD166" s="260" t="s">
        <v>174</v>
      </c>
      <c r="AE166" s="260" t="s">
        <v>109</v>
      </c>
      <c r="AF166" s="260" t="s">
        <v>611</v>
      </c>
    </row>
    <row r="167" spans="1:32" x14ac:dyDescent="0.3">
      <c r="A167" s="260" t="s">
        <v>26</v>
      </c>
      <c r="B167" s="260" t="s">
        <v>673</v>
      </c>
      <c r="C167" s="260"/>
      <c r="D167" s="260">
        <v>2013</v>
      </c>
      <c r="E167" s="98">
        <v>20000</v>
      </c>
      <c r="F167" s="18">
        <v>23490.50846471421</v>
      </c>
      <c r="G167" s="260"/>
      <c r="H167" s="260"/>
      <c r="I167" s="260" t="s">
        <v>8</v>
      </c>
      <c r="J167" s="260">
        <v>160</v>
      </c>
      <c r="K167" s="9">
        <v>0.6475200000000001</v>
      </c>
      <c r="L167" s="9">
        <v>64.751999999999995</v>
      </c>
      <c r="M167" s="1">
        <v>8</v>
      </c>
      <c r="N167" s="9">
        <v>30.88707684704719</v>
      </c>
      <c r="O167" s="260"/>
      <c r="P167" s="260"/>
      <c r="Q167" s="260"/>
      <c r="R167" s="260"/>
      <c r="S167" s="260"/>
      <c r="T167" s="260"/>
      <c r="U167" s="260"/>
      <c r="V167" s="260"/>
      <c r="W167" s="260">
        <v>35.097700000000003</v>
      </c>
      <c r="X167" s="260">
        <v>-118.9539</v>
      </c>
      <c r="Y167" s="260" t="s">
        <v>203</v>
      </c>
      <c r="Z167" s="260"/>
      <c r="AA167" s="260"/>
      <c r="AB167" s="111"/>
      <c r="AC167" s="260"/>
      <c r="AD167" s="260"/>
      <c r="AE167" s="260" t="s">
        <v>24</v>
      </c>
      <c r="AF167" s="260" t="s">
        <v>475</v>
      </c>
    </row>
    <row r="168" spans="1:32" x14ac:dyDescent="0.3">
      <c r="A168" s="260" t="s">
        <v>26</v>
      </c>
      <c r="B168" s="260" t="s">
        <v>675</v>
      </c>
      <c r="C168" s="260"/>
      <c r="D168" s="260">
        <v>2013</v>
      </c>
      <c r="E168" s="98">
        <v>20000</v>
      </c>
      <c r="F168" s="18">
        <v>23490.50846471421</v>
      </c>
      <c r="G168" s="260"/>
      <c r="H168" s="260"/>
      <c r="I168" s="260" t="s">
        <v>8</v>
      </c>
      <c r="J168" s="260">
        <v>265</v>
      </c>
      <c r="K168" s="9">
        <v>1.0724550000000002</v>
      </c>
      <c r="L168" s="9">
        <v>107.24550000000001</v>
      </c>
      <c r="M168" s="1">
        <v>13.25</v>
      </c>
      <c r="N168" s="9">
        <v>18.648801115198303</v>
      </c>
      <c r="O168" s="260"/>
      <c r="P168" s="260"/>
      <c r="Q168" s="260"/>
      <c r="R168" s="260"/>
      <c r="S168" s="260"/>
      <c r="T168" s="260"/>
      <c r="U168" s="260"/>
      <c r="V168" s="260"/>
      <c r="W168" s="260">
        <v>35.147072999999999</v>
      </c>
      <c r="X168" s="260">
        <v>-118.886833</v>
      </c>
      <c r="Y168" s="260" t="s">
        <v>203</v>
      </c>
      <c r="Z168" s="260"/>
      <c r="AA168" s="260"/>
      <c r="AB168" s="111"/>
      <c r="AC168" s="260"/>
      <c r="AD168" s="260"/>
      <c r="AE168" s="260" t="s">
        <v>24</v>
      </c>
      <c r="AF168" s="260" t="s">
        <v>475</v>
      </c>
    </row>
    <row r="169" spans="1:32" x14ac:dyDescent="0.3">
      <c r="A169" s="260" t="s">
        <v>107</v>
      </c>
      <c r="B169" s="260" t="s">
        <v>696</v>
      </c>
      <c r="C169" s="260"/>
      <c r="D169" s="260">
        <v>2012</v>
      </c>
      <c r="E169" s="108">
        <v>20500</v>
      </c>
      <c r="F169" s="98">
        <v>24900</v>
      </c>
      <c r="G169" s="260"/>
      <c r="H169" s="260"/>
      <c r="I169" s="260" t="s">
        <v>8</v>
      </c>
      <c r="J169" s="260">
        <v>154</v>
      </c>
      <c r="K169" s="9">
        <v>0.62323800000000007</v>
      </c>
      <c r="L169" s="9">
        <v>62.323799999999999</v>
      </c>
      <c r="M169" s="1">
        <v>7.5121951219512191</v>
      </c>
      <c r="N169" s="9">
        <v>32.892731187764539</v>
      </c>
      <c r="O169" s="260"/>
      <c r="P169" s="260"/>
      <c r="Q169" s="260"/>
      <c r="R169" s="260"/>
      <c r="S169" s="260"/>
      <c r="T169" s="260"/>
      <c r="U169" s="260"/>
      <c r="V169" s="260"/>
      <c r="W169" s="260">
        <v>36.392789999999998</v>
      </c>
      <c r="X169" s="260">
        <v>-114.9251</v>
      </c>
      <c r="Y169" s="260" t="s">
        <v>203</v>
      </c>
      <c r="Z169" s="260"/>
      <c r="AA169" s="260"/>
      <c r="AB169" s="111"/>
      <c r="AC169" s="260"/>
      <c r="AD169" s="260"/>
      <c r="AE169" s="260" t="s">
        <v>24</v>
      </c>
      <c r="AF169" s="260"/>
    </row>
    <row r="170" spans="1:32" x14ac:dyDescent="0.3">
      <c r="A170" s="260" t="s">
        <v>26</v>
      </c>
      <c r="B170" s="260" t="s">
        <v>612</v>
      </c>
      <c r="C170" s="260"/>
      <c r="D170" s="260">
        <v>2012</v>
      </c>
      <c r="E170" s="18">
        <v>32353.49294978517</v>
      </c>
      <c r="F170" s="260">
        <v>38000</v>
      </c>
      <c r="G170" s="260"/>
      <c r="H170" s="260"/>
      <c r="I170" s="260" t="s">
        <v>614</v>
      </c>
      <c r="J170" s="260">
        <v>187</v>
      </c>
      <c r="K170" s="9">
        <v>0.75678900000000004</v>
      </c>
      <c r="L170" s="9">
        <v>75.678899999999999</v>
      </c>
      <c r="M170" s="1">
        <v>5.7799014248704692</v>
      </c>
      <c r="N170" s="1">
        <v>42.751008471033764</v>
      </c>
      <c r="O170" s="260"/>
      <c r="P170" s="1"/>
      <c r="Q170" s="1"/>
      <c r="R170" s="1"/>
      <c r="S170" s="1"/>
      <c r="T170" s="260"/>
      <c r="U170" s="260"/>
      <c r="V170" s="260"/>
      <c r="W170" s="260">
        <v>34.69012</v>
      </c>
      <c r="X170" s="260">
        <v>-118.30252</v>
      </c>
      <c r="Y170" s="260" t="s">
        <v>203</v>
      </c>
      <c r="Z170" s="260"/>
      <c r="AA170" s="260" t="s">
        <v>94</v>
      </c>
      <c r="AB170" s="111"/>
      <c r="AC170" s="260"/>
      <c r="AD170" s="260"/>
      <c r="AE170" s="260" t="s">
        <v>109</v>
      </c>
      <c r="AF170" s="260" t="s">
        <v>611</v>
      </c>
    </row>
    <row r="171" spans="1:32" x14ac:dyDescent="0.3">
      <c r="A171" s="260" t="s">
        <v>26</v>
      </c>
      <c r="B171" s="260" t="s">
        <v>681</v>
      </c>
      <c r="C171" s="260"/>
      <c r="D171" s="260">
        <v>2012</v>
      </c>
      <c r="E171" s="18">
        <v>42485.244689323154</v>
      </c>
      <c r="F171" s="260">
        <v>49900</v>
      </c>
      <c r="G171" s="260"/>
      <c r="H171" s="260"/>
      <c r="I171" s="260" t="s">
        <v>677</v>
      </c>
      <c r="J171" s="260">
        <v>320</v>
      </c>
      <c r="K171" s="9">
        <v>1.2950400000000002</v>
      </c>
      <c r="L171" s="9">
        <v>129.50399999999999</v>
      </c>
      <c r="M171" s="1">
        <v>7.5320267622330137</v>
      </c>
      <c r="N171" s="9">
        <v>32.806125439618192</v>
      </c>
      <c r="O171" s="260"/>
      <c r="P171" s="260"/>
      <c r="Q171" s="260"/>
      <c r="R171" s="260"/>
      <c r="S171" s="260"/>
      <c r="T171" s="260"/>
      <c r="U171" s="260"/>
      <c r="V171" s="260"/>
      <c r="W171" s="260">
        <v>33.318300000000001</v>
      </c>
      <c r="X171" s="260">
        <v>-115.58410000000001</v>
      </c>
      <c r="Y171" s="260" t="s">
        <v>203</v>
      </c>
      <c r="Z171" s="260"/>
      <c r="AA171" s="260"/>
      <c r="AB171" s="111"/>
      <c r="AC171" s="260"/>
      <c r="AD171" s="260"/>
      <c r="AE171" s="260" t="s">
        <v>109</v>
      </c>
      <c r="AF171" s="260" t="s">
        <v>475</v>
      </c>
    </row>
    <row r="172" spans="1:32" x14ac:dyDescent="0.3">
      <c r="A172" s="260" t="s">
        <v>26</v>
      </c>
      <c r="B172" s="260" t="s">
        <v>684</v>
      </c>
      <c r="C172" s="260"/>
      <c r="D172" s="260">
        <v>2012</v>
      </c>
      <c r="E172" s="18">
        <v>42570.38546024364</v>
      </c>
      <c r="F172" s="260">
        <v>50000</v>
      </c>
      <c r="G172" s="260"/>
      <c r="H172" s="260"/>
      <c r="I172" s="260" t="s">
        <v>677</v>
      </c>
      <c r="J172" s="260">
        <v>300</v>
      </c>
      <c r="K172" s="9">
        <v>1.2141000000000002</v>
      </c>
      <c r="L172" s="9">
        <v>121.41</v>
      </c>
      <c r="M172" s="1">
        <v>7.0471525394142631</v>
      </c>
      <c r="N172" s="9">
        <v>35.063327123172421</v>
      </c>
      <c r="O172" s="260"/>
      <c r="P172" s="260"/>
      <c r="Q172" s="260"/>
      <c r="R172" s="260"/>
      <c r="S172" s="260"/>
      <c r="T172" s="260"/>
      <c r="U172" s="260"/>
      <c r="V172" s="260"/>
      <c r="W172" s="260">
        <v>33.1539</v>
      </c>
      <c r="X172" s="260">
        <v>-115.501</v>
      </c>
      <c r="Y172" s="260" t="s">
        <v>203</v>
      </c>
      <c r="Z172" s="260"/>
      <c r="AA172" s="260"/>
      <c r="AB172" s="111"/>
      <c r="AC172" s="260"/>
      <c r="AD172" s="260"/>
      <c r="AE172" s="260" t="s">
        <v>24</v>
      </c>
      <c r="AF172" s="260"/>
    </row>
    <row r="173" spans="1:32" x14ac:dyDescent="0.3">
      <c r="A173" s="260" t="s">
        <v>26</v>
      </c>
      <c r="B173" s="260" t="s">
        <v>687</v>
      </c>
      <c r="C173" s="260"/>
      <c r="D173" s="260">
        <v>2013</v>
      </c>
      <c r="E173" s="18">
        <v>42570.38546024364</v>
      </c>
      <c r="F173" s="260">
        <v>50000</v>
      </c>
      <c r="G173" s="260"/>
      <c r="H173" s="260"/>
      <c r="I173" s="260" t="s">
        <v>677</v>
      </c>
      <c r="J173" s="260">
        <v>320</v>
      </c>
      <c r="K173" s="9">
        <v>1.2950400000000002</v>
      </c>
      <c r="L173" s="9">
        <v>129.50399999999999</v>
      </c>
      <c r="M173" s="1">
        <v>7.5169627087085473</v>
      </c>
      <c r="N173" s="9">
        <v>32.871869177974148</v>
      </c>
      <c r="O173" s="260"/>
      <c r="P173" s="260"/>
      <c r="Q173" s="260"/>
      <c r="R173" s="260"/>
      <c r="S173" s="260"/>
      <c r="T173" s="260"/>
      <c r="U173" s="260"/>
      <c r="V173" s="260"/>
      <c r="W173" s="260">
        <v>33.1374</v>
      </c>
      <c r="X173" s="260">
        <v>-115.5279</v>
      </c>
      <c r="Y173" s="260" t="s">
        <v>203</v>
      </c>
      <c r="Z173" s="260"/>
      <c r="AA173" s="260"/>
      <c r="AB173" s="111"/>
      <c r="AC173" s="260"/>
      <c r="AD173" s="260"/>
      <c r="AE173" s="260" t="s">
        <v>24</v>
      </c>
      <c r="AF173" s="260" t="s">
        <v>475</v>
      </c>
    </row>
    <row r="174" spans="1:32" x14ac:dyDescent="0.3">
      <c r="A174" s="260" t="s">
        <v>160</v>
      </c>
      <c r="B174" s="260" t="s">
        <v>715</v>
      </c>
      <c r="C174" s="260"/>
      <c r="D174" s="260">
        <v>2015</v>
      </c>
      <c r="E174" s="18">
        <v>42570.38546024364</v>
      </c>
      <c r="F174" s="260">
        <v>50000</v>
      </c>
      <c r="G174" s="260"/>
      <c r="H174" s="260"/>
      <c r="I174" s="260" t="s">
        <v>716</v>
      </c>
      <c r="J174" s="260">
        <v>160</v>
      </c>
      <c r="K174" s="9">
        <v>0.6475200000000001</v>
      </c>
      <c r="L174" s="9">
        <v>64.751999999999995</v>
      </c>
      <c r="M174" s="1">
        <v>3.7584813543542737</v>
      </c>
      <c r="N174" s="9">
        <v>65.743738355948295</v>
      </c>
      <c r="O174" s="260"/>
      <c r="P174" s="260"/>
      <c r="Q174" s="260"/>
      <c r="R174" s="260"/>
      <c r="S174" s="260"/>
      <c r="T174" s="260"/>
      <c r="U174" s="260"/>
      <c r="V174" s="260"/>
      <c r="W174" s="260">
        <v>34.783200000000001</v>
      </c>
      <c r="X174" s="260">
        <v>-106.083</v>
      </c>
      <c r="Y174" s="260" t="s">
        <v>203</v>
      </c>
      <c r="Z174" s="260"/>
      <c r="AA174" s="260"/>
      <c r="AB174" s="111"/>
      <c r="AC174" s="260"/>
      <c r="AD174" s="260"/>
      <c r="AE174" s="260" t="s">
        <v>24</v>
      </c>
      <c r="AF174" s="260" t="s">
        <v>611</v>
      </c>
    </row>
    <row r="175" spans="1:32" x14ac:dyDescent="0.3">
      <c r="A175" s="260" t="s">
        <v>196</v>
      </c>
      <c r="B175" s="260" t="s">
        <v>712</v>
      </c>
      <c r="C175" s="260"/>
      <c r="D175" s="260">
        <v>2014</v>
      </c>
      <c r="E175" s="98">
        <v>49900</v>
      </c>
      <c r="F175" s="18">
        <v>58608.818619461956</v>
      </c>
      <c r="G175" s="260"/>
      <c r="H175" s="260">
        <v>250000</v>
      </c>
      <c r="I175" s="260" t="s">
        <v>713</v>
      </c>
      <c r="J175" s="260">
        <v>422.6</v>
      </c>
      <c r="K175" s="9">
        <v>1.7102622000000003</v>
      </c>
      <c r="L175" s="9">
        <v>171.02622000000002</v>
      </c>
      <c r="M175" s="1">
        <v>8.4689378757515037</v>
      </c>
      <c r="N175" s="9">
        <v>29.176812771749262</v>
      </c>
      <c r="O175" s="260"/>
      <c r="P175" s="260"/>
      <c r="Q175" s="260"/>
      <c r="R175" s="260"/>
      <c r="S175" s="260"/>
      <c r="T175" s="260"/>
      <c r="U175" s="260"/>
      <c r="V175" s="260"/>
      <c r="W175" s="260">
        <v>39.814500000000002</v>
      </c>
      <c r="X175" s="260">
        <v>-82.649500000000003</v>
      </c>
      <c r="Y175" s="260" t="s">
        <v>203</v>
      </c>
      <c r="Z175" s="260"/>
      <c r="AA175" s="260"/>
      <c r="AB175" s="111"/>
      <c r="AC175" s="260" t="s">
        <v>391</v>
      </c>
      <c r="AD175" s="260" t="s">
        <v>714</v>
      </c>
      <c r="AE175" s="260" t="s">
        <v>24</v>
      </c>
      <c r="AF175" s="260" t="s">
        <v>702</v>
      </c>
    </row>
    <row r="176" spans="1:32" x14ac:dyDescent="0.3">
      <c r="A176" s="260" t="s">
        <v>26</v>
      </c>
      <c r="B176" s="260" t="s">
        <v>686</v>
      </c>
      <c r="C176" s="260"/>
      <c r="D176" s="260">
        <v>2013</v>
      </c>
      <c r="E176" s="98">
        <v>50000</v>
      </c>
      <c r="F176" s="18">
        <v>58726.271161785524</v>
      </c>
      <c r="G176" s="260"/>
      <c r="H176" s="260"/>
      <c r="I176" s="260" t="s">
        <v>677</v>
      </c>
      <c r="J176" s="260">
        <v>300</v>
      </c>
      <c r="K176" s="9">
        <v>1.2141000000000002</v>
      </c>
      <c r="L176" s="9">
        <v>121.41</v>
      </c>
      <c r="M176" s="1">
        <v>6</v>
      </c>
      <c r="N176" s="9">
        <v>41.182769129396256</v>
      </c>
      <c r="O176" s="260">
        <v>277</v>
      </c>
      <c r="P176" s="1">
        <v>1.121019</v>
      </c>
      <c r="Q176" s="1">
        <v>112.1019</v>
      </c>
      <c r="R176" s="260">
        <v>5.54</v>
      </c>
      <c r="S176" s="1">
        <v>44.602277035447216</v>
      </c>
      <c r="T176" s="260"/>
      <c r="U176" s="260"/>
      <c r="V176" s="260"/>
      <c r="W176" s="260">
        <v>33.169400000000003</v>
      </c>
      <c r="X176" s="260">
        <v>-115.5492</v>
      </c>
      <c r="Y176" s="260" t="s">
        <v>203</v>
      </c>
      <c r="Z176" s="260"/>
      <c r="AA176" s="260"/>
      <c r="AB176" s="111"/>
      <c r="AC176" s="260"/>
      <c r="AD176" s="260"/>
      <c r="AE176" s="260" t="s">
        <v>24</v>
      </c>
      <c r="AF176" s="260" t="s">
        <v>475</v>
      </c>
    </row>
    <row r="177" spans="1:32" x14ac:dyDescent="0.3">
      <c r="A177" s="260" t="s">
        <v>190</v>
      </c>
      <c r="B177" s="260" t="s">
        <v>665</v>
      </c>
      <c r="C177" s="260"/>
      <c r="D177" s="260">
        <v>2014</v>
      </c>
      <c r="E177" s="18">
        <v>51084.462552292374</v>
      </c>
      <c r="F177" s="260">
        <v>60000</v>
      </c>
      <c r="G177" s="260"/>
      <c r="H177" s="260"/>
      <c r="I177" s="260" t="s">
        <v>666</v>
      </c>
      <c r="J177" s="260">
        <v>600</v>
      </c>
      <c r="K177" s="9">
        <v>2.4282000000000004</v>
      </c>
      <c r="L177" s="9">
        <v>242.82</v>
      </c>
      <c r="M177" s="1">
        <v>11.745254232357105</v>
      </c>
      <c r="N177" s="9">
        <v>21.037996273903453</v>
      </c>
      <c r="O177" s="260"/>
      <c r="P177" s="260"/>
      <c r="Q177" s="260"/>
      <c r="R177" s="260"/>
      <c r="S177" s="260"/>
      <c r="T177" s="260"/>
      <c r="U177" s="260"/>
      <c r="V177" s="260"/>
      <c r="W177" s="260">
        <v>30.432400000000001</v>
      </c>
      <c r="X177" s="260">
        <v>-97.461100000000002</v>
      </c>
      <c r="Y177" s="260" t="s">
        <v>203</v>
      </c>
      <c r="Z177" s="260"/>
      <c r="AA177" s="260"/>
      <c r="AB177" s="111"/>
      <c r="AC177" s="260"/>
      <c r="AD177" s="260"/>
      <c r="AE177" s="260" t="s">
        <v>109</v>
      </c>
      <c r="AF177" s="260" t="s">
        <v>611</v>
      </c>
    </row>
    <row r="178" spans="1:32" x14ac:dyDescent="0.3">
      <c r="A178" s="69" t="s">
        <v>148</v>
      </c>
      <c r="B178" s="11" t="s">
        <v>376</v>
      </c>
      <c r="C178" s="11"/>
      <c r="D178" s="260">
        <v>2016</v>
      </c>
      <c r="E178" s="18">
        <v>63855.578190365464</v>
      </c>
      <c r="F178" s="18">
        <v>75000</v>
      </c>
      <c r="G178" s="260">
        <v>350</v>
      </c>
      <c r="H178" s="260"/>
      <c r="I178" s="260" t="s">
        <v>377</v>
      </c>
      <c r="J178" s="260">
        <v>400</v>
      </c>
      <c r="K178" s="9">
        <v>1.6188</v>
      </c>
      <c r="L178" s="9">
        <v>161.88</v>
      </c>
      <c r="M178" s="1">
        <v>6.2641355905904561</v>
      </c>
      <c r="N178" s="9">
        <v>39.446243013568981</v>
      </c>
      <c r="O178" s="260"/>
      <c r="P178" s="1"/>
      <c r="Q178" s="1"/>
      <c r="R178" s="1"/>
      <c r="S178" s="1"/>
      <c r="T178" s="1"/>
      <c r="U178" s="1"/>
      <c r="V178" s="1"/>
      <c r="W178" s="260"/>
      <c r="X178" s="260"/>
      <c r="Y178" s="260" t="s">
        <v>203</v>
      </c>
      <c r="Z178" s="260"/>
      <c r="AA178" s="260"/>
      <c r="AB178" s="15"/>
      <c r="AC178" s="15"/>
      <c r="AD178" s="15"/>
      <c r="AE178" s="260" t="s">
        <v>24</v>
      </c>
      <c r="AF178" s="260" t="s">
        <v>110</v>
      </c>
    </row>
    <row r="179" spans="1:32" x14ac:dyDescent="0.3">
      <c r="A179" s="260" t="s">
        <v>26</v>
      </c>
      <c r="B179" s="260" t="s">
        <v>676</v>
      </c>
      <c r="C179" s="260"/>
      <c r="D179" s="260">
        <v>2013</v>
      </c>
      <c r="E179" s="18">
        <v>63855.578190365464</v>
      </c>
      <c r="F179" s="260">
        <v>75000</v>
      </c>
      <c r="G179" s="260"/>
      <c r="H179" s="260"/>
      <c r="I179" s="260" t="s">
        <v>8</v>
      </c>
      <c r="J179" s="260">
        <v>743</v>
      </c>
      <c r="K179" s="9">
        <v>3.0069210000000002</v>
      </c>
      <c r="L179" s="9">
        <v>300.69209999999998</v>
      </c>
      <c r="M179" s="1">
        <v>11.635631859521771</v>
      </c>
      <c r="N179" s="9">
        <v>21.236200814841979</v>
      </c>
      <c r="O179" s="260"/>
      <c r="P179" s="260"/>
      <c r="Q179" s="260"/>
      <c r="R179" s="260"/>
      <c r="S179" s="260"/>
      <c r="T179" s="260"/>
      <c r="U179" s="260"/>
      <c r="V179" s="260"/>
      <c r="W179" s="260">
        <v>35.294499999999999</v>
      </c>
      <c r="X179" s="260">
        <v>-118.8514</v>
      </c>
      <c r="Y179" s="260" t="s">
        <v>203</v>
      </c>
      <c r="Z179" s="260"/>
      <c r="AA179" s="260"/>
      <c r="AB179" s="111"/>
      <c r="AC179" s="260"/>
      <c r="AD179" s="260"/>
      <c r="AE179" s="260" t="s">
        <v>24</v>
      </c>
      <c r="AF179" s="260" t="s">
        <v>475</v>
      </c>
    </row>
    <row r="180" spans="1:32" x14ac:dyDescent="0.3">
      <c r="A180" s="260" t="s">
        <v>26</v>
      </c>
      <c r="B180" s="260" t="s">
        <v>683</v>
      </c>
      <c r="C180" s="260"/>
      <c r="D180" s="260">
        <v>2013</v>
      </c>
      <c r="E180" s="98">
        <v>70000</v>
      </c>
      <c r="F180" s="18">
        <v>82216.779626499731</v>
      </c>
      <c r="G180" s="260"/>
      <c r="H180" s="260"/>
      <c r="I180" s="260" t="s">
        <v>677</v>
      </c>
      <c r="J180" s="260">
        <v>300</v>
      </c>
      <c r="K180" s="9">
        <v>1.2141000000000002</v>
      </c>
      <c r="L180" s="9">
        <v>121.41</v>
      </c>
      <c r="M180" s="1">
        <v>4.2857142857142856</v>
      </c>
      <c r="N180" s="9">
        <v>57.65587678115476</v>
      </c>
      <c r="O180" s="260">
        <v>246</v>
      </c>
      <c r="P180" s="1">
        <v>0.99556200000000006</v>
      </c>
      <c r="Q180" s="1">
        <v>99.556200000000004</v>
      </c>
      <c r="R180" s="1">
        <v>3.5142857142857142</v>
      </c>
      <c r="S180" s="1">
        <v>70.312044855066787</v>
      </c>
      <c r="T180" s="260"/>
      <c r="U180" s="260"/>
      <c r="V180" s="260"/>
      <c r="W180" s="260">
        <v>33.1539</v>
      </c>
      <c r="X180" s="260">
        <v>-115.501</v>
      </c>
      <c r="Y180" s="260" t="s">
        <v>203</v>
      </c>
      <c r="Z180" s="260"/>
      <c r="AA180" s="260"/>
      <c r="AB180" s="111"/>
      <c r="AC180" s="260"/>
      <c r="AD180" s="260"/>
      <c r="AE180" s="260" t="s">
        <v>24</v>
      </c>
      <c r="AF180" s="260" t="s">
        <v>475</v>
      </c>
    </row>
    <row r="181" spans="1:32" x14ac:dyDescent="0.3">
      <c r="A181" s="260" t="s">
        <v>26</v>
      </c>
      <c r="B181" s="260" t="s">
        <v>688</v>
      </c>
      <c r="C181" s="260"/>
      <c r="D181" s="260">
        <v>2014</v>
      </c>
      <c r="E181" s="18">
        <v>85140.770920487281</v>
      </c>
      <c r="F181" s="260">
        <v>100000</v>
      </c>
      <c r="G181" s="260"/>
      <c r="H181" s="260"/>
      <c r="I181" s="260" t="s">
        <v>677</v>
      </c>
      <c r="J181" s="260">
        <v>622</v>
      </c>
      <c r="K181" s="9">
        <v>2.5172340000000002</v>
      </c>
      <c r="L181" s="9">
        <v>251.7234</v>
      </c>
      <c r="M181" s="1">
        <v>7.3055481325261189</v>
      </c>
      <c r="N181" s="9">
        <v>33.823145134893011</v>
      </c>
      <c r="O181" s="260"/>
      <c r="P181" s="260"/>
      <c r="Q181" s="260"/>
      <c r="R181" s="260"/>
      <c r="S181" s="260"/>
      <c r="T181" s="260"/>
      <c r="U181" s="260"/>
      <c r="V181" s="260"/>
      <c r="W181" s="260">
        <v>33.1374</v>
      </c>
      <c r="X181" s="260">
        <v>-115.5279</v>
      </c>
      <c r="Y181" s="260" t="s">
        <v>203</v>
      </c>
      <c r="Z181" s="260"/>
      <c r="AA181" s="260"/>
      <c r="AB181" s="111"/>
      <c r="AC181" s="260"/>
      <c r="AD181" s="260"/>
      <c r="AE181" s="260" t="s">
        <v>24</v>
      </c>
      <c r="AF181" s="260"/>
    </row>
    <row r="182" spans="1:32" x14ac:dyDescent="0.3">
      <c r="A182" s="260" t="s">
        <v>148</v>
      </c>
      <c r="B182" s="260" t="s">
        <v>719</v>
      </c>
      <c r="C182" s="260"/>
      <c r="D182" s="260">
        <v>2017</v>
      </c>
      <c r="E182" s="18">
        <v>85140.770920487281</v>
      </c>
      <c r="F182" s="260">
        <v>100000</v>
      </c>
      <c r="G182" s="260">
        <v>350</v>
      </c>
      <c r="H182" s="260"/>
      <c r="I182" s="260" t="s">
        <v>718</v>
      </c>
      <c r="J182" s="260">
        <v>1000</v>
      </c>
      <c r="K182" s="9">
        <v>4.0470000000000006</v>
      </c>
      <c r="L182" s="9">
        <v>404.7</v>
      </c>
      <c r="M182" s="1">
        <v>11.745254232357105</v>
      </c>
      <c r="N182" s="9">
        <v>21.037996273903453</v>
      </c>
      <c r="O182" s="260"/>
      <c r="P182" s="260"/>
      <c r="Q182" s="260"/>
      <c r="R182" s="260"/>
      <c r="S182" s="260"/>
      <c r="T182" s="260"/>
      <c r="U182" s="260"/>
      <c r="V182" s="260"/>
      <c r="W182" s="260" t="s">
        <v>724</v>
      </c>
      <c r="X182" s="260"/>
      <c r="Y182" s="260" t="s">
        <v>203</v>
      </c>
      <c r="Z182" s="260"/>
      <c r="AA182" s="260"/>
      <c r="AB182" s="111"/>
      <c r="AC182" s="260"/>
      <c r="AD182" s="260"/>
      <c r="AE182" s="260" t="s">
        <v>24</v>
      </c>
      <c r="AF182" s="260" t="s">
        <v>611</v>
      </c>
    </row>
    <row r="183" spans="1:32" x14ac:dyDescent="0.3">
      <c r="A183" s="260" t="s">
        <v>26</v>
      </c>
      <c r="B183" s="260" t="s">
        <v>685</v>
      </c>
      <c r="C183" s="260"/>
      <c r="D183" s="260">
        <v>2013</v>
      </c>
      <c r="E183" s="98">
        <v>155000</v>
      </c>
      <c r="F183" s="18">
        <v>182051.44060153511</v>
      </c>
      <c r="G183" s="260"/>
      <c r="H183" s="260"/>
      <c r="I183" s="260" t="s">
        <v>677</v>
      </c>
      <c r="J183" s="260">
        <v>934.4</v>
      </c>
      <c r="K183" s="9">
        <v>3.7815168000000003</v>
      </c>
      <c r="L183" s="9">
        <v>378.15168</v>
      </c>
      <c r="M183" s="1">
        <v>6.0283870967741935</v>
      </c>
      <c r="N183" s="9">
        <v>40.988843418598584</v>
      </c>
      <c r="O183" s="260"/>
      <c r="P183" s="260"/>
      <c r="Q183" s="260"/>
      <c r="R183" s="260"/>
      <c r="S183" s="260"/>
      <c r="T183" s="260"/>
      <c r="U183" s="260"/>
      <c r="V183" s="260"/>
      <c r="W183" s="260">
        <v>33.159599999999998</v>
      </c>
      <c r="X183" s="260">
        <v>-115.5369</v>
      </c>
      <c r="Y183" s="260" t="s">
        <v>203</v>
      </c>
      <c r="Z183" s="260"/>
      <c r="AA183" s="260"/>
      <c r="AB183" s="111"/>
      <c r="AC183" s="260"/>
      <c r="AD183" s="260"/>
      <c r="AE183" s="260" t="s">
        <v>24</v>
      </c>
      <c r="AF183" s="260"/>
    </row>
    <row r="184" spans="1:32" x14ac:dyDescent="0.3">
      <c r="A184" s="260" t="s">
        <v>148</v>
      </c>
      <c r="B184" s="260" t="s">
        <v>720</v>
      </c>
      <c r="C184" s="260"/>
      <c r="D184" s="260">
        <v>2017</v>
      </c>
      <c r="E184" s="18">
        <v>170281.54184097456</v>
      </c>
      <c r="F184" s="260">
        <v>200000</v>
      </c>
      <c r="G184" s="260">
        <v>700</v>
      </c>
      <c r="H184" s="260"/>
      <c r="I184" s="260" t="s">
        <v>718</v>
      </c>
      <c r="J184" s="260">
        <v>2000</v>
      </c>
      <c r="K184" s="9">
        <v>8.0940000000000012</v>
      </c>
      <c r="L184" s="9">
        <v>809.4</v>
      </c>
      <c r="M184" s="1">
        <v>11.745254232357105</v>
      </c>
      <c r="N184" s="9">
        <v>21.037996273903453</v>
      </c>
      <c r="O184" s="260"/>
      <c r="P184" s="260"/>
      <c r="Q184" s="260"/>
      <c r="R184" s="260"/>
      <c r="S184" s="260"/>
      <c r="T184" s="260"/>
      <c r="U184" s="260"/>
      <c r="V184" s="260"/>
      <c r="W184" s="260" t="s">
        <v>724</v>
      </c>
      <c r="X184" s="260"/>
      <c r="Y184" s="260" t="s">
        <v>203</v>
      </c>
      <c r="Z184" s="260"/>
      <c r="AA184" s="260"/>
      <c r="AB184" s="111"/>
      <c r="AC184" s="260"/>
      <c r="AD184" s="260"/>
      <c r="AE184" s="260" t="s">
        <v>24</v>
      </c>
      <c r="AF184" s="260" t="s">
        <v>611</v>
      </c>
    </row>
    <row r="185" spans="1:32" x14ac:dyDescent="0.3">
      <c r="A185" s="260" t="s">
        <v>26</v>
      </c>
      <c r="B185" s="260" t="s">
        <v>678</v>
      </c>
      <c r="C185" s="260"/>
      <c r="D185" s="260">
        <v>2014</v>
      </c>
      <c r="E185" s="98">
        <v>200000</v>
      </c>
      <c r="F185" s="18">
        <v>234905.0846471421</v>
      </c>
      <c r="G185" s="260"/>
      <c r="H185" s="260"/>
      <c r="I185" s="260" t="s">
        <v>677</v>
      </c>
      <c r="J185" s="260">
        <v>1250</v>
      </c>
      <c r="K185" s="9">
        <v>5.0587500000000007</v>
      </c>
      <c r="L185" s="9">
        <v>505.875</v>
      </c>
      <c r="M185" s="1">
        <v>6.25</v>
      </c>
      <c r="N185" s="9">
        <v>39.535458364220403</v>
      </c>
      <c r="O185" s="260"/>
      <c r="P185" s="260"/>
      <c r="Q185" s="260"/>
      <c r="R185" s="260"/>
      <c r="S185" s="260"/>
      <c r="T185" s="260"/>
      <c r="U185" s="260"/>
      <c r="V185" s="260"/>
      <c r="W185" s="260">
        <v>32.6706</v>
      </c>
      <c r="X185" s="260">
        <v>-115.6</v>
      </c>
      <c r="Y185" s="260" t="s">
        <v>203</v>
      </c>
      <c r="Z185" s="260"/>
      <c r="AA185" s="260"/>
      <c r="AB185" s="111"/>
      <c r="AC185" s="260"/>
      <c r="AD185" s="260"/>
      <c r="AE185" s="260" t="s">
        <v>24</v>
      </c>
      <c r="AF185" s="260" t="s">
        <v>475</v>
      </c>
    </row>
    <row r="186" spans="1:32" x14ac:dyDescent="0.3">
      <c r="A186" s="260" t="s">
        <v>26</v>
      </c>
      <c r="B186" s="260" t="s">
        <v>679</v>
      </c>
      <c r="C186" s="260"/>
      <c r="D186" s="260">
        <v>2014</v>
      </c>
      <c r="E186" s="98">
        <v>200000</v>
      </c>
      <c r="F186" s="18">
        <v>234905.0846471421</v>
      </c>
      <c r="G186" s="260"/>
      <c r="H186" s="260"/>
      <c r="I186" s="260" t="s">
        <v>677</v>
      </c>
      <c r="J186" s="260">
        <v>1250</v>
      </c>
      <c r="K186" s="9">
        <v>5.0587500000000007</v>
      </c>
      <c r="L186" s="9">
        <v>505.875</v>
      </c>
      <c r="M186" s="1">
        <v>6.25</v>
      </c>
      <c r="N186" s="9">
        <v>39.535458364220403</v>
      </c>
      <c r="O186" s="260"/>
      <c r="P186" s="260"/>
      <c r="Q186" s="260"/>
      <c r="R186" s="260"/>
      <c r="S186" s="260"/>
      <c r="T186" s="260"/>
      <c r="U186" s="260"/>
      <c r="V186" s="260"/>
      <c r="W186" s="260">
        <v>32.6706</v>
      </c>
      <c r="X186" s="260">
        <v>-115.6</v>
      </c>
      <c r="Y186" s="260" t="s">
        <v>203</v>
      </c>
      <c r="Z186" s="260"/>
      <c r="AA186" s="260"/>
      <c r="AB186" s="111"/>
      <c r="AC186" s="260"/>
      <c r="AD186" s="260"/>
      <c r="AE186" s="260" t="s">
        <v>24</v>
      </c>
      <c r="AF186" s="260" t="s">
        <v>475</v>
      </c>
    </row>
    <row r="187" spans="1:32" x14ac:dyDescent="0.3">
      <c r="A187" s="260" t="s">
        <v>26</v>
      </c>
      <c r="B187" s="260" t="s">
        <v>680</v>
      </c>
      <c r="C187" s="260"/>
      <c r="D187" s="260">
        <v>2014</v>
      </c>
      <c r="E187" s="98">
        <v>200000</v>
      </c>
      <c r="F187" s="18">
        <v>234905.0846471421</v>
      </c>
      <c r="G187" s="260"/>
      <c r="H187" s="260"/>
      <c r="I187" s="260" t="s">
        <v>677</v>
      </c>
      <c r="J187" s="260">
        <v>1400</v>
      </c>
      <c r="K187" s="9">
        <v>5.6657999999999999</v>
      </c>
      <c r="L187" s="9">
        <v>566.58000000000004</v>
      </c>
      <c r="M187" s="1">
        <v>7</v>
      </c>
      <c r="N187" s="9">
        <v>35.299516396625364</v>
      </c>
      <c r="O187" s="260"/>
      <c r="P187" s="260"/>
      <c r="Q187" s="260"/>
      <c r="R187" s="260"/>
      <c r="S187" s="260"/>
      <c r="T187" s="260"/>
      <c r="U187" s="260"/>
      <c r="V187" s="260"/>
      <c r="W187" s="260">
        <v>32.6706</v>
      </c>
      <c r="X187" s="260">
        <v>-115.6</v>
      </c>
      <c r="Y187" s="260" t="s">
        <v>203</v>
      </c>
      <c r="Z187" s="260"/>
      <c r="AA187" s="260"/>
      <c r="AB187" s="111"/>
      <c r="AC187" s="260"/>
      <c r="AD187" s="260"/>
      <c r="AE187" s="260" t="s">
        <v>24</v>
      </c>
      <c r="AF187" s="260" t="s">
        <v>475</v>
      </c>
    </row>
    <row r="188" spans="1:32" x14ac:dyDescent="0.3">
      <c r="A188" s="69" t="s">
        <v>160</v>
      </c>
      <c r="B188" s="11" t="s">
        <v>201</v>
      </c>
      <c r="C188" s="11"/>
      <c r="D188" s="260">
        <v>2016</v>
      </c>
      <c r="E188" s="18">
        <v>255422.31276146186</v>
      </c>
      <c r="F188" s="18">
        <v>300000</v>
      </c>
      <c r="G188" s="260">
        <v>1000</v>
      </c>
      <c r="H188" s="260"/>
      <c r="I188" s="260" t="s">
        <v>202</v>
      </c>
      <c r="J188" s="260">
        <v>2500</v>
      </c>
      <c r="K188" s="9">
        <v>10.117500000000001</v>
      </c>
      <c r="L188" s="9">
        <v>1011.75</v>
      </c>
      <c r="M188" s="1">
        <v>9.7877118602975877</v>
      </c>
      <c r="N188" s="9">
        <v>29.651593773165303</v>
      </c>
      <c r="O188" s="260"/>
      <c r="P188" s="1"/>
      <c r="Q188" s="1"/>
      <c r="R188" s="1"/>
      <c r="S188" s="1"/>
      <c r="T188" s="1"/>
      <c r="U188" s="1"/>
      <c r="V188" s="1"/>
      <c r="W188" s="260"/>
      <c r="X188" s="260"/>
      <c r="Y188" s="260" t="s">
        <v>203</v>
      </c>
      <c r="Z188" s="260"/>
      <c r="AA188" s="260"/>
      <c r="AB188" s="15"/>
      <c r="AC188" s="15"/>
      <c r="AD188" s="15"/>
      <c r="AE188" s="260" t="s">
        <v>24</v>
      </c>
      <c r="AF188" s="260" t="s">
        <v>157</v>
      </c>
    </row>
    <row r="189" spans="1:32" x14ac:dyDescent="0.3">
      <c r="A189" s="69" t="s">
        <v>26</v>
      </c>
      <c r="B189" s="11" t="s">
        <v>205</v>
      </c>
      <c r="C189" s="11"/>
      <c r="D189" s="260">
        <v>2014</v>
      </c>
      <c r="E189" s="94">
        <v>275000</v>
      </c>
      <c r="F189" s="18">
        <v>322994.49138982041</v>
      </c>
      <c r="G189" s="260">
        <v>600</v>
      </c>
      <c r="H189" s="260"/>
      <c r="I189" s="260" t="s">
        <v>206</v>
      </c>
      <c r="J189" s="260">
        <v>2067</v>
      </c>
      <c r="K189" s="9">
        <v>8.3651490000000006</v>
      </c>
      <c r="L189" s="9">
        <v>836.51490000000001</v>
      </c>
      <c r="M189" s="1">
        <v>7.5163636363636366</v>
      </c>
      <c r="N189" s="9">
        <v>32.874489145381631</v>
      </c>
      <c r="O189" s="260"/>
      <c r="P189" s="260"/>
      <c r="Q189" s="1"/>
      <c r="R189" s="1"/>
      <c r="S189" s="1"/>
      <c r="T189" s="1"/>
      <c r="U189" s="1"/>
      <c r="V189" s="1"/>
      <c r="W189" s="260">
        <v>32.784460000000003</v>
      </c>
      <c r="X189" s="260">
        <v>-115.857739</v>
      </c>
      <c r="Y189" s="260" t="s">
        <v>203</v>
      </c>
      <c r="Z189" s="260"/>
      <c r="AA189" s="260"/>
      <c r="AB189" s="15"/>
      <c r="AC189" s="15"/>
      <c r="AD189" s="15"/>
      <c r="AE189" s="260" t="s">
        <v>24</v>
      </c>
      <c r="AF189" s="260" t="s">
        <v>110</v>
      </c>
    </row>
    <row r="190" spans="1:32" x14ac:dyDescent="0.3">
      <c r="A190" s="260" t="s">
        <v>148</v>
      </c>
      <c r="B190" s="260" t="s">
        <v>717</v>
      </c>
      <c r="C190" s="260"/>
      <c r="D190" s="260">
        <v>2020</v>
      </c>
      <c r="E190" s="18">
        <v>340563.08368194912</v>
      </c>
      <c r="F190" s="260">
        <v>400000</v>
      </c>
      <c r="G190" s="260">
        <v>1500</v>
      </c>
      <c r="H190" s="260"/>
      <c r="I190" s="260" t="s">
        <v>718</v>
      </c>
      <c r="J190" s="260">
        <v>4000</v>
      </c>
      <c r="K190" s="260">
        <v>16.188000000000002</v>
      </c>
      <c r="L190" s="260">
        <v>1618.8</v>
      </c>
      <c r="M190" s="1">
        <v>11.745254232357105</v>
      </c>
      <c r="N190" s="260">
        <v>21.037996273903453</v>
      </c>
      <c r="O190" s="260"/>
      <c r="P190" s="260"/>
      <c r="Q190" s="260"/>
      <c r="R190" s="260"/>
      <c r="S190" s="260"/>
      <c r="T190" s="260"/>
      <c r="U190" s="260"/>
      <c r="V190" s="260"/>
      <c r="W190" s="260" t="s">
        <v>724</v>
      </c>
      <c r="X190" s="260"/>
      <c r="Y190" s="260" t="s">
        <v>203</v>
      </c>
      <c r="Z190" s="260"/>
      <c r="AA190" s="260"/>
      <c r="AB190" s="111"/>
      <c r="AC190" s="260"/>
      <c r="AD190" s="260"/>
      <c r="AE190" s="260" t="s">
        <v>24</v>
      </c>
      <c r="AF190" s="260" t="s">
        <v>611</v>
      </c>
    </row>
    <row r="191" spans="1:32" x14ac:dyDescent="0.3">
      <c r="A191" s="260" t="s">
        <v>26</v>
      </c>
      <c r="B191" s="260" t="s">
        <v>691</v>
      </c>
      <c r="C191" s="260"/>
      <c r="D191" s="260">
        <v>2015</v>
      </c>
      <c r="E191" s="18">
        <v>425703.85460243642</v>
      </c>
      <c r="F191" s="260">
        <v>500000</v>
      </c>
      <c r="G191" s="260"/>
      <c r="H191" s="260"/>
      <c r="I191" s="260" t="s">
        <v>692</v>
      </c>
      <c r="J191" s="260">
        <v>5587</v>
      </c>
      <c r="K191" s="9">
        <v>22.610589000000001</v>
      </c>
      <c r="L191" s="9">
        <v>2261.0589</v>
      </c>
      <c r="M191" s="1">
        <v>13.124147079235829</v>
      </c>
      <c r="N191" s="9">
        <v>18.827632247989488</v>
      </c>
      <c r="O191" s="260"/>
      <c r="P191" s="260"/>
      <c r="Q191" s="260"/>
      <c r="R191" s="260"/>
      <c r="S191" s="260"/>
      <c r="T191" s="260"/>
      <c r="U191" s="260"/>
      <c r="V191" s="260"/>
      <c r="W191" s="260">
        <v>33.036700000000003</v>
      </c>
      <c r="X191" s="260">
        <v>-115.7557</v>
      </c>
      <c r="Y191" s="260" t="s">
        <v>203</v>
      </c>
      <c r="Z191" s="260"/>
      <c r="AA191" s="260"/>
      <c r="AB191" s="111"/>
      <c r="AC191" s="260"/>
      <c r="AD191" s="260"/>
      <c r="AE191" s="260" t="s">
        <v>24</v>
      </c>
      <c r="AF191" s="260" t="s">
        <v>694</v>
      </c>
    </row>
    <row r="192" spans="1:32" x14ac:dyDescent="0.3">
      <c r="A192" s="69" t="s">
        <v>26</v>
      </c>
      <c r="B192" s="11" t="s">
        <v>193</v>
      </c>
      <c r="C192" s="11"/>
      <c r="D192" s="260">
        <v>2013</v>
      </c>
      <c r="E192" s="42">
        <v>440000</v>
      </c>
      <c r="F192" s="94">
        <v>500000</v>
      </c>
      <c r="G192" s="260"/>
      <c r="H192" s="260"/>
      <c r="I192" s="260" t="s">
        <v>194</v>
      </c>
      <c r="J192" s="260">
        <v>3288</v>
      </c>
      <c r="K192" s="9">
        <v>13.306536000000001</v>
      </c>
      <c r="L192" s="9">
        <v>1330.6536000000001</v>
      </c>
      <c r="M192" s="1">
        <v>7.4727272727272727</v>
      </c>
      <c r="N192" s="9">
        <v>33.066456965208673</v>
      </c>
      <c r="O192" s="260"/>
      <c r="P192" s="260"/>
      <c r="Q192" s="1"/>
      <c r="R192" s="1"/>
      <c r="S192" s="1"/>
      <c r="T192" s="1"/>
      <c r="U192" s="1"/>
      <c r="V192" s="1"/>
      <c r="W192" s="260"/>
      <c r="X192" s="260"/>
      <c r="Y192" s="260" t="s">
        <v>203</v>
      </c>
      <c r="Z192" s="260"/>
      <c r="AA192" s="260"/>
      <c r="AB192" s="15"/>
      <c r="AC192" s="15"/>
      <c r="AD192" s="15"/>
      <c r="AE192" s="260" t="s">
        <v>24</v>
      </c>
      <c r="AF192" s="260" t="s">
        <v>110</v>
      </c>
    </row>
    <row r="193" spans="1:32" x14ac:dyDescent="0.3">
      <c r="A193" s="11" t="s">
        <v>35</v>
      </c>
      <c r="B193" s="11" t="s">
        <v>396</v>
      </c>
      <c r="C193" s="11"/>
      <c r="D193" s="260">
        <v>2016</v>
      </c>
      <c r="E193" s="18">
        <v>595985.39644341101</v>
      </c>
      <c r="F193" s="18">
        <v>700000</v>
      </c>
      <c r="G193" s="260"/>
      <c r="H193" s="260"/>
      <c r="I193" s="260" t="s">
        <v>186</v>
      </c>
      <c r="J193" s="74">
        <v>4000</v>
      </c>
      <c r="K193" s="9">
        <v>16.188000000000002</v>
      </c>
      <c r="L193" s="9">
        <v>1618.8</v>
      </c>
      <c r="M193" s="1">
        <v>6.711573847061203</v>
      </c>
      <c r="N193" s="1">
        <v>36.816493479331044</v>
      </c>
      <c r="O193" s="260"/>
      <c r="P193" s="260"/>
      <c r="Q193" s="1"/>
      <c r="R193" s="1"/>
      <c r="S193" s="1"/>
      <c r="T193" s="1"/>
      <c r="U193" s="1"/>
      <c r="V193" s="1"/>
      <c r="W193" s="260"/>
      <c r="X193" s="260"/>
      <c r="Y193" s="260" t="s">
        <v>203</v>
      </c>
      <c r="Z193" s="260"/>
      <c r="AA193" s="11"/>
      <c r="AB193" s="15"/>
      <c r="AC193" s="260"/>
      <c r="AD193" s="260"/>
      <c r="AE193" s="260" t="s">
        <v>24</v>
      </c>
      <c r="AF193" s="260"/>
    </row>
    <row r="194" spans="1:32" x14ac:dyDescent="0.3">
      <c r="A194" s="260" t="s">
        <v>107</v>
      </c>
      <c r="B194" s="260" t="s">
        <v>734</v>
      </c>
      <c r="C194" s="260"/>
      <c r="D194" s="260">
        <v>2015</v>
      </c>
      <c r="E194" s="18">
        <v>613013.55062750843</v>
      </c>
      <c r="F194" s="260">
        <v>720000</v>
      </c>
      <c r="G194" s="260"/>
      <c r="H194" s="260"/>
      <c r="I194" s="260" t="s">
        <v>733</v>
      </c>
      <c r="J194" s="260">
        <v>5436</v>
      </c>
      <c r="K194" s="9">
        <v>21.999492</v>
      </c>
      <c r="L194" s="9">
        <v>2199.9492</v>
      </c>
      <c r="M194" s="1">
        <v>8.8676669454296153</v>
      </c>
      <c r="N194" s="9">
        <v>27.86489572702444</v>
      </c>
      <c r="O194" s="260"/>
      <c r="P194" s="260"/>
      <c r="Q194" s="260"/>
      <c r="R194" s="260"/>
      <c r="S194" s="260"/>
      <c r="T194" s="260"/>
      <c r="U194" s="260"/>
      <c r="V194" s="260"/>
      <c r="W194" s="260">
        <v>35.077634000000003</v>
      </c>
      <c r="X194" s="260">
        <v>-114.639931</v>
      </c>
      <c r="Y194" s="260" t="s">
        <v>203</v>
      </c>
      <c r="Z194" s="260"/>
      <c r="AA194" s="260"/>
      <c r="AB194" s="15"/>
      <c r="AC194" s="260" t="s">
        <v>366</v>
      </c>
      <c r="AD194" s="260" t="s">
        <v>735</v>
      </c>
      <c r="AE194" s="260" t="s">
        <v>24</v>
      </c>
      <c r="AF194" s="260" t="s">
        <v>611</v>
      </c>
    </row>
  </sheetData>
  <sortState ref="A3:AF194">
    <sortCondition descending="1" ref="AB3:AB194"/>
  </sortState>
  <mergeCells count="2">
    <mergeCell ref="J1:L1"/>
    <mergeCell ref="O1:Q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98"/>
  <sheetViews>
    <sheetView topLeftCell="AB1" workbookViewId="0">
      <selection activeCell="AJ207" sqref="AJ207"/>
    </sheetView>
  </sheetViews>
  <sheetFormatPr defaultRowHeight="14.4" x14ac:dyDescent="0.3"/>
  <cols>
    <col min="31" max="31" width="8" style="260" customWidth="1"/>
    <col min="32" max="32" width="19.88671875" style="260" customWidth="1"/>
    <col min="33" max="33" width="8" style="260" customWidth="1"/>
    <col min="34" max="34" width="6.109375" style="260" customWidth="1"/>
    <col min="35" max="35" width="7.5546875" style="260" customWidth="1"/>
    <col min="36" max="36" width="9.33203125" style="260" customWidth="1"/>
  </cols>
  <sheetData>
    <row r="1" spans="1:36" x14ac:dyDescent="0.3">
      <c r="A1" t="s">
        <v>1103</v>
      </c>
      <c r="AE1" s="11"/>
    </row>
    <row r="2" spans="1:36" ht="15" thickBot="1" x14ac:dyDescent="0.35">
      <c r="AE2" s="349" t="s">
        <v>0</v>
      </c>
      <c r="AF2" s="261" t="s">
        <v>1</v>
      </c>
      <c r="AG2" s="261" t="s">
        <v>908</v>
      </c>
      <c r="AH2" s="261" t="s">
        <v>2</v>
      </c>
      <c r="AI2" s="261" t="s">
        <v>62</v>
      </c>
      <c r="AJ2" s="261" t="s">
        <v>63</v>
      </c>
    </row>
    <row r="3" spans="1:36" s="260" customFormat="1" x14ac:dyDescent="0.3">
      <c r="D3" s="311" t="s">
        <v>13</v>
      </c>
      <c r="E3" s="311"/>
      <c r="F3" s="312" t="s">
        <v>9</v>
      </c>
      <c r="G3" s="312"/>
      <c r="AE3" s="350" t="s">
        <v>3</v>
      </c>
      <c r="AF3" s="260" t="s">
        <v>38</v>
      </c>
      <c r="AH3" s="260">
        <v>2008</v>
      </c>
      <c r="AI3" s="42">
        <v>446.88</v>
      </c>
      <c r="AJ3" s="94">
        <v>596</v>
      </c>
    </row>
    <row r="4" spans="1:36" s="260" customFormat="1" x14ac:dyDescent="0.3">
      <c r="A4" s="261" t="s">
        <v>0</v>
      </c>
      <c r="B4" s="261" t="s">
        <v>1</v>
      </c>
      <c r="C4" s="261" t="s">
        <v>62</v>
      </c>
      <c r="D4" s="2" t="s">
        <v>10</v>
      </c>
      <c r="E4" s="2" t="s">
        <v>239</v>
      </c>
      <c r="F4" s="3" t="s">
        <v>10</v>
      </c>
      <c r="G4" s="3" t="s">
        <v>239</v>
      </c>
      <c r="H4" s="7" t="s">
        <v>15</v>
      </c>
      <c r="I4" s="7" t="s">
        <v>16</v>
      </c>
      <c r="J4" s="7" t="s">
        <v>20</v>
      </c>
      <c r="K4" s="7" t="s">
        <v>263</v>
      </c>
      <c r="L4" s="7" t="s">
        <v>18</v>
      </c>
      <c r="AE4" s="351" t="s">
        <v>3</v>
      </c>
      <c r="AF4" s="11" t="s">
        <v>45</v>
      </c>
      <c r="AG4" s="11"/>
      <c r="AH4" s="260">
        <v>2008</v>
      </c>
      <c r="AI4" s="42">
        <v>474.81</v>
      </c>
      <c r="AJ4" s="94">
        <v>633</v>
      </c>
    </row>
    <row r="5" spans="1:36" s="260" customFormat="1" x14ac:dyDescent="0.3">
      <c r="A5" s="260" t="s">
        <v>26</v>
      </c>
      <c r="B5" s="260" t="s">
        <v>27</v>
      </c>
      <c r="C5" s="260">
        <v>354000</v>
      </c>
      <c r="D5" s="260">
        <v>2057</v>
      </c>
      <c r="E5" s="1">
        <f t="shared" ref="E5:E21" si="0">D5/(C5/1000)</f>
        <v>5.8107344632768365</v>
      </c>
      <c r="F5" s="260">
        <v>2057</v>
      </c>
      <c r="G5" s="1">
        <f>F5/(C5/1000)</f>
        <v>5.8107344632768365</v>
      </c>
      <c r="H5" s="260">
        <v>35.018760999999998</v>
      </c>
      <c r="I5" s="260">
        <v>-117.558825</v>
      </c>
      <c r="J5" s="98" t="s">
        <v>112</v>
      </c>
      <c r="K5" s="260">
        <v>0</v>
      </c>
      <c r="L5" s="260" t="s">
        <v>30</v>
      </c>
      <c r="AE5" s="351" t="s">
        <v>3</v>
      </c>
      <c r="AF5" s="11" t="s">
        <v>43</v>
      </c>
      <c r="AG5" s="11"/>
      <c r="AH5" s="260">
        <v>2008</v>
      </c>
      <c r="AI5" s="42">
        <v>503.16</v>
      </c>
      <c r="AJ5" s="94">
        <v>600</v>
      </c>
    </row>
    <row r="6" spans="1:36" s="260" customFormat="1" x14ac:dyDescent="0.3">
      <c r="A6" s="260" t="s">
        <v>26</v>
      </c>
      <c r="B6" s="260" t="s">
        <v>830</v>
      </c>
      <c r="C6" s="260">
        <v>50000</v>
      </c>
      <c r="D6" s="260">
        <v>265</v>
      </c>
      <c r="E6" s="1">
        <f t="shared" si="0"/>
        <v>5.3</v>
      </c>
      <c r="F6" s="260">
        <v>230</v>
      </c>
      <c r="G6" s="1">
        <f>F6/(C6/1000)</f>
        <v>4.5999999999999996</v>
      </c>
      <c r="H6" s="260">
        <v>34.636699999999998</v>
      </c>
      <c r="I6" s="260">
        <v>-117.37220000000001</v>
      </c>
      <c r="J6" s="98" t="s">
        <v>113</v>
      </c>
      <c r="K6" s="260">
        <v>0</v>
      </c>
      <c r="L6" s="260" t="s">
        <v>147</v>
      </c>
      <c r="AE6" s="351" t="s">
        <v>3</v>
      </c>
      <c r="AF6" s="260" t="s">
        <v>31</v>
      </c>
      <c r="AH6" s="260">
        <v>2008</v>
      </c>
      <c r="AI6" s="42">
        <v>657.87</v>
      </c>
      <c r="AJ6" s="94">
        <v>720.72</v>
      </c>
    </row>
    <row r="7" spans="1:36" s="260" customFormat="1" x14ac:dyDescent="0.3">
      <c r="A7" s="260" t="s">
        <v>26</v>
      </c>
      <c r="B7" s="260" t="s">
        <v>828</v>
      </c>
      <c r="C7" s="260">
        <v>57000</v>
      </c>
      <c r="D7" s="260">
        <v>377</v>
      </c>
      <c r="E7" s="1">
        <f t="shared" si="0"/>
        <v>6.6140350877192979</v>
      </c>
      <c r="F7" s="260">
        <v>250</v>
      </c>
      <c r="G7" s="1">
        <f>F7/(C7/1000)</f>
        <v>4.3859649122807021</v>
      </c>
      <c r="H7" s="260">
        <v>34.641399999999997</v>
      </c>
      <c r="I7" s="260">
        <v>-118.11020000000001</v>
      </c>
      <c r="J7" s="98" t="s">
        <v>113</v>
      </c>
      <c r="K7" s="260">
        <v>0</v>
      </c>
      <c r="L7" s="260" t="s">
        <v>147</v>
      </c>
      <c r="AE7" s="351" t="s">
        <v>35</v>
      </c>
      <c r="AF7" s="11" t="s">
        <v>537</v>
      </c>
      <c r="AG7" s="11"/>
      <c r="AH7" s="260">
        <v>2011</v>
      </c>
      <c r="AI7" s="42">
        <v>823.1</v>
      </c>
      <c r="AJ7" s="94">
        <v>1069</v>
      </c>
    </row>
    <row r="8" spans="1:36" s="260" customFormat="1" x14ac:dyDescent="0.3">
      <c r="A8" s="260" t="s">
        <v>26</v>
      </c>
      <c r="B8" s="260" t="s">
        <v>792</v>
      </c>
      <c r="C8" s="260">
        <v>250000</v>
      </c>
      <c r="D8" s="260">
        <v>1765</v>
      </c>
      <c r="E8" s="1">
        <f t="shared" si="0"/>
        <v>7.06</v>
      </c>
      <c r="H8" s="260">
        <v>35.003279999999997</v>
      </c>
      <c r="I8" s="260">
        <v>-117.30377</v>
      </c>
      <c r="J8" s="98" t="s">
        <v>113</v>
      </c>
      <c r="K8" s="260">
        <v>0</v>
      </c>
      <c r="L8" s="260" t="s">
        <v>260</v>
      </c>
      <c r="AE8" s="351" t="s">
        <v>26</v>
      </c>
      <c r="AF8" s="11" t="s">
        <v>166</v>
      </c>
      <c r="AG8" s="11"/>
      <c r="AH8" s="260">
        <v>2008</v>
      </c>
      <c r="AI8" s="18">
        <f>AJ8*$F$289</f>
        <v>0</v>
      </c>
      <c r="AJ8" s="18">
        <v>1000</v>
      </c>
    </row>
    <row r="9" spans="1:36" s="260" customFormat="1" ht="14.4" customHeight="1" x14ac:dyDescent="0.3">
      <c r="A9" s="260" t="s">
        <v>148</v>
      </c>
      <c r="B9" s="260" t="s">
        <v>272</v>
      </c>
      <c r="C9" s="260">
        <v>75000</v>
      </c>
      <c r="D9" s="260">
        <v>500</v>
      </c>
      <c r="E9" s="1">
        <f t="shared" si="0"/>
        <v>6.666666666666667</v>
      </c>
      <c r="F9" s="260">
        <v>400</v>
      </c>
      <c r="G9" s="1">
        <f t="shared" ref="G9:G16" si="1">F9/(C9/1000)</f>
        <v>5.333333333333333</v>
      </c>
      <c r="H9" s="260">
        <v>27.053259000000001</v>
      </c>
      <c r="I9" s="260">
        <v>-80.558505999999994</v>
      </c>
      <c r="J9" s="98" t="s">
        <v>113</v>
      </c>
      <c r="K9" s="260">
        <v>0</v>
      </c>
      <c r="L9" s="260" t="s">
        <v>274</v>
      </c>
      <c r="AE9" s="351" t="s">
        <v>424</v>
      </c>
      <c r="AF9" s="11" t="s">
        <v>425</v>
      </c>
      <c r="AG9" s="11"/>
      <c r="AH9" s="260">
        <v>2009</v>
      </c>
      <c r="AI9" s="18">
        <f>AJ9*$F$289</f>
        <v>0</v>
      </c>
      <c r="AJ9" s="18">
        <v>1000</v>
      </c>
    </row>
    <row r="10" spans="1:36" s="260" customFormat="1" ht="14.4" customHeight="1" x14ac:dyDescent="0.3">
      <c r="E10" s="1"/>
      <c r="G10" s="1"/>
      <c r="J10" s="98"/>
      <c r="K10" s="10"/>
      <c r="AE10" s="351" t="s">
        <v>26</v>
      </c>
      <c r="AF10" s="11" t="s">
        <v>419</v>
      </c>
      <c r="AG10" s="11"/>
      <c r="AH10" s="260">
        <v>2008</v>
      </c>
      <c r="AI10" s="42">
        <f>AJ10*0.89</f>
        <v>890</v>
      </c>
      <c r="AJ10" s="94">
        <v>1000</v>
      </c>
    </row>
    <row r="11" spans="1:36" s="260" customFormat="1" ht="14.4" customHeight="1" x14ac:dyDescent="0.3">
      <c r="A11" s="260" t="s">
        <v>26</v>
      </c>
      <c r="B11" s="260" t="s">
        <v>270</v>
      </c>
      <c r="C11" s="260">
        <v>250000</v>
      </c>
      <c r="D11" s="260">
        <v>4640</v>
      </c>
      <c r="E11" s="1">
        <f t="shared" si="0"/>
        <v>18.559999999999999</v>
      </c>
      <c r="F11" s="260">
        <v>1800</v>
      </c>
      <c r="G11" s="1">
        <f t="shared" si="1"/>
        <v>7.2</v>
      </c>
      <c r="H11" s="260">
        <v>33.428699999999999</v>
      </c>
      <c r="I11" s="260">
        <v>-114.6506</v>
      </c>
      <c r="J11" s="98" t="s">
        <v>113</v>
      </c>
      <c r="K11" s="260">
        <v>0</v>
      </c>
      <c r="L11" s="260" t="s">
        <v>147</v>
      </c>
      <c r="AE11" s="351" t="s">
        <v>26</v>
      </c>
      <c r="AF11" s="11" t="s">
        <v>49</v>
      </c>
      <c r="AG11" s="11"/>
      <c r="AH11" s="260">
        <v>2008</v>
      </c>
      <c r="AI11" s="42">
        <v>917.91300000000001</v>
      </c>
      <c r="AJ11" s="94">
        <v>1088.96</v>
      </c>
    </row>
    <row r="12" spans="1:36" s="260" customFormat="1" ht="14.4" customHeight="1" x14ac:dyDescent="0.3">
      <c r="A12" s="260" t="s">
        <v>26</v>
      </c>
      <c r="B12" s="260" t="s">
        <v>354</v>
      </c>
      <c r="C12" s="260">
        <v>7500</v>
      </c>
      <c r="D12" s="260">
        <v>35</v>
      </c>
      <c r="E12" s="1">
        <f t="shared" si="0"/>
        <v>4.666666666666667</v>
      </c>
      <c r="F12" s="260">
        <v>14.9</v>
      </c>
      <c r="G12" s="1">
        <f t="shared" si="1"/>
        <v>1.9866666666666668</v>
      </c>
      <c r="H12" s="260">
        <v>35.568024000000001</v>
      </c>
      <c r="I12" s="260" t="s">
        <v>357</v>
      </c>
      <c r="J12" s="304" t="s">
        <v>355</v>
      </c>
      <c r="K12" s="260">
        <v>0</v>
      </c>
      <c r="L12" s="260" t="s">
        <v>358</v>
      </c>
      <c r="AE12" s="351" t="s">
        <v>35</v>
      </c>
      <c r="AF12" s="11" t="s">
        <v>165</v>
      </c>
      <c r="AG12" s="11"/>
      <c r="AH12" s="260">
        <v>2009</v>
      </c>
      <c r="AI12" s="18">
        <f>AJ12*$F$289</f>
        <v>0</v>
      </c>
      <c r="AJ12" s="18">
        <v>1100</v>
      </c>
    </row>
    <row r="13" spans="1:36" s="260" customFormat="1" ht="14.4" customHeight="1" x14ac:dyDescent="0.3">
      <c r="A13" s="260" t="s">
        <v>35</v>
      </c>
      <c r="B13" s="260" t="s">
        <v>258</v>
      </c>
      <c r="C13" s="260">
        <v>1500</v>
      </c>
      <c r="D13" s="260">
        <v>15</v>
      </c>
      <c r="E13" s="1">
        <f t="shared" si="0"/>
        <v>10</v>
      </c>
      <c r="F13" s="260">
        <v>4.2300000000000004</v>
      </c>
      <c r="G13" s="1">
        <f t="shared" si="1"/>
        <v>2.8200000000000003</v>
      </c>
      <c r="H13" s="260">
        <v>33.558669999999999</v>
      </c>
      <c r="I13" s="260">
        <v>-112.21833100000001</v>
      </c>
      <c r="J13" s="100" t="s">
        <v>114</v>
      </c>
      <c r="K13" s="260">
        <v>0</v>
      </c>
      <c r="L13" s="260" t="s">
        <v>260</v>
      </c>
      <c r="AE13" s="351" t="s">
        <v>26</v>
      </c>
      <c r="AF13" s="11" t="s">
        <v>52</v>
      </c>
      <c r="AG13" s="11"/>
      <c r="AH13" s="260">
        <v>2009</v>
      </c>
      <c r="AI13" s="42">
        <v>924.13400000000001</v>
      </c>
      <c r="AJ13" s="94">
        <v>1102.08</v>
      </c>
    </row>
    <row r="14" spans="1:36" s="260" customFormat="1" x14ac:dyDescent="0.3">
      <c r="A14" s="260" t="s">
        <v>26</v>
      </c>
      <c r="B14" s="260" t="s">
        <v>266</v>
      </c>
      <c r="C14" s="260">
        <v>5000</v>
      </c>
      <c r="D14" s="260">
        <v>50</v>
      </c>
      <c r="E14" s="1">
        <f t="shared" si="0"/>
        <v>10</v>
      </c>
      <c r="F14" s="260">
        <v>21.76</v>
      </c>
      <c r="G14" s="1">
        <f t="shared" si="1"/>
        <v>4.3520000000000003</v>
      </c>
      <c r="H14" s="260">
        <v>34.731693999999997</v>
      </c>
      <c r="I14" s="260" t="s">
        <v>267</v>
      </c>
      <c r="J14" s="305" t="s">
        <v>99</v>
      </c>
      <c r="K14" s="260">
        <v>0</v>
      </c>
      <c r="L14" s="260" t="s">
        <v>110</v>
      </c>
      <c r="AE14" s="351" t="s">
        <v>26</v>
      </c>
      <c r="AF14" s="11" t="s">
        <v>473</v>
      </c>
      <c r="AG14" s="11"/>
      <c r="AH14" s="260">
        <v>2008</v>
      </c>
      <c r="AI14" s="18">
        <f>AJ14*$F$289</f>
        <v>0</v>
      </c>
      <c r="AJ14" s="18">
        <v>1120</v>
      </c>
    </row>
    <row r="15" spans="1:36" s="260" customFormat="1" ht="14.4" customHeight="1" x14ac:dyDescent="0.3">
      <c r="A15" s="260" t="s">
        <v>26</v>
      </c>
      <c r="B15" s="260" t="s">
        <v>823</v>
      </c>
      <c r="C15" s="260">
        <v>250000</v>
      </c>
      <c r="D15" s="260">
        <f>3280/2</f>
        <v>1640</v>
      </c>
      <c r="E15" s="1">
        <f t="shared" si="0"/>
        <v>6.56</v>
      </c>
      <c r="F15" s="260">
        <f>3119/2</f>
        <v>1559.5</v>
      </c>
      <c r="G15" s="1">
        <f t="shared" si="1"/>
        <v>6.2380000000000004</v>
      </c>
      <c r="H15" s="260">
        <v>35.976999999999997</v>
      </c>
      <c r="I15" s="260">
        <v>-115.8742</v>
      </c>
      <c r="J15" s="98" t="s">
        <v>99</v>
      </c>
      <c r="K15" s="260">
        <v>0</v>
      </c>
      <c r="AE15" s="351" t="s">
        <v>527</v>
      </c>
      <c r="AF15" s="11" t="s">
        <v>526</v>
      </c>
      <c r="AG15" s="11"/>
      <c r="AH15" s="260">
        <v>2010</v>
      </c>
      <c r="AI15" s="42">
        <v>940</v>
      </c>
      <c r="AJ15" s="94">
        <v>1000</v>
      </c>
    </row>
    <row r="16" spans="1:36" s="260" customFormat="1" ht="14.4" customHeight="1" x14ac:dyDescent="0.3">
      <c r="A16" s="260" t="s">
        <v>26</v>
      </c>
      <c r="B16" s="260" t="s">
        <v>824</v>
      </c>
      <c r="C16" s="260">
        <v>250000</v>
      </c>
      <c r="D16" s="260">
        <f>3280/2</f>
        <v>1640</v>
      </c>
      <c r="E16" s="1">
        <f t="shared" si="0"/>
        <v>6.56</v>
      </c>
      <c r="F16" s="260">
        <f>3119/2</f>
        <v>1559.5</v>
      </c>
      <c r="G16" s="1">
        <f t="shared" si="1"/>
        <v>6.2380000000000004</v>
      </c>
      <c r="H16" s="260">
        <v>35.976999999999997</v>
      </c>
      <c r="I16" s="260">
        <v>-115.8742</v>
      </c>
      <c r="J16" s="98" t="s">
        <v>99</v>
      </c>
      <c r="K16" s="260">
        <v>0</v>
      </c>
      <c r="AE16" s="351" t="s">
        <v>26</v>
      </c>
      <c r="AF16" s="11" t="s">
        <v>46</v>
      </c>
      <c r="AG16" s="11"/>
      <c r="AH16" s="260">
        <v>2008</v>
      </c>
      <c r="AI16" s="42">
        <v>995.51400000000001</v>
      </c>
      <c r="AJ16" s="94">
        <v>1179.52</v>
      </c>
    </row>
    <row r="17" spans="1:36" s="260" customFormat="1" ht="14.4" customHeight="1" x14ac:dyDescent="0.3">
      <c r="A17" s="260" t="s">
        <v>26</v>
      </c>
      <c r="B17" s="260" t="s">
        <v>820</v>
      </c>
      <c r="C17" s="260">
        <v>250000</v>
      </c>
      <c r="D17" s="260">
        <f>5750/3</f>
        <v>1916.6666666666667</v>
      </c>
      <c r="E17" s="1">
        <f t="shared" si="0"/>
        <v>7.666666666666667</v>
      </c>
      <c r="H17" s="260">
        <v>33.4833</v>
      </c>
      <c r="I17" s="260">
        <v>-114.762</v>
      </c>
      <c r="J17" s="98" t="s">
        <v>99</v>
      </c>
      <c r="K17" s="260">
        <v>0</v>
      </c>
      <c r="AE17" s="351" t="s">
        <v>3</v>
      </c>
      <c r="AF17" s="260" t="s">
        <v>32</v>
      </c>
      <c r="AH17" s="260">
        <v>2009</v>
      </c>
      <c r="AI17" s="42">
        <v>1000</v>
      </c>
      <c r="AJ17" s="94">
        <v>1083</v>
      </c>
    </row>
    <row r="18" spans="1:36" s="260" customFormat="1" ht="14.4" customHeight="1" x14ac:dyDescent="0.3">
      <c r="A18" s="260" t="s">
        <v>26</v>
      </c>
      <c r="B18" s="260" t="s">
        <v>821</v>
      </c>
      <c r="C18" s="260">
        <v>250000</v>
      </c>
      <c r="D18" s="260">
        <f>5750/3</f>
        <v>1916.6666666666667</v>
      </c>
      <c r="E18" s="1">
        <f t="shared" si="0"/>
        <v>7.666666666666667</v>
      </c>
      <c r="H18" s="260">
        <v>33.4833</v>
      </c>
      <c r="I18" s="260">
        <v>-114.762</v>
      </c>
      <c r="J18" s="98" t="s">
        <v>99</v>
      </c>
      <c r="K18" s="260">
        <v>0</v>
      </c>
      <c r="AE18" s="351" t="s">
        <v>160</v>
      </c>
      <c r="AF18" s="11" t="s">
        <v>519</v>
      </c>
      <c r="AG18" s="11"/>
      <c r="AH18" s="260">
        <v>2011</v>
      </c>
      <c r="AI18" s="42">
        <v>1000</v>
      </c>
      <c r="AJ18" s="94">
        <v>1140.48</v>
      </c>
    </row>
    <row r="19" spans="1:36" s="260" customFormat="1" ht="14.4" customHeight="1" x14ac:dyDescent="0.3">
      <c r="A19" s="260" t="s">
        <v>26</v>
      </c>
      <c r="B19" s="260" t="s">
        <v>822</v>
      </c>
      <c r="C19" s="260">
        <v>250000</v>
      </c>
      <c r="D19" s="260">
        <f>5750/3</f>
        <v>1916.6666666666667</v>
      </c>
      <c r="E19" s="1">
        <f t="shared" si="0"/>
        <v>7.666666666666667</v>
      </c>
      <c r="H19" s="260">
        <v>33.4833</v>
      </c>
      <c r="I19" s="260">
        <v>-114.762</v>
      </c>
      <c r="J19" s="98" t="s">
        <v>99</v>
      </c>
      <c r="K19" s="260">
        <v>0</v>
      </c>
      <c r="AE19" s="351" t="s">
        <v>26</v>
      </c>
      <c r="AF19" s="11" t="s">
        <v>451</v>
      </c>
      <c r="AG19" s="11"/>
      <c r="AH19" s="260">
        <v>2011</v>
      </c>
      <c r="AI19" s="42">
        <v>1000</v>
      </c>
      <c r="AJ19" s="94">
        <v>1159.2</v>
      </c>
    </row>
    <row r="20" spans="1:36" s="260" customFormat="1" ht="14.4" customHeight="1" x14ac:dyDescent="0.3">
      <c r="A20" s="260" t="s">
        <v>26</v>
      </c>
      <c r="B20" s="260" t="s">
        <v>819</v>
      </c>
      <c r="C20" s="260">
        <v>13000</v>
      </c>
      <c r="D20" s="260">
        <v>86</v>
      </c>
      <c r="E20" s="1">
        <f t="shared" si="0"/>
        <v>6.615384615384615</v>
      </c>
      <c r="F20" s="260">
        <v>57</v>
      </c>
      <c r="G20" s="1">
        <f>F20/(C20/1000)</f>
        <v>4.384615384615385</v>
      </c>
      <c r="H20" s="260">
        <v>36.174239999999998</v>
      </c>
      <c r="I20" s="260">
        <v>-120.38603999999999</v>
      </c>
      <c r="J20" s="98" t="s">
        <v>99</v>
      </c>
      <c r="K20" s="260">
        <v>0</v>
      </c>
      <c r="AE20" s="351" t="s">
        <v>47</v>
      </c>
      <c r="AF20" s="11" t="s">
        <v>48</v>
      </c>
      <c r="AG20" s="11"/>
      <c r="AH20" s="260">
        <v>2008</v>
      </c>
      <c r="AI20" s="42">
        <v>1000</v>
      </c>
      <c r="AJ20" s="94">
        <v>1189</v>
      </c>
    </row>
    <row r="21" spans="1:36" s="260" customFormat="1" ht="14.4" customHeight="1" x14ac:dyDescent="0.3">
      <c r="A21" s="260" t="s">
        <v>26</v>
      </c>
      <c r="B21" s="260" t="s">
        <v>825</v>
      </c>
      <c r="C21" s="260">
        <v>377000</v>
      </c>
      <c r="D21" s="260">
        <v>3582</v>
      </c>
      <c r="E21" s="1">
        <f t="shared" si="0"/>
        <v>9.5013262599469499</v>
      </c>
      <c r="F21" s="260">
        <v>3297</v>
      </c>
      <c r="G21" s="1">
        <f>F21/(C21/1000)</f>
        <v>8.7453580901856771</v>
      </c>
      <c r="H21" s="260">
        <v>35.560899999999997</v>
      </c>
      <c r="I21" s="260">
        <v>-115.4764</v>
      </c>
      <c r="J21" s="98" t="s">
        <v>99</v>
      </c>
      <c r="K21" s="260">
        <v>0</v>
      </c>
      <c r="L21" s="260" t="s">
        <v>147</v>
      </c>
      <c r="AE21" s="352" t="s">
        <v>3</v>
      </c>
      <c r="AF21" s="11" t="s">
        <v>44</v>
      </c>
      <c r="AG21" s="11"/>
      <c r="AH21" s="260">
        <v>2009</v>
      </c>
      <c r="AI21" s="42">
        <v>1329.79</v>
      </c>
      <c r="AJ21" s="94">
        <v>1727</v>
      </c>
    </row>
    <row r="22" spans="1:36" s="260" customFormat="1" x14ac:dyDescent="0.3">
      <c r="A22" s="98"/>
      <c r="B22" s="98" t="s">
        <v>805</v>
      </c>
      <c r="C22" s="98">
        <v>2500</v>
      </c>
      <c r="D22" s="98"/>
      <c r="E22" s="158"/>
      <c r="F22" s="98">
        <v>3.61</v>
      </c>
      <c r="G22" s="1">
        <f>F22/(C22/1000)</f>
        <v>1.444</v>
      </c>
      <c r="H22" s="98"/>
      <c r="I22" s="98"/>
      <c r="J22" s="98"/>
      <c r="K22" s="98">
        <v>0</v>
      </c>
      <c r="L22" s="98"/>
      <c r="AE22" s="351" t="s">
        <v>3</v>
      </c>
      <c r="AF22" s="11" t="s">
        <v>156</v>
      </c>
      <c r="AG22" s="11"/>
      <c r="AH22" s="260">
        <v>2010</v>
      </c>
      <c r="AI22" s="18">
        <f t="shared" ref="AI22:AI33" si="2">AJ22*$F$289</f>
        <v>0</v>
      </c>
      <c r="AJ22" s="18">
        <v>2000</v>
      </c>
    </row>
    <row r="23" spans="1:36" s="260" customFormat="1" ht="14.4" customHeight="1" x14ac:dyDescent="0.3">
      <c r="A23" s="260" t="s">
        <v>107</v>
      </c>
      <c r="B23" s="260" t="s">
        <v>276</v>
      </c>
      <c r="C23" s="260">
        <v>64000</v>
      </c>
      <c r="D23" s="260">
        <v>400</v>
      </c>
      <c r="E23" s="1">
        <f t="shared" ref="E23:E30" si="3">D23/(C23/1000)</f>
        <v>6.25</v>
      </c>
      <c r="F23" s="260">
        <v>290</v>
      </c>
      <c r="G23" s="1">
        <f>F23/(C23/1000)</f>
        <v>4.53125</v>
      </c>
      <c r="H23" s="260">
        <v>35.801360000000003</v>
      </c>
      <c r="I23" s="260">
        <f>-114.97644</f>
        <v>-114.97644</v>
      </c>
      <c r="J23" s="98" t="s">
        <v>113</v>
      </c>
      <c r="K23" s="260">
        <v>0.5</v>
      </c>
      <c r="L23" s="260" t="s">
        <v>260</v>
      </c>
      <c r="AE23" s="351" t="s">
        <v>3</v>
      </c>
      <c r="AF23" s="11" t="s">
        <v>142</v>
      </c>
      <c r="AG23" s="11"/>
      <c r="AH23" s="260">
        <v>2008</v>
      </c>
      <c r="AI23" s="18">
        <f t="shared" si="2"/>
        <v>0</v>
      </c>
      <c r="AJ23" s="18">
        <v>2000</v>
      </c>
    </row>
    <row r="24" spans="1:36" s="260" customFormat="1" ht="14.4" customHeight="1" x14ac:dyDescent="0.3">
      <c r="A24" s="260" t="s">
        <v>26</v>
      </c>
      <c r="B24" s="260" t="s">
        <v>98</v>
      </c>
      <c r="C24" s="260">
        <v>10000</v>
      </c>
      <c r="D24" s="260">
        <v>132</v>
      </c>
      <c r="E24" s="1">
        <f t="shared" si="3"/>
        <v>13.2</v>
      </c>
      <c r="F24" s="260">
        <v>110</v>
      </c>
      <c r="G24" s="1">
        <f>F24/(C24/1000)</f>
        <v>11</v>
      </c>
      <c r="H24" s="260">
        <v>34.871813000000003</v>
      </c>
      <c r="I24" s="260">
        <v>-116.83414999999999</v>
      </c>
      <c r="J24" s="98" t="s">
        <v>99</v>
      </c>
      <c r="K24" s="100">
        <v>3</v>
      </c>
      <c r="L24" s="260" t="s">
        <v>30</v>
      </c>
      <c r="AE24" s="351" t="s">
        <v>413</v>
      </c>
      <c r="AF24" s="11" t="s">
        <v>410</v>
      </c>
      <c r="AG24" s="11"/>
      <c r="AH24" s="260">
        <v>2011</v>
      </c>
      <c r="AI24" s="18">
        <f t="shared" si="2"/>
        <v>0</v>
      </c>
      <c r="AJ24" s="18">
        <v>2000</v>
      </c>
    </row>
    <row r="25" spans="1:36" s="260" customFormat="1" ht="14.4" customHeight="1" x14ac:dyDescent="0.3">
      <c r="A25" s="24" t="s">
        <v>35</v>
      </c>
      <c r="B25" s="24" t="s">
        <v>264</v>
      </c>
      <c r="C25" s="24">
        <v>280000</v>
      </c>
      <c r="D25" s="24">
        <v>1920</v>
      </c>
      <c r="E25" s="88">
        <f t="shared" si="3"/>
        <v>6.8571428571428568</v>
      </c>
      <c r="F25" s="24"/>
      <c r="G25" s="24"/>
      <c r="H25" s="24">
        <v>32.929380000000002</v>
      </c>
      <c r="I25" s="24">
        <v>-112.97833</v>
      </c>
      <c r="J25" s="320" t="s">
        <v>262</v>
      </c>
      <c r="K25" s="24">
        <v>6</v>
      </c>
      <c r="L25" s="24" t="s">
        <v>260</v>
      </c>
      <c r="AE25" s="351" t="s">
        <v>47</v>
      </c>
      <c r="AF25" s="11" t="s">
        <v>414</v>
      </c>
      <c r="AG25" s="11"/>
      <c r="AH25" s="260">
        <v>2010</v>
      </c>
      <c r="AI25" s="18">
        <f t="shared" si="2"/>
        <v>0</v>
      </c>
      <c r="AJ25" s="94">
        <v>2200</v>
      </c>
    </row>
    <row r="26" spans="1:36" s="260" customFormat="1" ht="14.4" customHeight="1" x14ac:dyDescent="0.3">
      <c r="A26" s="260" t="s">
        <v>26</v>
      </c>
      <c r="B26" s="260" t="s">
        <v>280</v>
      </c>
      <c r="C26" s="260">
        <v>150000</v>
      </c>
      <c r="D26" s="260">
        <v>2560</v>
      </c>
      <c r="E26" s="1">
        <f t="shared" si="3"/>
        <v>17.066666666666666</v>
      </c>
      <c r="F26" s="260">
        <v>1410</v>
      </c>
      <c r="G26" s="1">
        <f>F26/(C26/1000)</f>
        <v>9.4</v>
      </c>
      <c r="H26" s="260">
        <v>34.066490000000002</v>
      </c>
      <c r="I26" s="260">
        <v>-114.81309</v>
      </c>
      <c r="J26" s="98" t="s">
        <v>99</v>
      </c>
      <c r="K26" s="260">
        <v>7</v>
      </c>
      <c r="L26" s="260" t="s">
        <v>297</v>
      </c>
      <c r="AE26" s="351" t="s">
        <v>35</v>
      </c>
      <c r="AF26" s="28" t="s">
        <v>631</v>
      </c>
      <c r="AG26" s="28"/>
      <c r="AH26" s="260">
        <v>2006</v>
      </c>
      <c r="AI26" s="18">
        <f t="shared" si="2"/>
        <v>0</v>
      </c>
      <c r="AJ26" s="18">
        <v>2830</v>
      </c>
    </row>
    <row r="27" spans="1:36" s="260" customFormat="1" ht="14.4" customHeight="1" x14ac:dyDescent="0.3">
      <c r="A27" s="260" t="s">
        <v>35</v>
      </c>
      <c r="B27" s="260" t="s">
        <v>838</v>
      </c>
      <c r="C27" s="260">
        <v>100000</v>
      </c>
      <c r="D27" s="260">
        <v>1675</v>
      </c>
      <c r="E27" s="1">
        <f t="shared" si="3"/>
        <v>16.75</v>
      </c>
      <c r="H27" s="260">
        <v>33.848199999999999</v>
      </c>
      <c r="I27" s="260">
        <v>-114.1994</v>
      </c>
      <c r="J27" s="98" t="s">
        <v>99</v>
      </c>
      <c r="K27" s="260">
        <v>10</v>
      </c>
      <c r="AE27" s="351" t="s">
        <v>26</v>
      </c>
      <c r="AF27" s="11" t="s">
        <v>163</v>
      </c>
      <c r="AG27" s="11"/>
      <c r="AH27" s="260">
        <v>2012</v>
      </c>
      <c r="AI27" s="18">
        <f t="shared" si="2"/>
        <v>0</v>
      </c>
      <c r="AJ27" s="18">
        <v>3000</v>
      </c>
    </row>
    <row r="28" spans="1:36" s="260" customFormat="1" ht="14.4" customHeight="1" x14ac:dyDescent="0.3">
      <c r="A28" s="260" t="s">
        <v>35</v>
      </c>
      <c r="B28" s="260" t="s">
        <v>836</v>
      </c>
      <c r="C28" s="260">
        <v>150000</v>
      </c>
      <c r="D28" s="260">
        <v>2560</v>
      </c>
      <c r="E28" s="1">
        <f t="shared" si="3"/>
        <v>17.066666666666666</v>
      </c>
      <c r="H28" s="260">
        <v>32.946199999999997</v>
      </c>
      <c r="I28" s="260">
        <v>-112.89190000000001</v>
      </c>
      <c r="J28" s="98" t="s">
        <v>99</v>
      </c>
      <c r="K28" s="260">
        <v>10</v>
      </c>
      <c r="AE28" s="351" t="s">
        <v>171</v>
      </c>
      <c r="AF28" s="11" t="s">
        <v>379</v>
      </c>
      <c r="AG28" s="11"/>
      <c r="AH28" s="260">
        <v>2010</v>
      </c>
      <c r="AI28" s="18">
        <f t="shared" si="2"/>
        <v>0</v>
      </c>
      <c r="AJ28" s="18">
        <v>4100</v>
      </c>
    </row>
    <row r="29" spans="1:36" s="260" customFormat="1" ht="14.4" customHeight="1" x14ac:dyDescent="0.3">
      <c r="A29" s="260" t="s">
        <v>107</v>
      </c>
      <c r="B29" s="260" t="s">
        <v>275</v>
      </c>
      <c r="C29" s="260">
        <v>110000</v>
      </c>
      <c r="D29" s="260">
        <v>1600</v>
      </c>
      <c r="E29" s="1">
        <f t="shared" si="3"/>
        <v>14.545454545454545</v>
      </c>
      <c r="F29" s="260">
        <v>1527</v>
      </c>
      <c r="G29" s="1">
        <f>F29/(C29/1000)</f>
        <v>13.881818181818181</v>
      </c>
      <c r="H29" s="260">
        <v>38.210940000000001</v>
      </c>
      <c r="I29" s="260">
        <v>-117.33725</v>
      </c>
      <c r="J29" s="98" t="s">
        <v>99</v>
      </c>
      <c r="K29" s="260">
        <v>10</v>
      </c>
      <c r="L29" s="260" t="s">
        <v>269</v>
      </c>
      <c r="AE29" s="351" t="s">
        <v>171</v>
      </c>
      <c r="AF29" s="11" t="s">
        <v>435</v>
      </c>
      <c r="AG29" s="11"/>
      <c r="AH29" s="260">
        <v>2010</v>
      </c>
      <c r="AI29" s="18">
        <f t="shared" si="2"/>
        <v>0</v>
      </c>
      <c r="AJ29" s="94">
        <v>4400</v>
      </c>
    </row>
    <row r="30" spans="1:36" s="260" customFormat="1" x14ac:dyDescent="0.3">
      <c r="A30" s="260" t="s">
        <v>3</v>
      </c>
      <c r="B30" s="260" t="s">
        <v>811</v>
      </c>
      <c r="C30" s="260">
        <v>200000</v>
      </c>
      <c r="D30" s="260">
        <v>3000</v>
      </c>
      <c r="E30" s="1">
        <f t="shared" si="3"/>
        <v>15</v>
      </c>
      <c r="F30" s="260">
        <v>2669</v>
      </c>
      <c r="G30" s="1">
        <f>F30/(C30/1000)</f>
        <v>13.345000000000001</v>
      </c>
      <c r="H30" s="260">
        <v>37.79607</v>
      </c>
      <c r="I30" s="260">
        <v>-106.03045</v>
      </c>
      <c r="J30" s="98" t="s">
        <v>99</v>
      </c>
      <c r="K30" s="260">
        <v>15</v>
      </c>
      <c r="L30" s="260" t="s">
        <v>147</v>
      </c>
      <c r="AE30" s="353" t="s">
        <v>171</v>
      </c>
      <c r="AF30" s="260" t="s">
        <v>710</v>
      </c>
      <c r="AH30" s="260">
        <v>2012</v>
      </c>
      <c r="AI30" s="18">
        <f t="shared" si="2"/>
        <v>0</v>
      </c>
      <c r="AJ30" s="260">
        <v>4800</v>
      </c>
    </row>
    <row r="31" spans="1:36" x14ac:dyDescent="0.3">
      <c r="AE31" s="353" t="s">
        <v>476</v>
      </c>
      <c r="AF31" s="260" t="s">
        <v>626</v>
      </c>
      <c r="AH31" s="260">
        <v>2012</v>
      </c>
      <c r="AI31" s="18">
        <f t="shared" si="2"/>
        <v>0</v>
      </c>
      <c r="AJ31" s="260">
        <v>5000</v>
      </c>
    </row>
    <row r="32" spans="1:36" x14ac:dyDescent="0.3">
      <c r="AE32" s="351" t="s">
        <v>171</v>
      </c>
      <c r="AF32" s="11" t="s">
        <v>565</v>
      </c>
      <c r="AG32" s="11"/>
      <c r="AH32" s="260">
        <v>2012</v>
      </c>
      <c r="AI32" s="18">
        <f t="shared" si="2"/>
        <v>0</v>
      </c>
      <c r="AJ32" s="75">
        <v>5300</v>
      </c>
    </row>
    <row r="33" spans="31:36" x14ac:dyDescent="0.3">
      <c r="AE33" s="351" t="s">
        <v>148</v>
      </c>
      <c r="AF33" s="11" t="s">
        <v>480</v>
      </c>
      <c r="AG33" s="11"/>
      <c r="AH33" s="260">
        <v>2011</v>
      </c>
      <c r="AI33" s="18">
        <f t="shared" si="2"/>
        <v>0</v>
      </c>
      <c r="AJ33" s="94">
        <v>5910</v>
      </c>
    </row>
    <row r="34" spans="31:36" x14ac:dyDescent="0.3">
      <c r="AE34" s="353" t="s">
        <v>47</v>
      </c>
      <c r="AF34" s="260" t="s">
        <v>727</v>
      </c>
      <c r="AH34" s="260">
        <v>2011</v>
      </c>
      <c r="AI34" s="108">
        <v>5000</v>
      </c>
      <c r="AJ34" s="98">
        <v>6400</v>
      </c>
    </row>
    <row r="35" spans="31:36" x14ac:dyDescent="0.3">
      <c r="AE35" s="351" t="s">
        <v>26</v>
      </c>
      <c r="AF35" s="11" t="s">
        <v>298</v>
      </c>
      <c r="AG35" s="11"/>
      <c r="AH35" s="260">
        <v>2010</v>
      </c>
      <c r="AI35" s="18">
        <f t="shared" ref="AI35:AI44" si="4">AJ35*$F$289</f>
        <v>0</v>
      </c>
      <c r="AJ35" s="18">
        <v>6000</v>
      </c>
    </row>
    <row r="36" spans="31:36" x14ac:dyDescent="0.3">
      <c r="AE36" s="351" t="s">
        <v>3</v>
      </c>
      <c r="AF36" s="11" t="s">
        <v>422</v>
      </c>
      <c r="AG36" s="11"/>
      <c r="AH36" s="260">
        <v>2011</v>
      </c>
      <c r="AI36" s="18">
        <f t="shared" si="4"/>
        <v>0</v>
      </c>
      <c r="AJ36" s="18">
        <v>6000</v>
      </c>
    </row>
    <row r="37" spans="31:36" x14ac:dyDescent="0.3">
      <c r="AE37" s="353" t="s">
        <v>171</v>
      </c>
      <c r="AF37" s="260" t="s">
        <v>618</v>
      </c>
      <c r="AH37" s="260">
        <v>2012</v>
      </c>
      <c r="AI37" s="18">
        <f t="shared" si="4"/>
        <v>0</v>
      </c>
      <c r="AJ37" s="260">
        <v>6100</v>
      </c>
    </row>
    <row r="38" spans="31:36" x14ac:dyDescent="0.3">
      <c r="AE38" s="351" t="s">
        <v>3</v>
      </c>
      <c r="AF38" s="10" t="s">
        <v>41</v>
      </c>
      <c r="AG38" s="10"/>
      <c r="AH38" s="260">
        <v>2007</v>
      </c>
      <c r="AI38" s="18">
        <f t="shared" si="4"/>
        <v>0</v>
      </c>
      <c r="AJ38" s="18">
        <v>6605</v>
      </c>
    </row>
    <row r="39" spans="31:36" x14ac:dyDescent="0.3">
      <c r="AE39" s="353" t="s">
        <v>26</v>
      </c>
      <c r="AF39" s="260" t="s">
        <v>628</v>
      </c>
      <c r="AH39" s="260">
        <v>2013</v>
      </c>
      <c r="AI39" s="18">
        <f t="shared" si="4"/>
        <v>0</v>
      </c>
      <c r="AJ39" s="98">
        <v>8000</v>
      </c>
    </row>
    <row r="40" spans="31:36" x14ac:dyDescent="0.3">
      <c r="AE40" s="353" t="s">
        <v>196</v>
      </c>
      <c r="AF40" s="260" t="s">
        <v>622</v>
      </c>
      <c r="AH40" s="260">
        <v>2012</v>
      </c>
      <c r="AI40" s="18">
        <f t="shared" si="4"/>
        <v>0</v>
      </c>
      <c r="AJ40" s="260">
        <v>9800</v>
      </c>
    </row>
    <row r="41" spans="31:36" x14ac:dyDescent="0.3">
      <c r="AE41" s="351" t="s">
        <v>180</v>
      </c>
      <c r="AF41" s="11" t="s">
        <v>181</v>
      </c>
      <c r="AG41" s="11"/>
      <c r="AH41" s="260">
        <v>2010</v>
      </c>
      <c r="AI41" s="18">
        <f t="shared" si="4"/>
        <v>0</v>
      </c>
      <c r="AJ41" s="94">
        <v>10000</v>
      </c>
    </row>
    <row r="42" spans="31:36" x14ac:dyDescent="0.3">
      <c r="AE42" s="351" t="s">
        <v>35</v>
      </c>
      <c r="AF42" s="11" t="s">
        <v>592</v>
      </c>
      <c r="AG42" s="11"/>
      <c r="AH42" s="260">
        <v>2012</v>
      </c>
      <c r="AI42" s="18">
        <f t="shared" si="4"/>
        <v>0</v>
      </c>
      <c r="AJ42" s="94">
        <v>10000</v>
      </c>
    </row>
    <row r="43" spans="31:36" x14ac:dyDescent="0.3">
      <c r="AE43" s="351" t="s">
        <v>160</v>
      </c>
      <c r="AF43" s="11" t="s">
        <v>458</v>
      </c>
      <c r="AG43" s="11"/>
      <c r="AH43" s="260">
        <v>2011</v>
      </c>
      <c r="AI43" s="18">
        <f t="shared" si="4"/>
        <v>0</v>
      </c>
      <c r="AJ43" s="18">
        <v>10700</v>
      </c>
    </row>
    <row r="44" spans="31:36" x14ac:dyDescent="0.3">
      <c r="AE44" s="351" t="s">
        <v>160</v>
      </c>
      <c r="AF44" s="11" t="s">
        <v>456</v>
      </c>
      <c r="AG44" s="11"/>
      <c r="AH44" s="260">
        <v>2011</v>
      </c>
      <c r="AI44" s="18">
        <f t="shared" si="4"/>
        <v>0</v>
      </c>
      <c r="AJ44" s="18">
        <v>10800</v>
      </c>
    </row>
    <row r="45" spans="31:36" x14ac:dyDescent="0.3">
      <c r="AE45" s="353" t="s">
        <v>26</v>
      </c>
      <c r="AF45" s="260" t="s">
        <v>652</v>
      </c>
      <c r="AH45" s="260">
        <v>2011</v>
      </c>
      <c r="AI45" s="108">
        <v>9400</v>
      </c>
      <c r="AJ45" s="98">
        <v>12000</v>
      </c>
    </row>
    <row r="46" spans="31:36" x14ac:dyDescent="0.3">
      <c r="AE46" s="353" t="s">
        <v>35</v>
      </c>
      <c r="AF46" s="260" t="s">
        <v>633</v>
      </c>
      <c r="AH46" s="260">
        <v>2006</v>
      </c>
      <c r="AI46" s="108">
        <v>10000</v>
      </c>
      <c r="AJ46" s="98">
        <v>11750</v>
      </c>
    </row>
    <row r="47" spans="31:36" x14ac:dyDescent="0.3">
      <c r="AE47" s="351" t="s">
        <v>429</v>
      </c>
      <c r="AF47" s="11" t="s">
        <v>430</v>
      </c>
      <c r="AG47" s="11"/>
      <c r="AH47" s="260">
        <v>2011</v>
      </c>
      <c r="AI47" s="94">
        <v>10000</v>
      </c>
      <c r="AJ47" s="18" t="e">
        <f>AI47/$F$289</f>
        <v>#DIV/0!</v>
      </c>
    </row>
    <row r="48" spans="31:36" x14ac:dyDescent="0.3">
      <c r="AE48" s="353" t="s">
        <v>26</v>
      </c>
      <c r="AF48" s="260" t="s">
        <v>704</v>
      </c>
      <c r="AH48" s="260">
        <v>2012</v>
      </c>
      <c r="AI48" s="18">
        <f>AJ48*$F$289</f>
        <v>0</v>
      </c>
      <c r="AJ48" s="98">
        <v>13780</v>
      </c>
    </row>
    <row r="49" spans="31:36" x14ac:dyDescent="0.3">
      <c r="AE49" s="354" t="s">
        <v>171</v>
      </c>
      <c r="AF49" s="11" t="s">
        <v>172</v>
      </c>
      <c r="AG49" s="11"/>
      <c r="AH49" s="260">
        <v>2014</v>
      </c>
      <c r="AI49" s="18">
        <f>AJ49*$F$289</f>
        <v>0</v>
      </c>
      <c r="AJ49" s="18">
        <v>14400</v>
      </c>
    </row>
    <row r="50" spans="31:36" x14ac:dyDescent="0.3">
      <c r="AE50" s="351" t="s">
        <v>107</v>
      </c>
      <c r="AF50" s="11" t="s">
        <v>141</v>
      </c>
      <c r="AG50" s="11"/>
      <c r="AH50" s="260">
        <v>2007</v>
      </c>
      <c r="AI50" s="42">
        <v>13500</v>
      </c>
      <c r="AJ50" s="94">
        <v>18000</v>
      </c>
    </row>
    <row r="51" spans="31:36" x14ac:dyDescent="0.3">
      <c r="AE51" s="353" t="s">
        <v>35</v>
      </c>
      <c r="AF51" s="260" t="s">
        <v>638</v>
      </c>
      <c r="AH51" s="260">
        <v>2012</v>
      </c>
      <c r="AI51" s="98">
        <v>14000</v>
      </c>
      <c r="AJ51" s="98">
        <v>15000</v>
      </c>
    </row>
    <row r="52" spans="31:36" x14ac:dyDescent="0.3">
      <c r="AE52" s="353" t="s">
        <v>35</v>
      </c>
      <c r="AF52" s="260" t="s">
        <v>636</v>
      </c>
      <c r="AH52" s="260">
        <v>2013</v>
      </c>
      <c r="AI52" s="18">
        <f>AJ52*$F$289</f>
        <v>0</v>
      </c>
      <c r="AJ52" s="260">
        <v>17000</v>
      </c>
    </row>
    <row r="53" spans="31:36" x14ac:dyDescent="0.3">
      <c r="AE53" s="353" t="s">
        <v>26</v>
      </c>
      <c r="AF53" s="260" t="s">
        <v>646</v>
      </c>
      <c r="AH53" s="260">
        <v>2011</v>
      </c>
      <c r="AI53" s="108">
        <v>15000</v>
      </c>
      <c r="AJ53" s="98">
        <v>16438.8</v>
      </c>
    </row>
    <row r="54" spans="31:36" x14ac:dyDescent="0.3">
      <c r="AE54" s="353" t="s">
        <v>26</v>
      </c>
      <c r="AF54" s="260" t="s">
        <v>651</v>
      </c>
      <c r="AH54" s="260">
        <v>2011</v>
      </c>
      <c r="AI54" s="108">
        <v>15000</v>
      </c>
      <c r="AJ54" s="98">
        <v>16609</v>
      </c>
    </row>
    <row r="55" spans="31:36" x14ac:dyDescent="0.3">
      <c r="AE55" s="354" t="s">
        <v>47</v>
      </c>
      <c r="AF55" s="11" t="s">
        <v>188</v>
      </c>
      <c r="AG55" s="11"/>
      <c r="AH55" s="260">
        <v>2011</v>
      </c>
      <c r="AI55" s="28">
        <v>15500</v>
      </c>
      <c r="AJ55" s="94">
        <v>17200</v>
      </c>
    </row>
    <row r="56" spans="31:36" x14ac:dyDescent="0.3">
      <c r="AE56" s="353" t="s">
        <v>107</v>
      </c>
      <c r="AF56" s="260" t="s">
        <v>654</v>
      </c>
      <c r="AH56" s="260">
        <v>2012</v>
      </c>
      <c r="AI56" s="108">
        <v>17500</v>
      </c>
      <c r="AJ56" s="98">
        <v>20000</v>
      </c>
    </row>
    <row r="57" spans="31:36" ht="15" thickBot="1" x14ac:dyDescent="0.35">
      <c r="AE57" s="355" t="s">
        <v>35</v>
      </c>
      <c r="AF57" s="260" t="s">
        <v>637</v>
      </c>
      <c r="AH57" s="260">
        <v>2011</v>
      </c>
      <c r="AI57" s="108">
        <v>18000</v>
      </c>
      <c r="AJ57" s="98">
        <v>21000</v>
      </c>
    </row>
    <row r="58" spans="31:36" x14ac:dyDescent="0.3">
      <c r="AE58" s="347" t="s">
        <v>26</v>
      </c>
      <c r="AF58" s="11" t="s">
        <v>502</v>
      </c>
      <c r="AG58" s="11"/>
      <c r="AH58" s="260">
        <v>2008</v>
      </c>
      <c r="AI58" s="18">
        <f t="shared" ref="AI58:AI63" si="5">AJ58*$F$289</f>
        <v>0</v>
      </c>
      <c r="AJ58" s="94">
        <v>1014</v>
      </c>
    </row>
    <row r="59" spans="31:36" x14ac:dyDescent="0.3">
      <c r="AE59" s="347" t="s">
        <v>3</v>
      </c>
      <c r="AF59" s="10" t="s">
        <v>42</v>
      </c>
      <c r="AG59" s="10"/>
      <c r="AH59" s="260">
        <v>2007</v>
      </c>
      <c r="AI59" s="18">
        <f t="shared" si="5"/>
        <v>0</v>
      </c>
      <c r="AJ59" s="18">
        <v>1037</v>
      </c>
    </row>
    <row r="60" spans="31:36" x14ac:dyDescent="0.3">
      <c r="AE60" s="347" t="s">
        <v>160</v>
      </c>
      <c r="AF60" s="11" t="s">
        <v>467</v>
      </c>
      <c r="AG60" s="11"/>
      <c r="AH60" s="260">
        <v>2010</v>
      </c>
      <c r="AI60" s="18">
        <f t="shared" si="5"/>
        <v>0</v>
      </c>
      <c r="AJ60" s="18">
        <v>1159</v>
      </c>
    </row>
    <row r="61" spans="31:36" ht="15" thickBot="1" x14ac:dyDescent="0.35">
      <c r="AE61" s="348" t="s">
        <v>529</v>
      </c>
      <c r="AF61" s="11" t="s">
        <v>528</v>
      </c>
      <c r="AG61" s="11"/>
      <c r="AH61" s="260">
        <v>2011</v>
      </c>
      <c r="AI61" s="18">
        <f t="shared" si="5"/>
        <v>0</v>
      </c>
      <c r="AJ61" s="75">
        <v>2200</v>
      </c>
    </row>
    <row r="62" spans="31:36" x14ac:dyDescent="0.3">
      <c r="AE62" s="345" t="s">
        <v>35</v>
      </c>
      <c r="AF62" s="28" t="s">
        <v>632</v>
      </c>
      <c r="AG62" s="28"/>
      <c r="AH62" s="260">
        <v>2006</v>
      </c>
      <c r="AI62" s="18">
        <f t="shared" si="5"/>
        <v>0</v>
      </c>
      <c r="AJ62" s="18">
        <v>175</v>
      </c>
    </row>
    <row r="63" spans="31:36" x14ac:dyDescent="0.3">
      <c r="AE63" s="345" t="s">
        <v>26</v>
      </c>
      <c r="AF63" s="11" t="s">
        <v>445</v>
      </c>
      <c r="AG63" s="11"/>
      <c r="AH63" s="260">
        <v>2011</v>
      </c>
      <c r="AI63" s="18">
        <f t="shared" si="5"/>
        <v>0</v>
      </c>
      <c r="AJ63" s="18">
        <v>1047</v>
      </c>
    </row>
    <row r="64" spans="31:36" x14ac:dyDescent="0.3">
      <c r="AE64" s="345" t="s">
        <v>160</v>
      </c>
      <c r="AF64" s="11" t="s">
        <v>495</v>
      </c>
      <c r="AG64" s="11"/>
      <c r="AH64" s="260">
        <v>2011</v>
      </c>
      <c r="AI64" s="94">
        <v>1000</v>
      </c>
      <c r="AJ64" s="18" t="e">
        <f>AI64/$F$289</f>
        <v>#DIV/0!</v>
      </c>
    </row>
    <row r="65" spans="31:36" ht="15" thickBot="1" x14ac:dyDescent="0.35">
      <c r="AE65" s="346" t="s">
        <v>160</v>
      </c>
      <c r="AF65" s="11" t="s">
        <v>447</v>
      </c>
      <c r="AG65" s="11"/>
      <c r="AH65" s="260">
        <v>2011</v>
      </c>
      <c r="AI65" s="94">
        <v>5040</v>
      </c>
      <c r="AJ65" s="94">
        <v>6468</v>
      </c>
    </row>
    <row r="66" spans="31:36" x14ac:dyDescent="0.3">
      <c r="AE66" s="342" t="s">
        <v>3</v>
      </c>
      <c r="AF66" s="10" t="s">
        <v>40</v>
      </c>
      <c r="AG66" s="10"/>
      <c r="AH66" s="260">
        <v>2007</v>
      </c>
      <c r="AI66" s="18">
        <f>AJ66*$F$289</f>
        <v>0</v>
      </c>
      <c r="AJ66" s="18">
        <v>600</v>
      </c>
    </row>
    <row r="67" spans="31:36" x14ac:dyDescent="0.3">
      <c r="AE67" s="342" t="s">
        <v>407</v>
      </c>
      <c r="AF67" s="11" t="s">
        <v>406</v>
      </c>
      <c r="AG67" s="11"/>
      <c r="AH67" s="260">
        <v>2011</v>
      </c>
      <c r="AI67" s="18">
        <f>AJ67*$F$289</f>
        <v>0</v>
      </c>
      <c r="AJ67" s="18">
        <v>1000</v>
      </c>
    </row>
    <row r="68" spans="31:36" x14ac:dyDescent="0.3">
      <c r="AE68" s="342" t="s">
        <v>3</v>
      </c>
      <c r="AF68" s="260" t="s">
        <v>4</v>
      </c>
      <c r="AH68" s="260">
        <v>2008</v>
      </c>
      <c r="AI68" s="42">
        <v>891.48</v>
      </c>
      <c r="AJ68" s="94">
        <v>1188.6400000000001</v>
      </c>
    </row>
    <row r="69" spans="31:36" x14ac:dyDescent="0.3">
      <c r="AE69" s="342" t="s">
        <v>148</v>
      </c>
      <c r="AF69" s="260" t="s">
        <v>154</v>
      </c>
      <c r="AH69" s="260">
        <v>2009</v>
      </c>
      <c r="AI69" s="42">
        <v>900</v>
      </c>
      <c r="AJ69" s="94">
        <v>1000</v>
      </c>
    </row>
    <row r="70" spans="31:36" x14ac:dyDescent="0.3">
      <c r="AE70" s="342" t="s">
        <v>196</v>
      </c>
      <c r="AF70" s="11" t="s">
        <v>547</v>
      </c>
      <c r="AG70" s="11">
        <v>6</v>
      </c>
      <c r="AH70" s="260">
        <v>2010</v>
      </c>
      <c r="AI70" s="18">
        <f>AJ70*$F$289</f>
        <v>0</v>
      </c>
      <c r="AJ70" s="75">
        <v>1100</v>
      </c>
    </row>
    <row r="71" spans="31:36" x14ac:dyDescent="0.3">
      <c r="AE71" s="342" t="s">
        <v>3</v>
      </c>
      <c r="AF71" s="260" t="s">
        <v>23</v>
      </c>
      <c r="AH71" s="260">
        <v>2010</v>
      </c>
      <c r="AI71" s="18">
        <f>AJ71*$F$289</f>
        <v>0</v>
      </c>
      <c r="AJ71" s="18">
        <v>1120</v>
      </c>
    </row>
    <row r="72" spans="31:36" x14ac:dyDescent="0.3">
      <c r="AE72" s="342" t="s">
        <v>476</v>
      </c>
      <c r="AF72" s="11" t="s">
        <v>477</v>
      </c>
      <c r="AG72" s="11">
        <v>12</v>
      </c>
      <c r="AH72" s="260">
        <v>2011</v>
      </c>
      <c r="AI72" s="18">
        <f>AJ72*$F$289</f>
        <v>0</v>
      </c>
      <c r="AJ72" s="94">
        <v>1180</v>
      </c>
    </row>
    <row r="73" spans="31:36" x14ac:dyDescent="0.3">
      <c r="AE73" s="342" t="s">
        <v>557</v>
      </c>
      <c r="AF73" s="11" t="s">
        <v>553</v>
      </c>
      <c r="AG73" s="11"/>
      <c r="AH73" s="260">
        <v>2011</v>
      </c>
      <c r="AI73" s="18">
        <f>AJ73*$F$289</f>
        <v>0</v>
      </c>
      <c r="AJ73" s="75">
        <v>1190</v>
      </c>
    </row>
    <row r="74" spans="31:36" x14ac:dyDescent="0.3">
      <c r="AE74" s="342" t="s">
        <v>26</v>
      </c>
      <c r="AF74" s="11" t="s">
        <v>50</v>
      </c>
      <c r="AG74" s="11"/>
      <c r="AH74" s="260">
        <v>2006</v>
      </c>
      <c r="AI74" s="42">
        <v>999.91600000000005</v>
      </c>
      <c r="AJ74" s="94">
        <v>1160.0999999999999</v>
      </c>
    </row>
    <row r="75" spans="31:36" x14ac:dyDescent="0.3">
      <c r="AE75" s="342" t="s">
        <v>3</v>
      </c>
      <c r="AF75" s="260" t="s">
        <v>158</v>
      </c>
      <c r="AH75" s="260">
        <v>2009</v>
      </c>
      <c r="AI75" s="18">
        <f t="shared" ref="AI75:AI82" si="6">AJ75*$F$289</f>
        <v>0</v>
      </c>
      <c r="AJ75" s="18">
        <v>1200</v>
      </c>
    </row>
    <row r="76" spans="31:36" x14ac:dyDescent="0.3">
      <c r="AE76" s="342" t="s">
        <v>429</v>
      </c>
      <c r="AF76" s="11" t="s">
        <v>454</v>
      </c>
      <c r="AG76" s="11"/>
      <c r="AH76" s="260">
        <v>2011</v>
      </c>
      <c r="AI76" s="18">
        <f t="shared" si="6"/>
        <v>0</v>
      </c>
      <c r="AJ76" s="18">
        <v>1200</v>
      </c>
    </row>
    <row r="77" spans="31:36" x14ac:dyDescent="0.3">
      <c r="AE77" s="342" t="s">
        <v>47</v>
      </c>
      <c r="AF77" s="11" t="s">
        <v>471</v>
      </c>
      <c r="AG77" s="11"/>
      <c r="AH77" s="260">
        <v>2011</v>
      </c>
      <c r="AI77" s="18">
        <f t="shared" si="6"/>
        <v>0</v>
      </c>
      <c r="AJ77" s="18">
        <v>1200</v>
      </c>
    </row>
    <row r="78" spans="31:36" x14ac:dyDescent="0.3">
      <c r="AE78" s="342" t="s">
        <v>26</v>
      </c>
      <c r="AF78" s="11" t="s">
        <v>511</v>
      </c>
      <c r="AG78" s="11"/>
      <c r="AH78" s="260">
        <v>2008</v>
      </c>
      <c r="AI78" s="18">
        <f t="shared" si="6"/>
        <v>0</v>
      </c>
      <c r="AJ78" s="94">
        <v>1250</v>
      </c>
    </row>
    <row r="79" spans="31:36" x14ac:dyDescent="0.3">
      <c r="AE79" s="342" t="s">
        <v>26</v>
      </c>
      <c r="AF79" s="11" t="s">
        <v>542</v>
      </c>
      <c r="AG79" s="11"/>
      <c r="AH79" s="260">
        <v>2003</v>
      </c>
      <c r="AI79" s="18">
        <f t="shared" si="6"/>
        <v>0</v>
      </c>
      <c r="AJ79" s="75">
        <v>1291</v>
      </c>
    </row>
    <row r="80" spans="31:36" x14ac:dyDescent="0.3">
      <c r="AE80" s="342" t="s">
        <v>3</v>
      </c>
      <c r="AF80" s="11" t="s">
        <v>613</v>
      </c>
      <c r="AG80" s="11"/>
      <c r="AH80" s="260">
        <v>2010</v>
      </c>
      <c r="AI80" s="18">
        <f t="shared" si="6"/>
        <v>0</v>
      </c>
      <c r="AJ80" s="18">
        <v>3300</v>
      </c>
    </row>
    <row r="81" spans="31:36" x14ac:dyDescent="0.3">
      <c r="AE81" s="342" t="s">
        <v>171</v>
      </c>
      <c r="AF81" s="11" t="s">
        <v>437</v>
      </c>
      <c r="AG81" s="11"/>
      <c r="AH81" s="260">
        <v>2012</v>
      </c>
      <c r="AI81" s="18">
        <f t="shared" si="6"/>
        <v>0</v>
      </c>
      <c r="AJ81" s="18">
        <v>1300</v>
      </c>
    </row>
    <row r="82" spans="31:36" x14ac:dyDescent="0.3">
      <c r="AE82" s="342" t="s">
        <v>47</v>
      </c>
      <c r="AF82" s="11" t="s">
        <v>498</v>
      </c>
      <c r="AG82" s="11"/>
      <c r="AH82" s="260">
        <v>2011</v>
      </c>
      <c r="AI82" s="18">
        <f t="shared" si="6"/>
        <v>0</v>
      </c>
      <c r="AJ82" s="18">
        <v>1305</v>
      </c>
    </row>
    <row r="83" spans="31:36" x14ac:dyDescent="0.3">
      <c r="AE83" s="342" t="s">
        <v>26</v>
      </c>
      <c r="AF83" s="11" t="s">
        <v>513</v>
      </c>
      <c r="AG83" s="11"/>
      <c r="AH83" s="260">
        <v>2011</v>
      </c>
      <c r="AI83" s="42">
        <v>1200</v>
      </c>
      <c r="AJ83" s="75">
        <v>1400</v>
      </c>
    </row>
    <row r="84" spans="31:36" x14ac:dyDescent="0.3">
      <c r="AE84" s="342" t="s">
        <v>3</v>
      </c>
      <c r="AF84" s="11" t="s">
        <v>143</v>
      </c>
      <c r="AG84" s="11"/>
      <c r="AH84" s="260">
        <v>2009</v>
      </c>
      <c r="AI84" s="18">
        <f t="shared" ref="AI84:AI90" si="7">AJ84*$F$289</f>
        <v>0</v>
      </c>
      <c r="AJ84" s="18">
        <v>1600</v>
      </c>
    </row>
    <row r="85" spans="31:36" x14ac:dyDescent="0.3">
      <c r="AE85" s="342" t="s">
        <v>557</v>
      </c>
      <c r="AF85" s="11" t="s">
        <v>556</v>
      </c>
      <c r="AG85" s="11"/>
      <c r="AH85" s="260">
        <v>2011</v>
      </c>
      <c r="AI85" s="18">
        <f t="shared" si="7"/>
        <v>0</v>
      </c>
      <c r="AJ85" s="75">
        <v>1660</v>
      </c>
    </row>
    <row r="86" spans="31:36" x14ac:dyDescent="0.3">
      <c r="AE86" s="342" t="s">
        <v>491</v>
      </c>
      <c r="AF86" s="11" t="s">
        <v>488</v>
      </c>
      <c r="AG86" s="11"/>
      <c r="AH86" s="260">
        <v>2010</v>
      </c>
      <c r="AI86" s="18">
        <f t="shared" si="7"/>
        <v>0</v>
      </c>
      <c r="AJ86" s="94">
        <v>1850</v>
      </c>
    </row>
    <row r="87" spans="31:36" x14ac:dyDescent="0.3">
      <c r="AE87" s="342" t="s">
        <v>3</v>
      </c>
      <c r="AF87" s="260" t="s">
        <v>145</v>
      </c>
      <c r="AH87" s="260">
        <v>2008</v>
      </c>
      <c r="AI87" s="18">
        <f t="shared" si="7"/>
        <v>0</v>
      </c>
      <c r="AJ87" s="18">
        <v>2000</v>
      </c>
    </row>
    <row r="88" spans="31:36" x14ac:dyDescent="0.3">
      <c r="AE88" s="342" t="s">
        <v>491</v>
      </c>
      <c r="AF88" s="11" t="s">
        <v>523</v>
      </c>
      <c r="AG88" s="11"/>
      <c r="AH88" s="260">
        <v>2011</v>
      </c>
      <c r="AI88" s="18">
        <f t="shared" si="7"/>
        <v>0</v>
      </c>
      <c r="AJ88" s="75">
        <v>2000</v>
      </c>
    </row>
    <row r="89" spans="31:36" x14ac:dyDescent="0.3">
      <c r="AE89" s="342" t="s">
        <v>160</v>
      </c>
      <c r="AF89" s="11" t="s">
        <v>383</v>
      </c>
      <c r="AG89" s="11"/>
      <c r="AH89" s="260">
        <v>2011</v>
      </c>
      <c r="AI89" s="18">
        <f t="shared" si="7"/>
        <v>0</v>
      </c>
      <c r="AJ89" s="18">
        <v>2000</v>
      </c>
    </row>
    <row r="90" spans="31:36" x14ac:dyDescent="0.3">
      <c r="AE90" s="342" t="s">
        <v>171</v>
      </c>
      <c r="AF90" s="11" t="s">
        <v>434</v>
      </c>
      <c r="AG90" s="11"/>
      <c r="AH90" s="260">
        <v>2010</v>
      </c>
      <c r="AI90" s="18">
        <f t="shared" si="7"/>
        <v>0</v>
      </c>
      <c r="AJ90" s="94">
        <v>2100</v>
      </c>
    </row>
    <row r="91" spans="31:36" x14ac:dyDescent="0.3">
      <c r="AE91" s="342" t="s">
        <v>26</v>
      </c>
      <c r="AF91" s="11" t="s">
        <v>544</v>
      </c>
      <c r="AG91" s="11"/>
      <c r="AH91" s="260">
        <v>2010</v>
      </c>
      <c r="AI91" s="42">
        <v>2000</v>
      </c>
      <c r="AJ91" s="94">
        <v>2592</v>
      </c>
    </row>
    <row r="92" spans="31:36" x14ac:dyDescent="0.3">
      <c r="AE92" s="342" t="s">
        <v>171</v>
      </c>
      <c r="AF92" s="260" t="s">
        <v>198</v>
      </c>
      <c r="AH92" s="260">
        <v>2009</v>
      </c>
      <c r="AI92" s="42">
        <f>AJ92*0.97</f>
        <v>2086.4699999999998</v>
      </c>
      <c r="AJ92" s="94">
        <v>2151</v>
      </c>
    </row>
    <row r="93" spans="31:36" x14ac:dyDescent="0.3">
      <c r="AE93" s="342" t="s">
        <v>168</v>
      </c>
      <c r="AF93" s="260" t="s">
        <v>169</v>
      </c>
      <c r="AH93" s="260">
        <v>2010</v>
      </c>
      <c r="AI93" s="18">
        <f t="shared" ref="AI93:AI101" si="8">AJ93*$F$289</f>
        <v>0</v>
      </c>
      <c r="AJ93" s="18">
        <v>3000</v>
      </c>
    </row>
    <row r="94" spans="31:36" x14ac:dyDescent="0.3">
      <c r="AE94" s="342" t="s">
        <v>168</v>
      </c>
      <c r="AF94" s="260" t="s">
        <v>178</v>
      </c>
      <c r="AH94" s="260">
        <v>2008</v>
      </c>
      <c r="AI94" s="18">
        <f t="shared" si="8"/>
        <v>0</v>
      </c>
      <c r="AJ94" s="18">
        <v>3000</v>
      </c>
    </row>
    <row r="95" spans="31:36" x14ac:dyDescent="0.3">
      <c r="AE95" s="342" t="s">
        <v>171</v>
      </c>
      <c r="AF95" s="11" t="s">
        <v>441</v>
      </c>
      <c r="AG95" s="11"/>
      <c r="AH95" s="260">
        <v>2011</v>
      </c>
      <c r="AI95" s="18">
        <f t="shared" si="8"/>
        <v>0</v>
      </c>
      <c r="AJ95" s="94">
        <v>3000</v>
      </c>
    </row>
    <row r="96" spans="31:36" x14ac:dyDescent="0.3">
      <c r="AE96" s="342" t="s">
        <v>171</v>
      </c>
      <c r="AF96" s="11" t="s">
        <v>182</v>
      </c>
      <c r="AG96" s="11"/>
      <c r="AH96" s="260">
        <v>2009</v>
      </c>
      <c r="AI96" s="18">
        <f t="shared" si="8"/>
        <v>0</v>
      </c>
      <c r="AJ96" s="18">
        <v>4100</v>
      </c>
    </row>
    <row r="97" spans="31:36" x14ac:dyDescent="0.3">
      <c r="AE97" s="342" t="s">
        <v>3</v>
      </c>
      <c r="AF97" s="11" t="s">
        <v>144</v>
      </c>
      <c r="AG97" s="11"/>
      <c r="AH97" s="260">
        <v>2010</v>
      </c>
      <c r="AI97" s="18">
        <f t="shared" si="8"/>
        <v>0</v>
      </c>
      <c r="AJ97" s="18">
        <v>4400</v>
      </c>
    </row>
    <row r="98" spans="31:36" x14ac:dyDescent="0.3">
      <c r="AE98" s="342" t="s">
        <v>491</v>
      </c>
      <c r="AF98" s="11" t="s">
        <v>588</v>
      </c>
      <c r="AG98" s="11"/>
      <c r="AH98" s="260">
        <v>2012</v>
      </c>
      <c r="AI98" s="18">
        <f t="shared" si="8"/>
        <v>0</v>
      </c>
      <c r="AJ98" s="75">
        <v>4500</v>
      </c>
    </row>
    <row r="99" spans="31:36" x14ac:dyDescent="0.3">
      <c r="AE99" s="342" t="s">
        <v>584</v>
      </c>
      <c r="AF99" s="11" t="s">
        <v>585</v>
      </c>
      <c r="AG99" s="11"/>
      <c r="AH99" s="260">
        <v>2012</v>
      </c>
      <c r="AI99" s="18">
        <f t="shared" si="8"/>
        <v>0</v>
      </c>
      <c r="AJ99" s="75">
        <v>5000</v>
      </c>
    </row>
    <row r="100" spans="31:36" x14ac:dyDescent="0.3">
      <c r="AE100" s="342" t="s">
        <v>26</v>
      </c>
      <c r="AF100" s="73" t="s">
        <v>382</v>
      </c>
      <c r="AG100" s="73"/>
      <c r="AH100" s="260">
        <v>2010</v>
      </c>
      <c r="AI100" s="18">
        <f t="shared" si="8"/>
        <v>0</v>
      </c>
      <c r="AJ100" s="18">
        <v>5000</v>
      </c>
    </row>
    <row r="101" spans="31:36" x14ac:dyDescent="0.3">
      <c r="AE101" s="342" t="s">
        <v>160</v>
      </c>
      <c r="AF101" s="11" t="s">
        <v>461</v>
      </c>
      <c r="AG101" s="11"/>
      <c r="AH101" s="260">
        <v>2011</v>
      </c>
      <c r="AI101" s="18">
        <f t="shared" si="8"/>
        <v>0</v>
      </c>
      <c r="AJ101" s="18">
        <v>5000</v>
      </c>
    </row>
    <row r="102" spans="31:36" x14ac:dyDescent="0.3">
      <c r="AE102" s="343" t="s">
        <v>26</v>
      </c>
      <c r="AF102" s="260" t="s">
        <v>173</v>
      </c>
      <c r="AH102" s="260">
        <v>2010</v>
      </c>
      <c r="AI102" s="260">
        <v>5000</v>
      </c>
      <c r="AJ102" s="260">
        <v>6200</v>
      </c>
    </row>
    <row r="103" spans="31:36" x14ac:dyDescent="0.3">
      <c r="AE103" s="343" t="s">
        <v>491</v>
      </c>
      <c r="AF103" s="260" t="s">
        <v>700</v>
      </c>
      <c r="AH103" s="260">
        <v>2011</v>
      </c>
      <c r="AI103" s="108">
        <v>5000</v>
      </c>
      <c r="AJ103" s="98">
        <v>5742</v>
      </c>
    </row>
    <row r="104" spans="31:36" x14ac:dyDescent="0.3">
      <c r="AE104" s="342" t="s">
        <v>35</v>
      </c>
      <c r="AF104" s="260" t="s">
        <v>36</v>
      </c>
      <c r="AH104" s="260">
        <v>2001</v>
      </c>
      <c r="AI104" s="42">
        <v>5324</v>
      </c>
      <c r="AJ104" s="94">
        <v>6480</v>
      </c>
    </row>
    <row r="105" spans="31:36" x14ac:dyDescent="0.3">
      <c r="AE105" s="342" t="s">
        <v>26</v>
      </c>
      <c r="AF105" s="11" t="s">
        <v>515</v>
      </c>
      <c r="AG105" s="11"/>
      <c r="AH105" s="260">
        <v>2011</v>
      </c>
      <c r="AI105" s="18">
        <f>AJ105*$F$289</f>
        <v>0</v>
      </c>
      <c r="AJ105" s="75">
        <v>6768</v>
      </c>
    </row>
    <row r="106" spans="31:36" x14ac:dyDescent="0.3">
      <c r="AE106" s="343" t="s">
        <v>738</v>
      </c>
      <c r="AF106" s="260" t="s">
        <v>737</v>
      </c>
      <c r="AH106" s="260">
        <v>2013</v>
      </c>
      <c r="AI106" s="18">
        <f>AJ106*$F$289</f>
        <v>0</v>
      </c>
      <c r="AJ106" s="260">
        <v>10000</v>
      </c>
    </row>
    <row r="107" spans="31:36" x14ac:dyDescent="0.3">
      <c r="AE107" s="342" t="s">
        <v>148</v>
      </c>
      <c r="AF107" s="260" t="s">
        <v>152</v>
      </c>
      <c r="AH107" s="260">
        <v>2010</v>
      </c>
      <c r="AI107" s="94">
        <v>10000</v>
      </c>
      <c r="AJ107" s="18" t="e">
        <f>AI107/$F$289</f>
        <v>#DIV/0!</v>
      </c>
    </row>
    <row r="108" spans="31:36" x14ac:dyDescent="0.3">
      <c r="AE108" s="342" t="s">
        <v>107</v>
      </c>
      <c r="AF108" s="260" t="s">
        <v>185</v>
      </c>
      <c r="AH108" s="260">
        <v>2008</v>
      </c>
      <c r="AI108" s="42">
        <v>10000</v>
      </c>
      <c r="AJ108" s="94">
        <v>12000</v>
      </c>
    </row>
    <row r="109" spans="31:36" x14ac:dyDescent="0.3">
      <c r="AE109" s="342" t="s">
        <v>196</v>
      </c>
      <c r="AF109" s="260" t="s">
        <v>197</v>
      </c>
      <c r="AH109" s="260">
        <v>2010</v>
      </c>
      <c r="AI109" s="42">
        <v>10000</v>
      </c>
      <c r="AJ109" s="94">
        <v>12600</v>
      </c>
    </row>
    <row r="110" spans="31:36" x14ac:dyDescent="0.3">
      <c r="AE110" s="342" t="s">
        <v>171</v>
      </c>
      <c r="AF110" s="11" t="s">
        <v>577</v>
      </c>
      <c r="AG110" s="11"/>
      <c r="AH110" s="260">
        <v>2011</v>
      </c>
      <c r="AI110" s="42">
        <v>10000</v>
      </c>
      <c r="AJ110" s="94">
        <f>235*AL110/1000</f>
        <v>0</v>
      </c>
    </row>
    <row r="111" spans="31:36" x14ac:dyDescent="0.3">
      <c r="AE111" s="342" t="s">
        <v>148</v>
      </c>
      <c r="AF111" s="260" t="s">
        <v>195</v>
      </c>
      <c r="AH111" s="260">
        <v>2010</v>
      </c>
      <c r="AI111" s="42">
        <f>12600</f>
        <v>12600</v>
      </c>
      <c r="AJ111" s="94">
        <v>15010</v>
      </c>
    </row>
    <row r="112" spans="31:36" x14ac:dyDescent="0.3">
      <c r="AE112" s="342" t="s">
        <v>190</v>
      </c>
      <c r="AF112" s="260" t="s">
        <v>191</v>
      </c>
      <c r="AH112" s="260">
        <v>2010</v>
      </c>
      <c r="AI112" s="42">
        <v>14000</v>
      </c>
      <c r="AJ112" s="94">
        <v>16100</v>
      </c>
    </row>
    <row r="113" spans="31:36" x14ac:dyDescent="0.3">
      <c r="AE113" s="342" t="s">
        <v>573</v>
      </c>
      <c r="AF113" s="11" t="s">
        <v>572</v>
      </c>
      <c r="AG113" s="11"/>
      <c r="AH113" s="260">
        <v>2012</v>
      </c>
      <c r="AI113" s="75">
        <f>AJ113*$F$289</f>
        <v>0</v>
      </c>
      <c r="AJ113" s="75">
        <v>17400</v>
      </c>
    </row>
    <row r="114" spans="31:36" x14ac:dyDescent="0.3">
      <c r="AE114" s="343" t="s">
        <v>168</v>
      </c>
      <c r="AF114" s="260" t="s">
        <v>736</v>
      </c>
      <c r="AH114" s="260">
        <v>2013</v>
      </c>
      <c r="AI114" s="75">
        <f>AJ114*$F$289</f>
        <v>0</v>
      </c>
      <c r="AJ114" s="260">
        <v>20000</v>
      </c>
    </row>
    <row r="115" spans="31:36" x14ac:dyDescent="0.3">
      <c r="AE115" s="343" t="s">
        <v>35</v>
      </c>
      <c r="AF115" s="260" t="s">
        <v>642</v>
      </c>
      <c r="AH115" s="260">
        <v>2011</v>
      </c>
      <c r="AI115" s="98">
        <v>17280</v>
      </c>
      <c r="AJ115" s="18" t="e">
        <f>AI115/$F$289</f>
        <v>#DIV/0!</v>
      </c>
    </row>
    <row r="116" spans="31:36" x14ac:dyDescent="0.3">
      <c r="AE116" s="343" t="s">
        <v>26</v>
      </c>
      <c r="AF116" s="260" t="s">
        <v>650</v>
      </c>
      <c r="AH116" s="260">
        <v>2011</v>
      </c>
      <c r="AI116" s="98">
        <v>18000</v>
      </c>
      <c r="AJ116" s="18" t="e">
        <f>AI116/$F$289</f>
        <v>#DIV/0!</v>
      </c>
    </row>
    <row r="117" spans="31:36" ht="15" thickBot="1" x14ac:dyDescent="0.35">
      <c r="AE117" s="344" t="s">
        <v>491</v>
      </c>
      <c r="AF117" s="11" t="s">
        <v>559</v>
      </c>
      <c r="AG117" s="11"/>
      <c r="AH117" s="260">
        <v>2011</v>
      </c>
      <c r="AI117" s="18">
        <f t="shared" ref="AI117:AI128" si="9">AJ117*$F$289</f>
        <v>0</v>
      </c>
      <c r="AJ117" s="75">
        <v>2000</v>
      </c>
    </row>
    <row r="118" spans="31:36" x14ac:dyDescent="0.3">
      <c r="AE118" s="11" t="s">
        <v>491</v>
      </c>
      <c r="AF118" s="11" t="s">
        <v>535</v>
      </c>
      <c r="AG118" s="11"/>
      <c r="AH118" s="260">
        <v>2011</v>
      </c>
      <c r="AI118" s="18">
        <f t="shared" si="9"/>
        <v>0</v>
      </c>
      <c r="AJ118" s="75">
        <v>2300</v>
      </c>
    </row>
    <row r="119" spans="31:36" x14ac:dyDescent="0.3">
      <c r="AE119" s="11" t="s">
        <v>171</v>
      </c>
      <c r="AF119" s="11" t="s">
        <v>436</v>
      </c>
      <c r="AG119" s="11"/>
      <c r="AH119" s="260">
        <v>2010</v>
      </c>
      <c r="AI119" s="18">
        <f t="shared" si="9"/>
        <v>0</v>
      </c>
      <c r="AJ119" s="94">
        <v>3200</v>
      </c>
    </row>
    <row r="120" spans="31:36" x14ac:dyDescent="0.3">
      <c r="AE120" s="11" t="s">
        <v>491</v>
      </c>
      <c r="AF120" s="11" t="s">
        <v>533</v>
      </c>
      <c r="AG120" s="11"/>
      <c r="AH120" s="260">
        <v>2011</v>
      </c>
      <c r="AI120" s="18">
        <f t="shared" si="9"/>
        <v>0</v>
      </c>
      <c r="AJ120" s="75">
        <v>4200</v>
      </c>
    </row>
    <row r="121" spans="31:36" x14ac:dyDescent="0.3">
      <c r="AE121" s="11" t="s">
        <v>47</v>
      </c>
      <c r="AF121" s="11" t="s">
        <v>561</v>
      </c>
      <c r="AG121" s="11"/>
      <c r="AH121" s="260">
        <v>2012</v>
      </c>
      <c r="AI121" s="18">
        <f t="shared" si="9"/>
        <v>0</v>
      </c>
      <c r="AJ121" s="75">
        <v>5000</v>
      </c>
    </row>
    <row r="122" spans="31:36" x14ac:dyDescent="0.3">
      <c r="AE122" s="11" t="s">
        <v>107</v>
      </c>
      <c r="AF122" s="11" t="s">
        <v>384</v>
      </c>
      <c r="AG122" s="11"/>
      <c r="AH122" s="260">
        <v>2012</v>
      </c>
      <c r="AI122" s="18">
        <f t="shared" si="9"/>
        <v>0</v>
      </c>
      <c r="AJ122" s="18">
        <v>5000</v>
      </c>
    </row>
    <row r="123" spans="31:36" x14ac:dyDescent="0.3">
      <c r="AE123" s="11" t="s">
        <v>160</v>
      </c>
      <c r="AF123" s="11" t="s">
        <v>386</v>
      </c>
      <c r="AG123" s="11"/>
      <c r="AH123" s="260">
        <v>2011</v>
      </c>
      <c r="AI123" s="18">
        <f t="shared" si="9"/>
        <v>0</v>
      </c>
      <c r="AJ123" s="18">
        <v>5000</v>
      </c>
    </row>
    <row r="124" spans="31:36" x14ac:dyDescent="0.3">
      <c r="AE124" s="260" t="s">
        <v>148</v>
      </c>
      <c r="AF124" s="260" t="s">
        <v>609</v>
      </c>
      <c r="AH124" s="260">
        <v>2012</v>
      </c>
      <c r="AI124" s="18">
        <f t="shared" si="9"/>
        <v>0</v>
      </c>
      <c r="AJ124" s="260">
        <v>8000</v>
      </c>
    </row>
    <row r="125" spans="31:36" x14ac:dyDescent="0.3">
      <c r="AE125" s="260" t="s">
        <v>171</v>
      </c>
      <c r="AF125" s="260" t="s">
        <v>670</v>
      </c>
      <c r="AH125" s="260">
        <v>2012</v>
      </c>
      <c r="AI125" s="18">
        <f t="shared" si="9"/>
        <v>0</v>
      </c>
      <c r="AJ125" s="260">
        <v>19880</v>
      </c>
    </row>
    <row r="126" spans="31:36" x14ac:dyDescent="0.3">
      <c r="AE126" s="260" t="s">
        <v>26</v>
      </c>
      <c r="AF126" s="260" t="s">
        <v>672</v>
      </c>
      <c r="AH126" s="260">
        <v>2013</v>
      </c>
      <c r="AI126" s="18">
        <f t="shared" si="9"/>
        <v>0</v>
      </c>
      <c r="AJ126" s="260">
        <v>20000</v>
      </c>
    </row>
    <row r="127" spans="31:36" x14ac:dyDescent="0.3">
      <c r="AE127" s="260" t="s">
        <v>26</v>
      </c>
      <c r="AF127" s="260" t="s">
        <v>674</v>
      </c>
      <c r="AH127" s="260">
        <v>2013</v>
      </c>
      <c r="AI127" s="18">
        <f t="shared" si="9"/>
        <v>0</v>
      </c>
      <c r="AJ127" s="260">
        <v>20000</v>
      </c>
    </row>
    <row r="128" spans="31:36" x14ac:dyDescent="0.3">
      <c r="AE128" s="260" t="s">
        <v>180</v>
      </c>
      <c r="AF128" s="260" t="s">
        <v>615</v>
      </c>
      <c r="AH128" s="260">
        <v>2012</v>
      </c>
      <c r="AI128" s="18">
        <f t="shared" si="9"/>
        <v>0</v>
      </c>
      <c r="AJ128" s="260">
        <v>23000</v>
      </c>
    </row>
    <row r="129" spans="31:36" x14ac:dyDescent="0.3">
      <c r="AE129" s="11"/>
      <c r="AF129" s="11"/>
      <c r="AG129" s="11"/>
      <c r="AI129" s="18"/>
      <c r="AJ129" s="18"/>
    </row>
    <row r="131" spans="31:36" x14ac:dyDescent="0.3">
      <c r="AE131" s="24"/>
      <c r="AF131" s="24"/>
      <c r="AG131" s="24"/>
      <c r="AH131" s="24"/>
      <c r="AI131" s="24"/>
      <c r="AJ131" s="24"/>
    </row>
    <row r="132" spans="31:36" x14ac:dyDescent="0.3">
      <c r="AE132" s="11"/>
      <c r="AF132" s="11"/>
      <c r="AG132" s="11"/>
      <c r="AH132" s="11"/>
      <c r="AI132" s="11"/>
      <c r="AJ132" s="11"/>
    </row>
    <row r="133" spans="31:36" x14ac:dyDescent="0.3">
      <c r="AE133" s="11"/>
      <c r="AF133" s="11"/>
      <c r="AG133" s="11"/>
      <c r="AH133" s="11"/>
      <c r="AI133" s="11"/>
      <c r="AJ133" s="11"/>
    </row>
    <row r="134" spans="31:36" x14ac:dyDescent="0.3">
      <c r="AE134" s="11"/>
      <c r="AF134" s="11"/>
      <c r="AG134" s="11"/>
      <c r="AH134" s="11"/>
      <c r="AI134" s="11"/>
      <c r="AJ134" s="11"/>
    </row>
    <row r="135" spans="31:36" x14ac:dyDescent="0.3">
      <c r="AE135" s="11"/>
      <c r="AF135" s="11"/>
      <c r="AG135" s="11"/>
      <c r="AI135" s="75"/>
      <c r="AJ135" s="75"/>
    </row>
    <row r="136" spans="31:36" x14ac:dyDescent="0.3">
      <c r="AE136" s="11"/>
      <c r="AF136" s="11"/>
      <c r="AG136" s="11"/>
      <c r="AI136" s="75"/>
      <c r="AJ136" s="75"/>
    </row>
    <row r="137" spans="31:36" x14ac:dyDescent="0.3">
      <c r="AE137" s="11"/>
      <c r="AF137" s="86"/>
      <c r="AG137" s="86"/>
      <c r="AI137" s="75"/>
      <c r="AJ137" s="75"/>
    </row>
    <row r="138" spans="31:36" x14ac:dyDescent="0.3">
      <c r="AF138" s="11"/>
      <c r="AG138" s="11"/>
    </row>
    <row r="139" spans="31:36" x14ac:dyDescent="0.3">
      <c r="AF139" s="11"/>
      <c r="AG139" s="11"/>
    </row>
    <row r="144" spans="31:36" x14ac:dyDescent="0.3">
      <c r="AE144" s="24" t="s">
        <v>596</v>
      </c>
      <c r="AF144" s="24"/>
      <c r="AG144" s="24"/>
      <c r="AH144" s="24"/>
      <c r="AI144" s="24"/>
      <c r="AJ144" s="24"/>
    </row>
    <row r="145" spans="31:36" x14ac:dyDescent="0.3">
      <c r="AE145" s="11"/>
      <c r="AF145" s="11"/>
      <c r="AG145" s="11"/>
      <c r="AH145" s="11" t="s">
        <v>742</v>
      </c>
      <c r="AI145" s="11"/>
      <c r="AJ145" s="11"/>
    </row>
    <row r="146" spans="31:36" x14ac:dyDescent="0.3">
      <c r="AE146" s="11" t="s">
        <v>211</v>
      </c>
      <c r="AF146" s="11"/>
      <c r="AG146" s="11"/>
      <c r="AH146" s="11"/>
      <c r="AI146" s="11"/>
      <c r="AJ146" s="11"/>
    </row>
    <row r="147" spans="31:36" x14ac:dyDescent="0.3">
      <c r="AE147" s="11">
        <f>COUNTA(AE3:AE128)</f>
        <v>126</v>
      </c>
      <c r="AF147" s="11" t="s">
        <v>846</v>
      </c>
      <c r="AG147" s="11"/>
    </row>
    <row r="148" spans="31:36" x14ac:dyDescent="0.3">
      <c r="AE148" s="11"/>
      <c r="AF148" s="11" t="s">
        <v>847</v>
      </c>
      <c r="AG148" s="11"/>
    </row>
    <row r="149" spans="31:36" x14ac:dyDescent="0.3">
      <c r="AE149" s="11"/>
      <c r="AF149" s="11"/>
      <c r="AG149" s="11"/>
    </row>
    <row r="150" spans="31:36" x14ac:dyDescent="0.3">
      <c r="AE150" s="11"/>
      <c r="AF150" s="11"/>
      <c r="AH150" s="260" t="s">
        <v>962</v>
      </c>
      <c r="AI150" s="11" t="s">
        <v>956</v>
      </c>
      <c r="AJ150" s="260" t="s">
        <v>955</v>
      </c>
    </row>
    <row r="151" spans="31:36" x14ac:dyDescent="0.3">
      <c r="AE151" s="11"/>
      <c r="AF151" s="11"/>
      <c r="AI151" s="11" t="s">
        <v>217</v>
      </c>
    </row>
    <row r="152" spans="31:36" x14ac:dyDescent="0.3">
      <c r="AE152" s="11"/>
      <c r="AF152" s="11"/>
      <c r="AH152" s="11">
        <f>COUNTIF($AE$3:$AE$128,"=proposed")</f>
        <v>0</v>
      </c>
      <c r="AI152" s="11">
        <f>SUMIF($AE$3:$AE$128,"=proposed",$E$3:$E$128)/1000</f>
        <v>0</v>
      </c>
      <c r="AJ152" s="11">
        <f>SUMIF($AE$3:$AE$128,"=proposed",$F$3:$F$128)/1000</f>
        <v>0</v>
      </c>
    </row>
    <row r="153" spans="31:36" x14ac:dyDescent="0.3">
      <c r="AE153" s="11"/>
      <c r="AF153" s="11"/>
      <c r="AI153" s="11" t="s">
        <v>218</v>
      </c>
    </row>
    <row r="154" spans="31:36" x14ac:dyDescent="0.3">
      <c r="AE154" s="11"/>
      <c r="AF154" s="11"/>
      <c r="AH154" s="11">
        <f>COUNTIF($AE$3:$AE$128,"=construction")</f>
        <v>0</v>
      </c>
      <c r="AI154" s="11">
        <f>SUMIF($AE$3:$AE$128,"=construction",$E$3:$E$128)/1000</f>
        <v>0</v>
      </c>
      <c r="AJ154" s="11">
        <f>SUMIF($AE$3:$AE$128,"=construction",$F$3:$F$128)/1000</f>
        <v>0</v>
      </c>
    </row>
    <row r="155" spans="31:36" x14ac:dyDescent="0.3">
      <c r="AE155" s="11"/>
      <c r="AF155" s="11"/>
      <c r="AI155" s="11" t="s">
        <v>595</v>
      </c>
    </row>
    <row r="156" spans="31:36" ht="15" thickBot="1" x14ac:dyDescent="0.35">
      <c r="AE156" s="11"/>
      <c r="AF156" s="11"/>
      <c r="AH156" s="11">
        <f>COUNTIF($AE$3:$AE$129,"=completed")</f>
        <v>0</v>
      </c>
      <c r="AI156" s="11">
        <f>SUMIF($AE$3:$AE$129,"=completed",$E$3:$E$129)/1000</f>
        <v>0</v>
      </c>
      <c r="AJ156" s="11">
        <f>SUMIF($AE$3:$AE$129,"=completed",$F$3:$F$129)/1000</f>
        <v>0</v>
      </c>
    </row>
    <row r="157" spans="31:36" x14ac:dyDescent="0.3">
      <c r="AI157" s="279" t="s">
        <v>958</v>
      </c>
    </row>
    <row r="158" spans="31:36" ht="15" thickBot="1" x14ac:dyDescent="0.35">
      <c r="AH158" s="280">
        <f>AH154+AH156</f>
        <v>0</v>
      </c>
      <c r="AI158" s="280">
        <f>AI154+AI156</f>
        <v>0</v>
      </c>
      <c r="AJ158" s="11">
        <f>AJ154+AJ156</f>
        <v>0</v>
      </c>
    </row>
    <row r="160" spans="31:36" x14ac:dyDescent="0.3">
      <c r="AI160" s="260" t="s">
        <v>246</v>
      </c>
    </row>
    <row r="161" spans="34:35" x14ac:dyDescent="0.3">
      <c r="AH161" s="260">
        <f>SUM(AH152:AH156)</f>
        <v>0</v>
      </c>
      <c r="AI161" s="260">
        <f>AI152+AI154+AI156</f>
        <v>0</v>
      </c>
    </row>
    <row r="177" spans="31:36" ht="15" thickBot="1" x14ac:dyDescent="0.35">
      <c r="AE177" s="19" t="s">
        <v>118</v>
      </c>
    </row>
    <row r="178" spans="31:36" x14ac:dyDescent="0.3">
      <c r="AE178" s="422" t="s">
        <v>35</v>
      </c>
      <c r="AF178" s="260" t="s">
        <v>697</v>
      </c>
      <c r="AH178" s="260">
        <v>2016</v>
      </c>
      <c r="AI178" s="98">
        <v>300000</v>
      </c>
      <c r="AJ178" s="18" t="e">
        <f>AI178/$F$289</f>
        <v>#DIV/0!</v>
      </c>
    </row>
    <row r="179" spans="31:36" x14ac:dyDescent="0.3">
      <c r="AE179" s="353" t="s">
        <v>35</v>
      </c>
      <c r="AF179" s="260" t="s">
        <v>658</v>
      </c>
      <c r="AH179" s="260">
        <v>2014</v>
      </c>
      <c r="AI179" s="98">
        <v>290000</v>
      </c>
      <c r="AJ179" s="18" t="e">
        <f>AI179/$F$289</f>
        <v>#DIV/0!</v>
      </c>
    </row>
    <row r="180" spans="31:36" x14ac:dyDescent="0.3">
      <c r="AE180" s="351" t="s">
        <v>35</v>
      </c>
      <c r="AF180" s="11" t="s">
        <v>395</v>
      </c>
      <c r="AG180" s="11"/>
      <c r="AH180" s="260">
        <v>2013</v>
      </c>
      <c r="AI180" s="42">
        <v>150000</v>
      </c>
      <c r="AJ180" s="94">
        <v>170000</v>
      </c>
    </row>
    <row r="181" spans="31:36" x14ac:dyDescent="0.3">
      <c r="AE181" s="353" t="s">
        <v>35</v>
      </c>
      <c r="AF181" s="260" t="s">
        <v>668</v>
      </c>
      <c r="AH181" s="260">
        <v>2012</v>
      </c>
      <c r="AI181" s="98">
        <v>26000</v>
      </c>
      <c r="AJ181" s="18" t="e">
        <f>AI181/$F$289</f>
        <v>#DIV/0!</v>
      </c>
    </row>
    <row r="182" spans="31:36" x14ac:dyDescent="0.3">
      <c r="AE182" s="351" t="s">
        <v>35</v>
      </c>
      <c r="AF182" s="11" t="s">
        <v>485</v>
      </c>
      <c r="AG182" s="11"/>
      <c r="AH182" s="260">
        <v>2011</v>
      </c>
      <c r="AI182" s="94">
        <v>20000</v>
      </c>
      <c r="AJ182" s="18" t="e">
        <f>AI182/$F$289</f>
        <v>#DIV/0!</v>
      </c>
    </row>
    <row r="183" spans="31:36" x14ac:dyDescent="0.3">
      <c r="AE183" s="353" t="s">
        <v>35</v>
      </c>
      <c r="AF183" s="260" t="s">
        <v>634</v>
      </c>
      <c r="AH183" s="260">
        <v>2012</v>
      </c>
      <c r="AI183" s="98">
        <v>20000</v>
      </c>
      <c r="AJ183" s="18" t="e">
        <f>AI183/$F$289</f>
        <v>#DIV/0!</v>
      </c>
    </row>
    <row r="184" spans="31:36" x14ac:dyDescent="0.3">
      <c r="AE184" s="353" t="s">
        <v>35</v>
      </c>
      <c r="AF184" s="260" t="s">
        <v>667</v>
      </c>
      <c r="AH184" s="260">
        <v>2012</v>
      </c>
      <c r="AI184" s="18">
        <f>AJ184*$F$289</f>
        <v>0</v>
      </c>
      <c r="AJ184" s="98">
        <v>25000</v>
      </c>
    </row>
    <row r="185" spans="31:36" x14ac:dyDescent="0.3">
      <c r="AE185" s="351" t="s">
        <v>35</v>
      </c>
      <c r="AF185" s="11" t="s">
        <v>396</v>
      </c>
      <c r="AG185" s="11"/>
      <c r="AH185" s="260">
        <v>2016</v>
      </c>
      <c r="AI185" s="18">
        <f>AJ185*$F$289</f>
        <v>0</v>
      </c>
      <c r="AJ185" s="18">
        <v>700000</v>
      </c>
    </row>
    <row r="186" spans="31:36" x14ac:dyDescent="0.3">
      <c r="AE186" s="354" t="s">
        <v>26</v>
      </c>
      <c r="AF186" s="11" t="s">
        <v>101</v>
      </c>
      <c r="AG186" s="11"/>
      <c r="AH186" s="260">
        <v>2013</v>
      </c>
      <c r="AI186" s="94">
        <v>550000</v>
      </c>
      <c r="AJ186" s="18" t="e">
        <f>AI186/$F$289</f>
        <v>#DIV/0!</v>
      </c>
    </row>
    <row r="187" spans="31:36" x14ac:dyDescent="0.3">
      <c r="AE187" s="351" t="s">
        <v>26</v>
      </c>
      <c r="AF187" s="11" t="s">
        <v>570</v>
      </c>
      <c r="AG187" s="11"/>
      <c r="AH187" s="260">
        <v>2014</v>
      </c>
      <c r="AI187" s="94">
        <v>550000</v>
      </c>
      <c r="AJ187" s="18" t="e">
        <f>AI187/$F$289</f>
        <v>#DIV/0!</v>
      </c>
    </row>
    <row r="188" spans="31:36" x14ac:dyDescent="0.3">
      <c r="AE188" s="354" t="s">
        <v>26</v>
      </c>
      <c r="AF188" s="11" t="s">
        <v>193</v>
      </c>
      <c r="AG188" s="11"/>
      <c r="AH188" s="260">
        <v>2013</v>
      </c>
      <c r="AI188" s="42">
        <v>440000</v>
      </c>
      <c r="AJ188" s="94">
        <v>500000</v>
      </c>
    </row>
    <row r="189" spans="31:36" x14ac:dyDescent="0.3">
      <c r="AE189" s="354" t="s">
        <v>26</v>
      </c>
      <c r="AF189" s="11" t="s">
        <v>205</v>
      </c>
      <c r="AG189" s="11"/>
      <c r="AH189" s="260">
        <v>2014</v>
      </c>
      <c r="AI189" s="94">
        <v>275000</v>
      </c>
      <c r="AJ189" s="18" t="e">
        <f>AI189/$F$289</f>
        <v>#DIV/0!</v>
      </c>
    </row>
    <row r="190" spans="31:36" x14ac:dyDescent="0.3">
      <c r="AE190" s="354" t="s">
        <v>26</v>
      </c>
      <c r="AF190" s="11" t="s">
        <v>361</v>
      </c>
      <c r="AG190" s="11"/>
      <c r="AH190" s="260">
        <v>2015</v>
      </c>
      <c r="AI190" s="94">
        <v>250000</v>
      </c>
      <c r="AJ190" s="18" t="e">
        <f>AI190/$F$289</f>
        <v>#DIV/0!</v>
      </c>
    </row>
    <row r="191" spans="31:36" x14ac:dyDescent="0.3">
      <c r="AE191" s="354" t="s">
        <v>26</v>
      </c>
      <c r="AF191" s="11" t="s">
        <v>117</v>
      </c>
      <c r="AG191" s="11"/>
      <c r="AH191" s="260">
        <v>2013</v>
      </c>
      <c r="AI191" s="42">
        <v>230000</v>
      </c>
      <c r="AJ191" s="94">
        <v>284000</v>
      </c>
    </row>
    <row r="192" spans="31:36" x14ac:dyDescent="0.3">
      <c r="AE192" s="353" t="s">
        <v>26</v>
      </c>
      <c r="AF192" s="260" t="s">
        <v>678</v>
      </c>
      <c r="AH192" s="260">
        <v>2014</v>
      </c>
      <c r="AI192" s="98">
        <v>200000</v>
      </c>
      <c r="AJ192" s="18" t="e">
        <f t="shared" ref="AJ192:AJ197" si="10">AI192/$F$289</f>
        <v>#DIV/0!</v>
      </c>
    </row>
    <row r="193" spans="31:36" ht="15" thickBot="1" x14ac:dyDescent="0.35">
      <c r="AE193" s="353" t="s">
        <v>26</v>
      </c>
      <c r="AF193" s="260" t="s">
        <v>679</v>
      </c>
      <c r="AH193" s="260">
        <v>2014</v>
      </c>
      <c r="AI193" s="98">
        <v>200000</v>
      </c>
      <c r="AJ193" s="18" t="e">
        <f t="shared" si="10"/>
        <v>#DIV/0!</v>
      </c>
    </row>
    <row r="194" spans="31:36" x14ac:dyDescent="0.3">
      <c r="AE194" s="357" t="s">
        <v>26</v>
      </c>
      <c r="AF194" s="260" t="s">
        <v>680</v>
      </c>
      <c r="AH194" s="260">
        <v>2014</v>
      </c>
      <c r="AI194" s="98">
        <v>200000</v>
      </c>
      <c r="AJ194" s="18" t="e">
        <f t="shared" si="10"/>
        <v>#DIV/0!</v>
      </c>
    </row>
    <row r="195" spans="31:36" ht="15" thickBot="1" x14ac:dyDescent="0.35">
      <c r="AE195" s="358" t="s">
        <v>26</v>
      </c>
      <c r="AF195" s="260" t="s">
        <v>685</v>
      </c>
      <c r="AH195" s="260">
        <v>2013</v>
      </c>
      <c r="AI195" s="98">
        <v>155000</v>
      </c>
      <c r="AJ195" s="18" t="e">
        <f t="shared" si="10"/>
        <v>#DIV/0!</v>
      </c>
    </row>
    <row r="196" spans="31:36" x14ac:dyDescent="0.3">
      <c r="AE196" s="425" t="s">
        <v>26</v>
      </c>
      <c r="AF196" s="260" t="s">
        <v>683</v>
      </c>
      <c r="AH196" s="260">
        <v>2013</v>
      </c>
      <c r="AI196" s="98">
        <v>70000</v>
      </c>
      <c r="AJ196" s="18" t="e">
        <f t="shared" si="10"/>
        <v>#DIV/0!</v>
      </c>
    </row>
    <row r="197" spans="31:36" x14ac:dyDescent="0.3">
      <c r="AE197" s="343" t="s">
        <v>26</v>
      </c>
      <c r="AF197" s="260" t="s">
        <v>686</v>
      </c>
      <c r="AH197" s="260">
        <v>2013</v>
      </c>
      <c r="AI197" s="98">
        <v>50000</v>
      </c>
      <c r="AJ197" s="18" t="e">
        <f t="shared" si="10"/>
        <v>#DIV/0!</v>
      </c>
    </row>
    <row r="198" spans="31:36" x14ac:dyDescent="0.3">
      <c r="AE198" s="360" t="s">
        <v>26</v>
      </c>
      <c r="AF198" s="11" t="s">
        <v>187</v>
      </c>
      <c r="AG198" s="11"/>
      <c r="AH198" s="260">
        <v>2010</v>
      </c>
      <c r="AI198" s="42">
        <v>48000</v>
      </c>
      <c r="AJ198" s="94">
        <v>58000</v>
      </c>
    </row>
    <row r="199" spans="31:36" x14ac:dyDescent="0.3">
      <c r="AE199" s="342" t="s">
        <v>26</v>
      </c>
      <c r="AF199" s="11" t="s">
        <v>401</v>
      </c>
      <c r="AG199" s="11"/>
      <c r="AH199" s="260">
        <v>2011</v>
      </c>
      <c r="AI199" s="42">
        <v>45000</v>
      </c>
      <c r="AJ199" s="94">
        <v>57715</v>
      </c>
    </row>
    <row r="200" spans="31:36" x14ac:dyDescent="0.3">
      <c r="AE200" s="343" t="s">
        <v>26</v>
      </c>
      <c r="AF200" s="260" t="s">
        <v>621</v>
      </c>
      <c r="AH200" s="260">
        <v>2012</v>
      </c>
      <c r="AI200" s="106">
        <v>25000</v>
      </c>
      <c r="AJ200" s="18" t="e">
        <f>AI200/$F$289</f>
        <v>#DIV/0!</v>
      </c>
    </row>
    <row r="201" spans="31:36" x14ac:dyDescent="0.3">
      <c r="AE201" s="343" t="s">
        <v>26</v>
      </c>
      <c r="AF201" s="260" t="s">
        <v>690</v>
      </c>
      <c r="AH201" s="260">
        <v>2015</v>
      </c>
      <c r="AI201" s="108">
        <v>23000</v>
      </c>
      <c r="AJ201" s="98">
        <v>28700</v>
      </c>
    </row>
    <row r="202" spans="31:36" x14ac:dyDescent="0.3">
      <c r="AE202" s="360" t="s">
        <v>26</v>
      </c>
      <c r="AF202" s="11" t="s">
        <v>184</v>
      </c>
      <c r="AG202" s="11"/>
      <c r="AH202" s="260">
        <v>2009</v>
      </c>
      <c r="AI202" s="42">
        <v>21000</v>
      </c>
      <c r="AJ202" s="94">
        <f>AI202*1.2</f>
        <v>25200</v>
      </c>
    </row>
    <row r="203" spans="31:36" x14ac:dyDescent="0.3">
      <c r="AE203" s="343" t="s">
        <v>26</v>
      </c>
      <c r="AF203" s="260" t="s">
        <v>656</v>
      </c>
      <c r="AH203" s="260">
        <v>2012</v>
      </c>
      <c r="AI203" s="108">
        <v>20000</v>
      </c>
      <c r="AJ203" s="98">
        <v>23500</v>
      </c>
    </row>
    <row r="204" spans="31:36" x14ac:dyDescent="0.3">
      <c r="AE204" s="343" t="s">
        <v>26</v>
      </c>
      <c r="AF204" s="260" t="s">
        <v>673</v>
      </c>
      <c r="AH204" s="260">
        <v>2013</v>
      </c>
      <c r="AI204" s="98">
        <v>20000</v>
      </c>
      <c r="AJ204" s="18" t="e">
        <f>AI204/$F$289</f>
        <v>#DIV/0!</v>
      </c>
    </row>
    <row r="205" spans="31:36" x14ac:dyDescent="0.3">
      <c r="AE205" s="343" t="s">
        <v>26</v>
      </c>
      <c r="AF205" s="260" t="s">
        <v>675</v>
      </c>
      <c r="AH205" s="260">
        <v>2013</v>
      </c>
      <c r="AI205" s="98">
        <v>20000</v>
      </c>
      <c r="AJ205" s="18" t="e">
        <f>AI205/$F$289</f>
        <v>#DIV/0!</v>
      </c>
    </row>
    <row r="206" spans="31:36" x14ac:dyDescent="0.3">
      <c r="AE206" s="343" t="s">
        <v>26</v>
      </c>
      <c r="AF206" s="260" t="s">
        <v>721</v>
      </c>
      <c r="AH206" s="260">
        <v>2014</v>
      </c>
      <c r="AI206" s="18">
        <f t="shared" ref="AI206:AI216" si="11">AJ206*$F$289</f>
        <v>0</v>
      </c>
      <c r="AJ206" s="260">
        <v>110000</v>
      </c>
    </row>
    <row r="207" spans="31:36" x14ac:dyDescent="0.3">
      <c r="AE207" s="343" t="s">
        <v>26</v>
      </c>
      <c r="AF207" s="260" t="s">
        <v>729</v>
      </c>
      <c r="AH207" s="260">
        <v>2014</v>
      </c>
      <c r="AI207" s="18">
        <f t="shared" si="11"/>
        <v>0</v>
      </c>
      <c r="AJ207" s="260">
        <v>130000</v>
      </c>
    </row>
    <row r="208" spans="31:36" x14ac:dyDescent="0.3">
      <c r="AE208" s="343" t="s">
        <v>26</v>
      </c>
      <c r="AF208" s="260" t="s">
        <v>731</v>
      </c>
      <c r="AH208" s="260">
        <v>2015</v>
      </c>
      <c r="AI208" s="18">
        <f t="shared" si="11"/>
        <v>0</v>
      </c>
      <c r="AJ208" s="260">
        <v>150000</v>
      </c>
    </row>
    <row r="209" spans="31:36" ht="15" thickBot="1" x14ac:dyDescent="0.35">
      <c r="AE209" s="424" t="s">
        <v>26</v>
      </c>
      <c r="AF209" s="11" t="s">
        <v>378</v>
      </c>
      <c r="AG209" s="11"/>
      <c r="AH209" s="260">
        <v>2012</v>
      </c>
      <c r="AI209" s="18">
        <f t="shared" si="11"/>
        <v>0</v>
      </c>
      <c r="AJ209" s="18">
        <v>20000</v>
      </c>
    </row>
    <row r="210" spans="31:36" x14ac:dyDescent="0.3">
      <c r="AE210" s="260" t="s">
        <v>26</v>
      </c>
      <c r="AF210" s="260" t="s">
        <v>612</v>
      </c>
      <c r="AH210" s="260">
        <v>2012</v>
      </c>
      <c r="AI210" s="18">
        <f t="shared" si="11"/>
        <v>0</v>
      </c>
      <c r="AJ210" s="260">
        <v>38000</v>
      </c>
    </row>
    <row r="211" spans="31:36" x14ac:dyDescent="0.3">
      <c r="AE211" s="260" t="s">
        <v>26</v>
      </c>
      <c r="AF211" s="260" t="s">
        <v>681</v>
      </c>
      <c r="AH211" s="260">
        <v>2012</v>
      </c>
      <c r="AI211" s="18">
        <f t="shared" si="11"/>
        <v>0</v>
      </c>
      <c r="AJ211" s="260">
        <v>49900</v>
      </c>
    </row>
    <row r="212" spans="31:36" x14ac:dyDescent="0.3">
      <c r="AE212" s="260" t="s">
        <v>26</v>
      </c>
      <c r="AF212" s="260" t="s">
        <v>684</v>
      </c>
      <c r="AH212" s="260">
        <v>2012</v>
      </c>
      <c r="AI212" s="18">
        <f t="shared" si="11"/>
        <v>0</v>
      </c>
      <c r="AJ212" s="260">
        <v>50000</v>
      </c>
    </row>
    <row r="213" spans="31:36" x14ac:dyDescent="0.3">
      <c r="AE213" s="260" t="s">
        <v>26</v>
      </c>
      <c r="AF213" s="260" t="s">
        <v>687</v>
      </c>
      <c r="AH213" s="260">
        <v>2013</v>
      </c>
      <c r="AI213" s="18">
        <f t="shared" si="11"/>
        <v>0</v>
      </c>
      <c r="AJ213" s="260">
        <v>50000</v>
      </c>
    </row>
    <row r="214" spans="31:36" x14ac:dyDescent="0.3">
      <c r="AE214" s="260" t="s">
        <v>26</v>
      </c>
      <c r="AF214" s="260" t="s">
        <v>676</v>
      </c>
      <c r="AH214" s="260">
        <v>2013</v>
      </c>
      <c r="AI214" s="18">
        <f t="shared" si="11"/>
        <v>0</v>
      </c>
      <c r="AJ214" s="260">
        <v>75000</v>
      </c>
    </row>
    <row r="215" spans="31:36" x14ac:dyDescent="0.3">
      <c r="AE215" s="260" t="s">
        <v>26</v>
      </c>
      <c r="AF215" s="260" t="s">
        <v>688</v>
      </c>
      <c r="AH215" s="260">
        <v>2014</v>
      </c>
      <c r="AI215" s="18">
        <f t="shared" si="11"/>
        <v>0</v>
      </c>
      <c r="AJ215" s="260">
        <v>100000</v>
      </c>
    </row>
    <row r="216" spans="31:36" x14ac:dyDescent="0.3">
      <c r="AE216" s="260" t="s">
        <v>26</v>
      </c>
      <c r="AF216" s="260" t="s">
        <v>691</v>
      </c>
      <c r="AH216" s="260">
        <v>2015</v>
      </c>
      <c r="AI216" s="18">
        <f t="shared" si="11"/>
        <v>0</v>
      </c>
      <c r="AJ216" s="260">
        <v>500000</v>
      </c>
    </row>
    <row r="217" spans="31:36" x14ac:dyDescent="0.3">
      <c r="AE217" s="30" t="s">
        <v>3</v>
      </c>
      <c r="AF217" s="260" t="s">
        <v>661</v>
      </c>
      <c r="AH217" s="260">
        <v>2012</v>
      </c>
      <c r="AI217" s="98">
        <v>30720</v>
      </c>
      <c r="AJ217" s="18">
        <v>37000</v>
      </c>
    </row>
    <row r="218" spans="31:36" x14ac:dyDescent="0.3">
      <c r="AE218" s="121" t="s">
        <v>3</v>
      </c>
      <c r="AF218" s="11" t="s">
        <v>392</v>
      </c>
      <c r="AG218" s="11"/>
      <c r="AH218" s="260">
        <v>2012</v>
      </c>
      <c r="AI218" s="109">
        <v>30000</v>
      </c>
      <c r="AJ218" s="94">
        <v>35200</v>
      </c>
    </row>
    <row r="219" spans="31:36" x14ac:dyDescent="0.3">
      <c r="AE219" s="121" t="s">
        <v>3</v>
      </c>
      <c r="AF219" s="11" t="s">
        <v>388</v>
      </c>
      <c r="AG219" s="11"/>
      <c r="AH219" s="260">
        <v>2010</v>
      </c>
      <c r="AI219" s="94">
        <v>17000</v>
      </c>
      <c r="AJ219" s="94">
        <v>20000</v>
      </c>
    </row>
    <row r="220" spans="31:36" x14ac:dyDescent="0.3">
      <c r="AE220" s="423" t="s">
        <v>148</v>
      </c>
      <c r="AF220" s="11" t="s">
        <v>149</v>
      </c>
      <c r="AG220" s="11"/>
      <c r="AH220" s="260">
        <v>2009</v>
      </c>
      <c r="AI220" s="42">
        <v>25000</v>
      </c>
      <c r="AJ220" s="18">
        <v>28000</v>
      </c>
    </row>
    <row r="221" spans="31:36" x14ac:dyDescent="0.3">
      <c r="AE221" s="121" t="s">
        <v>148</v>
      </c>
      <c r="AF221" s="11" t="s">
        <v>566</v>
      </c>
      <c r="AG221" s="11"/>
      <c r="AH221" s="260">
        <v>2012</v>
      </c>
      <c r="AI221" s="75">
        <f t="shared" ref="AI221:AI226" si="12">AJ221*$F$289</f>
        <v>0</v>
      </c>
      <c r="AJ221" s="75">
        <v>40000</v>
      </c>
    </row>
    <row r="222" spans="31:36" x14ac:dyDescent="0.3">
      <c r="AE222" s="121" t="s">
        <v>148</v>
      </c>
      <c r="AF222" s="11" t="s">
        <v>568</v>
      </c>
      <c r="AG222" s="11"/>
      <c r="AH222" s="260">
        <v>2012</v>
      </c>
      <c r="AI222" s="75">
        <f t="shared" si="12"/>
        <v>0</v>
      </c>
      <c r="AJ222" s="75">
        <v>60000</v>
      </c>
    </row>
    <row r="223" spans="31:36" x14ac:dyDescent="0.3">
      <c r="AE223" s="69" t="s">
        <v>148</v>
      </c>
      <c r="AF223" s="11" t="s">
        <v>376</v>
      </c>
      <c r="AG223" s="11"/>
      <c r="AH223" s="260">
        <v>2016</v>
      </c>
      <c r="AI223" s="18">
        <f t="shared" si="12"/>
        <v>0</v>
      </c>
      <c r="AJ223" s="18">
        <v>75000</v>
      </c>
    </row>
    <row r="224" spans="31:36" x14ac:dyDescent="0.3">
      <c r="AE224" s="260" t="s">
        <v>148</v>
      </c>
      <c r="AF224" s="260" t="s">
        <v>719</v>
      </c>
      <c r="AH224" s="260">
        <v>2017</v>
      </c>
      <c r="AI224" s="18">
        <f t="shared" si="12"/>
        <v>0</v>
      </c>
      <c r="AJ224" s="260">
        <v>100000</v>
      </c>
    </row>
    <row r="225" spans="31:36" x14ac:dyDescent="0.3">
      <c r="AE225" s="260" t="s">
        <v>148</v>
      </c>
      <c r="AF225" s="260" t="s">
        <v>720</v>
      </c>
      <c r="AH225" s="260">
        <v>2017</v>
      </c>
      <c r="AI225" s="18">
        <f t="shared" si="12"/>
        <v>0</v>
      </c>
      <c r="AJ225" s="260">
        <v>200000</v>
      </c>
    </row>
    <row r="226" spans="31:36" x14ac:dyDescent="0.3">
      <c r="AE226" s="260" t="s">
        <v>148</v>
      </c>
      <c r="AF226" s="260" t="s">
        <v>717</v>
      </c>
      <c r="AH226" s="260">
        <v>2020</v>
      </c>
      <c r="AI226" s="18">
        <f t="shared" si="12"/>
        <v>0</v>
      </c>
      <c r="AJ226" s="260">
        <v>400000</v>
      </c>
    </row>
    <row r="227" spans="31:36" x14ac:dyDescent="0.3">
      <c r="AE227" s="121" t="s">
        <v>171</v>
      </c>
      <c r="AF227" s="11" t="s">
        <v>482</v>
      </c>
      <c r="AG227" s="11"/>
      <c r="AH227" s="260">
        <v>2011</v>
      </c>
      <c r="AI227" s="42">
        <v>18000</v>
      </c>
      <c r="AJ227" s="94">
        <v>20000</v>
      </c>
    </row>
    <row r="228" spans="31:36" x14ac:dyDescent="0.3">
      <c r="AE228" s="423" t="s">
        <v>160</v>
      </c>
      <c r="AF228" s="11" t="s">
        <v>204</v>
      </c>
      <c r="AG228" s="11"/>
      <c r="AH228" s="260">
        <v>2010</v>
      </c>
      <c r="AI228" s="94">
        <v>30000</v>
      </c>
      <c r="AJ228" s="18" t="e">
        <f>AI228/$F$289</f>
        <v>#DIV/0!</v>
      </c>
    </row>
    <row r="229" spans="31:36" x14ac:dyDescent="0.3">
      <c r="AE229" s="121" t="s">
        <v>160</v>
      </c>
      <c r="AF229" s="11" t="s">
        <v>522</v>
      </c>
      <c r="AG229" s="11"/>
      <c r="AH229" s="260">
        <v>2011</v>
      </c>
      <c r="AI229" s="94">
        <v>20000</v>
      </c>
      <c r="AJ229" s="18" t="e">
        <f>AI229/$F$289</f>
        <v>#DIV/0!</v>
      </c>
    </row>
    <row r="230" spans="31:36" x14ac:dyDescent="0.3">
      <c r="AE230" s="423" t="s">
        <v>160</v>
      </c>
      <c r="AF230" s="11" t="s">
        <v>161</v>
      </c>
      <c r="AG230" s="11"/>
      <c r="AH230" s="260">
        <v>2010</v>
      </c>
      <c r="AI230" s="18">
        <f>AJ230*$F$289</f>
        <v>0</v>
      </c>
      <c r="AJ230" s="18">
        <v>22000</v>
      </c>
    </row>
    <row r="231" spans="31:36" x14ac:dyDescent="0.3">
      <c r="AE231" s="260" t="s">
        <v>160</v>
      </c>
      <c r="AF231" s="260" t="s">
        <v>715</v>
      </c>
      <c r="AH231" s="260">
        <v>2015</v>
      </c>
      <c r="AI231" s="18">
        <f>AJ231*$F$289</f>
        <v>0</v>
      </c>
      <c r="AJ231" s="260">
        <v>50000</v>
      </c>
    </row>
    <row r="232" spans="31:36" x14ac:dyDescent="0.3">
      <c r="AE232" s="69" t="s">
        <v>160</v>
      </c>
      <c r="AF232" s="11" t="s">
        <v>201</v>
      </c>
      <c r="AG232" s="11"/>
      <c r="AH232" s="260">
        <v>2016</v>
      </c>
      <c r="AI232" s="18">
        <f>AJ232*$F$289</f>
        <v>0</v>
      </c>
      <c r="AJ232" s="18">
        <v>300000</v>
      </c>
    </row>
    <row r="233" spans="31:36" x14ac:dyDescent="0.3">
      <c r="AE233" s="423" t="s">
        <v>107</v>
      </c>
      <c r="AF233" s="11" t="s">
        <v>108</v>
      </c>
      <c r="AG233" s="11"/>
      <c r="AH233" s="260">
        <v>2015</v>
      </c>
      <c r="AI233" s="94">
        <v>150000</v>
      </c>
      <c r="AJ233" s="18" t="e">
        <f>AI233/$F$289</f>
        <v>#DIV/0!</v>
      </c>
    </row>
    <row r="234" spans="31:36" x14ac:dyDescent="0.3">
      <c r="AE234" s="423" t="s">
        <v>107</v>
      </c>
      <c r="AF234" s="11" t="s">
        <v>368</v>
      </c>
      <c r="AG234" s="11"/>
      <c r="AH234" s="260">
        <v>2012</v>
      </c>
      <c r="AI234" s="42">
        <v>50400</v>
      </c>
      <c r="AJ234" s="94">
        <v>65100</v>
      </c>
    </row>
    <row r="235" spans="31:36" x14ac:dyDescent="0.3">
      <c r="AE235" s="260" t="s">
        <v>107</v>
      </c>
      <c r="AF235" s="260" t="s">
        <v>696</v>
      </c>
      <c r="AH235" s="260">
        <v>2012</v>
      </c>
      <c r="AI235" s="108">
        <v>20500</v>
      </c>
      <c r="AJ235" s="98">
        <v>24900</v>
      </c>
    </row>
    <row r="236" spans="31:36" x14ac:dyDescent="0.3">
      <c r="AE236" s="423" t="s">
        <v>107</v>
      </c>
      <c r="AF236" s="11" t="s">
        <v>369</v>
      </c>
      <c r="AG236" s="11"/>
      <c r="AH236" s="260">
        <v>2014</v>
      </c>
      <c r="AI236" s="18">
        <f>AJ236*$F$289</f>
        <v>0</v>
      </c>
      <c r="AJ236" s="18">
        <v>350000</v>
      </c>
    </row>
    <row r="237" spans="31:36" x14ac:dyDescent="0.3">
      <c r="AE237" s="423" t="s">
        <v>107</v>
      </c>
      <c r="AF237" s="11" t="s">
        <v>207</v>
      </c>
      <c r="AG237" s="11"/>
      <c r="AH237" s="260">
        <v>2011</v>
      </c>
      <c r="AI237" s="18">
        <f>AJ237*$F$289</f>
        <v>0</v>
      </c>
      <c r="AJ237" s="18">
        <v>20592</v>
      </c>
    </row>
    <row r="238" spans="31:36" x14ac:dyDescent="0.3">
      <c r="AE238" s="260" t="s">
        <v>107</v>
      </c>
      <c r="AF238" s="260" t="s">
        <v>734</v>
      </c>
      <c r="AH238" s="260">
        <v>2015</v>
      </c>
      <c r="AI238" s="18">
        <f>AJ238*$F$289</f>
        <v>0</v>
      </c>
      <c r="AJ238" s="260">
        <v>720000</v>
      </c>
    </row>
    <row r="239" spans="31:36" x14ac:dyDescent="0.3">
      <c r="AE239" s="423" t="s">
        <v>332</v>
      </c>
      <c r="AF239" s="11" t="s">
        <v>333</v>
      </c>
      <c r="AG239" s="11"/>
      <c r="AH239" s="260">
        <v>2011</v>
      </c>
      <c r="AI239" s="42">
        <v>32000</v>
      </c>
      <c r="AJ239" s="94">
        <v>37000</v>
      </c>
    </row>
    <row r="240" spans="31:36" x14ac:dyDescent="0.3">
      <c r="AE240" s="260" t="s">
        <v>196</v>
      </c>
      <c r="AF240" s="260" t="s">
        <v>712</v>
      </c>
      <c r="AH240" s="260">
        <v>2014</v>
      </c>
      <c r="AI240" s="98">
        <v>49900</v>
      </c>
      <c r="AJ240" s="18" t="e">
        <f>AI240/$F$289</f>
        <v>#DIV/0!</v>
      </c>
    </row>
    <row r="241" spans="31:36" x14ac:dyDescent="0.3">
      <c r="AE241" s="11" t="s">
        <v>190</v>
      </c>
      <c r="AF241" s="11" t="s">
        <v>551</v>
      </c>
      <c r="AG241" s="11"/>
      <c r="AH241" s="260">
        <v>2012</v>
      </c>
      <c r="AI241" s="42">
        <v>30000</v>
      </c>
      <c r="AJ241" s="94">
        <v>34290</v>
      </c>
    </row>
    <row r="242" spans="31:36" x14ac:dyDescent="0.3">
      <c r="AE242" s="260" t="s">
        <v>190</v>
      </c>
      <c r="AF242" s="260" t="s">
        <v>665</v>
      </c>
      <c r="AH242" s="260">
        <v>2014</v>
      </c>
      <c r="AI242" s="18">
        <f>AJ242*$F$289</f>
        <v>0</v>
      </c>
      <c r="AJ242" s="260">
        <v>60000</v>
      </c>
    </row>
    <row r="245" spans="31:36" x14ac:dyDescent="0.3">
      <c r="AE245" s="69"/>
      <c r="AF245" s="11"/>
      <c r="AG245" s="11"/>
      <c r="AI245" s="18"/>
      <c r="AJ245" s="18"/>
    </row>
    <row r="246" spans="31:36" x14ac:dyDescent="0.3">
      <c r="AE246" s="69"/>
      <c r="AF246" s="11"/>
      <c r="AG246" s="11"/>
      <c r="AI246" s="18"/>
      <c r="AJ246" s="18"/>
    </row>
    <row r="247" spans="31:36" x14ac:dyDescent="0.3">
      <c r="AF247" s="11"/>
      <c r="AG247" s="11"/>
      <c r="AI247" s="18"/>
      <c r="AJ247" s="18"/>
    </row>
    <row r="248" spans="31:36" x14ac:dyDescent="0.3">
      <c r="AF248" s="11"/>
      <c r="AG248" s="11"/>
      <c r="AI248" s="18"/>
      <c r="AJ248" s="18"/>
    </row>
    <row r="249" spans="31:36" x14ac:dyDescent="0.3">
      <c r="AF249" s="11"/>
      <c r="AG249" s="11"/>
      <c r="AI249" s="18"/>
      <c r="AJ249" s="18"/>
    </row>
    <row r="250" spans="31:36" x14ac:dyDescent="0.3">
      <c r="AF250" s="11"/>
      <c r="AG250" s="11"/>
      <c r="AI250" s="18"/>
      <c r="AJ250" s="18"/>
    </row>
    <row r="251" spans="31:36" x14ac:dyDescent="0.3">
      <c r="AF251" s="11"/>
      <c r="AG251" s="11"/>
      <c r="AI251" s="18"/>
      <c r="AJ251" s="18"/>
    </row>
    <row r="252" spans="31:36" x14ac:dyDescent="0.3">
      <c r="AF252" s="11"/>
      <c r="AG252" s="11"/>
      <c r="AI252" s="18"/>
      <c r="AJ252" s="18"/>
    </row>
    <row r="253" spans="31:36" x14ac:dyDescent="0.3">
      <c r="AF253" s="11"/>
      <c r="AG253" s="11"/>
      <c r="AI253" s="18"/>
      <c r="AJ253" s="18"/>
    </row>
    <row r="254" spans="31:36" x14ac:dyDescent="0.3">
      <c r="AF254" s="11"/>
      <c r="AG254" s="11"/>
      <c r="AI254" s="18"/>
      <c r="AJ254" s="18"/>
    </row>
    <row r="255" spans="31:36" x14ac:dyDescent="0.3">
      <c r="AF255" s="11"/>
      <c r="AG255" s="11"/>
      <c r="AI255" s="18"/>
      <c r="AJ255" s="18"/>
    </row>
    <row r="256" spans="31:36" x14ac:dyDescent="0.3">
      <c r="AF256" s="11"/>
      <c r="AG256" s="11"/>
      <c r="AI256" s="18"/>
      <c r="AJ256" s="18"/>
    </row>
    <row r="257" spans="32:36" x14ac:dyDescent="0.3">
      <c r="AF257" s="11"/>
      <c r="AG257" s="11"/>
      <c r="AI257" s="18"/>
      <c r="AJ257" s="18"/>
    </row>
    <row r="258" spans="32:36" x14ac:dyDescent="0.3">
      <c r="AF258" s="11"/>
      <c r="AG258" s="11"/>
      <c r="AI258" s="18"/>
      <c r="AJ258" s="18"/>
    </row>
    <row r="259" spans="32:36" x14ac:dyDescent="0.3">
      <c r="AF259" s="11"/>
      <c r="AG259" s="11"/>
      <c r="AI259" s="18"/>
      <c r="AJ259" s="18"/>
    </row>
    <row r="260" spans="32:36" x14ac:dyDescent="0.3">
      <c r="AF260" s="11"/>
      <c r="AG260" s="11"/>
      <c r="AI260" s="18"/>
      <c r="AJ260" s="18"/>
    </row>
    <row r="261" spans="32:36" x14ac:dyDescent="0.3">
      <c r="AF261" s="11"/>
      <c r="AG261" s="11"/>
      <c r="AI261" s="18"/>
      <c r="AJ261" s="18"/>
    </row>
    <row r="262" spans="32:36" x14ac:dyDescent="0.3">
      <c r="AF262" s="11"/>
      <c r="AG262" s="11"/>
      <c r="AI262" s="18"/>
      <c r="AJ262" s="18"/>
    </row>
    <row r="263" spans="32:36" x14ac:dyDescent="0.3">
      <c r="AF263" s="11"/>
      <c r="AG263" s="11"/>
      <c r="AI263" s="18"/>
      <c r="AJ263" s="18"/>
    </row>
    <row r="264" spans="32:36" x14ac:dyDescent="0.3">
      <c r="AF264" s="11"/>
      <c r="AG264" s="11"/>
      <c r="AI264" s="18"/>
      <c r="AJ264" s="18"/>
    </row>
    <row r="265" spans="32:36" x14ac:dyDescent="0.3">
      <c r="AF265" s="11"/>
      <c r="AG265" s="11"/>
      <c r="AI265" s="18"/>
      <c r="AJ265" s="18"/>
    </row>
    <row r="266" spans="32:36" x14ac:dyDescent="0.3">
      <c r="AF266" s="11"/>
      <c r="AG266" s="11"/>
      <c r="AI266" s="18"/>
      <c r="AJ266" s="18"/>
    </row>
    <row r="267" spans="32:36" x14ac:dyDescent="0.3">
      <c r="AF267" s="11"/>
      <c r="AG267" s="11"/>
      <c r="AI267" s="18"/>
      <c r="AJ267" s="18"/>
    </row>
    <row r="268" spans="32:36" x14ac:dyDescent="0.3">
      <c r="AF268" s="11"/>
      <c r="AG268" s="11"/>
      <c r="AI268" s="18"/>
      <c r="AJ268" s="18"/>
    </row>
    <row r="269" spans="32:36" x14ac:dyDescent="0.3">
      <c r="AF269" s="11"/>
      <c r="AG269" s="11"/>
      <c r="AJ269" s="18"/>
    </row>
    <row r="270" spans="32:36" x14ac:dyDescent="0.3">
      <c r="AF270" s="11"/>
      <c r="AG270" s="11"/>
      <c r="AJ270" s="18"/>
    </row>
    <row r="271" spans="32:36" x14ac:dyDescent="0.3">
      <c r="AF271" s="11"/>
      <c r="AG271" s="11"/>
      <c r="AI271" s="11"/>
      <c r="AJ271" s="18"/>
    </row>
    <row r="272" spans="32:36" x14ac:dyDescent="0.3">
      <c r="AF272" s="11"/>
      <c r="AG272" s="11"/>
      <c r="AI272" s="260" t="s">
        <v>956</v>
      </c>
      <c r="AJ272" s="11" t="s">
        <v>955</v>
      </c>
    </row>
    <row r="273" spans="31:36" x14ac:dyDescent="0.3">
      <c r="AF273" s="11"/>
      <c r="AG273" s="11"/>
      <c r="AI273" s="11" t="s">
        <v>217</v>
      </c>
    </row>
    <row r="274" spans="31:36" x14ac:dyDescent="0.3">
      <c r="AF274" s="11"/>
      <c r="AG274" s="11"/>
      <c r="AH274" s="11">
        <f>COUNTIF($AE$178:$AE$242,"=proposed")</f>
        <v>0</v>
      </c>
      <c r="AI274" s="11">
        <f>SUMIF($AE$178:$AE$242,"=proposed",$E$178:$E$242)/1000</f>
        <v>0</v>
      </c>
      <c r="AJ274" s="11">
        <f>SUMIF($AE$178:$AE$242,"=proposed",$F$178:$F$242)/1000</f>
        <v>0</v>
      </c>
    </row>
    <row r="275" spans="31:36" x14ac:dyDescent="0.3">
      <c r="AF275" s="11"/>
      <c r="AG275" s="11"/>
      <c r="AI275" s="11" t="s">
        <v>218</v>
      </c>
    </row>
    <row r="276" spans="31:36" x14ac:dyDescent="0.3">
      <c r="AF276" s="11"/>
      <c r="AG276" s="11"/>
      <c r="AH276" s="11">
        <f>COUNTIF($AE$178:$AE$242,"=construction")</f>
        <v>0</v>
      </c>
      <c r="AI276" s="11">
        <f>SUMIF($AE$178:$AE$242,"=construction",$E$178:$E$242)/1000</f>
        <v>0</v>
      </c>
      <c r="AJ276" s="11">
        <f>SUMIF($AE$178:$AE$242,"=construction",$F$178:$F$242)/1000</f>
        <v>0</v>
      </c>
    </row>
    <row r="277" spans="31:36" x14ac:dyDescent="0.3">
      <c r="AF277" s="11"/>
      <c r="AG277" s="11"/>
      <c r="AI277" s="260" t="s">
        <v>595</v>
      </c>
    </row>
    <row r="278" spans="31:36" x14ac:dyDescent="0.3">
      <c r="AF278" s="11"/>
      <c r="AG278" s="11"/>
      <c r="AH278" s="11">
        <f>COUNTIF($AE$178:$AE$242,"=completed")</f>
        <v>0</v>
      </c>
      <c r="AI278" s="11">
        <f>SUMIF($AE$178:$AE$242,"=completed",$E$178:$E$242)/1000</f>
        <v>0</v>
      </c>
      <c r="AJ278" s="11">
        <f>SUMIF($AE$178:$AE$242,"=completed",$F$178:$F$242)/1000</f>
        <v>0</v>
      </c>
    </row>
    <row r="279" spans="31:36" ht="15" thickBot="1" x14ac:dyDescent="0.35">
      <c r="AF279" s="11"/>
      <c r="AG279" s="11"/>
      <c r="AI279" s="260" t="s">
        <v>957</v>
      </c>
    </row>
    <row r="280" spans="31:36" ht="15" thickBot="1" x14ac:dyDescent="0.35">
      <c r="AE280" s="260" t="s">
        <v>743</v>
      </c>
      <c r="AF280" s="11"/>
      <c r="AG280" s="11"/>
      <c r="AH280" s="260">
        <f>AH278+AH276</f>
        <v>0</v>
      </c>
      <c r="AI280" s="278">
        <f>AI278+AI276</f>
        <v>0</v>
      </c>
      <c r="AJ280" s="260">
        <f>AJ278+AJ276</f>
        <v>0</v>
      </c>
    </row>
    <row r="281" spans="31:36" x14ac:dyDescent="0.3">
      <c r="AE281" s="260">
        <f>COUNTA(AE178:AE242)</f>
        <v>65</v>
      </c>
      <c r="AF281" s="11"/>
      <c r="AG281" s="11"/>
    </row>
    <row r="282" spans="31:36" x14ac:dyDescent="0.3">
      <c r="AF282" s="11"/>
      <c r="AG282" s="11"/>
    </row>
    <row r="283" spans="31:36" x14ac:dyDescent="0.3">
      <c r="AE283" s="260" t="s">
        <v>210</v>
      </c>
      <c r="AF283" s="11"/>
      <c r="AG283" s="11"/>
    </row>
    <row r="284" spans="31:36" x14ac:dyDescent="0.3">
      <c r="AE284" s="260">
        <f>AE281+AE147</f>
        <v>191</v>
      </c>
      <c r="AI284" s="261" t="s">
        <v>236</v>
      </c>
      <c r="AJ284" s="261"/>
    </row>
    <row r="285" spans="31:36" x14ac:dyDescent="0.3">
      <c r="AE285" s="260" t="s">
        <v>850</v>
      </c>
      <c r="AI285" s="261"/>
      <c r="AJ285" s="261" t="s">
        <v>232</v>
      </c>
    </row>
    <row r="286" spans="31:36" x14ac:dyDescent="0.3">
      <c r="AE286" s="26">
        <f>SUM($E$3:$E$128)/1000</f>
        <v>0.23365074449559176</v>
      </c>
      <c r="AF286" s="11"/>
      <c r="AG286" s="11"/>
      <c r="AI286" s="261" t="s">
        <v>233</v>
      </c>
      <c r="AJ286" s="67">
        <f>'DC to AC conversion'!AL11</f>
        <v>0</v>
      </c>
    </row>
    <row r="287" spans="31:36" x14ac:dyDescent="0.3">
      <c r="AE287" s="260" t="s">
        <v>851</v>
      </c>
      <c r="AF287" s="11"/>
      <c r="AG287" s="11"/>
      <c r="AI287" s="261" t="s">
        <v>234</v>
      </c>
      <c r="AJ287" s="67">
        <f>'DC to AC conversion'!AL25</f>
        <v>0</v>
      </c>
    </row>
    <row r="288" spans="31:36" x14ac:dyDescent="0.3">
      <c r="AE288" s="26">
        <f>SUM($E$178:$E$242)/1000</f>
        <v>0</v>
      </c>
      <c r="AF288" s="11"/>
      <c r="AG288" s="11"/>
      <c r="AI288" s="261"/>
      <c r="AJ288" s="67"/>
    </row>
    <row r="289" spans="31:36" x14ac:dyDescent="0.3">
      <c r="AF289" s="11"/>
      <c r="AG289" s="11"/>
      <c r="AI289" s="261" t="s">
        <v>235</v>
      </c>
      <c r="AJ289" s="67">
        <f>'DC to AC conversion'!AL47</f>
        <v>0</v>
      </c>
    </row>
    <row r="290" spans="31:36" x14ac:dyDescent="0.3">
      <c r="AE290" s="11" t="s">
        <v>774</v>
      </c>
      <c r="AF290" s="11"/>
      <c r="AG290" s="11"/>
    </row>
    <row r="291" spans="31:36" x14ac:dyDescent="0.3">
      <c r="AE291" s="26">
        <f>SUM($E$178:$E$242,$E$3:$E$128)/1000</f>
        <v>0.23365074449559176</v>
      </c>
      <c r="AF291" s="11"/>
      <c r="AG291" s="11"/>
      <c r="AH291" s="260" t="s">
        <v>959</v>
      </c>
    </row>
    <row r="292" spans="31:36" x14ac:dyDescent="0.3">
      <c r="AF292" s="11"/>
      <c r="AG292" s="11"/>
      <c r="AH292" s="260">
        <f>AH158+AH280+CSP!AG62</f>
        <v>0</v>
      </c>
      <c r="AI292" s="260">
        <f>AI280+AI158+CSP!$D$62</f>
        <v>2124</v>
      </c>
      <c r="AJ292" s="260">
        <f>AJ280+AJ158+CSP!$D$62</f>
        <v>2124</v>
      </c>
    </row>
    <row r="293" spans="31:36" x14ac:dyDescent="0.3">
      <c r="AF293" s="11"/>
      <c r="AG293" s="11"/>
      <c r="AH293" s="260" t="s">
        <v>963</v>
      </c>
      <c r="AI293" s="260" t="s">
        <v>960</v>
      </c>
      <c r="AJ293" s="260" t="s">
        <v>961</v>
      </c>
    </row>
    <row r="295" spans="31:36" x14ac:dyDescent="0.3">
      <c r="AH295" s="260">
        <f>AH274+AH280+AH158+AH152+CSP!AG62+CSP!AG56</f>
        <v>0</v>
      </c>
      <c r="AI295" s="260">
        <f>AI274+AI280+AI158+AI152+CSP!$D$62+CSP!$D$56</f>
        <v>3694</v>
      </c>
      <c r="AJ295" s="260">
        <f>AJ274+AJ280+AJ158+AJ152+CSP!$D$62+CSP!$D$56</f>
        <v>3694</v>
      </c>
    </row>
    <row r="300" spans="31:36" x14ac:dyDescent="0.3">
      <c r="AI300" s="260" t="s">
        <v>749</v>
      </c>
    </row>
    <row r="311" spans="33:33" x14ac:dyDescent="0.3">
      <c r="AG311" s="260" t="s">
        <v>138</v>
      </c>
    </row>
    <row r="312" spans="33:33" x14ac:dyDescent="0.3">
      <c r="AG312" s="260" t="s">
        <v>242</v>
      </c>
    </row>
    <row r="313" spans="33:33" x14ac:dyDescent="0.3">
      <c r="AG313" s="260" t="s">
        <v>243</v>
      </c>
    </row>
    <row r="314" spans="33:33" x14ac:dyDescent="0.3">
      <c r="AG314" s="260" t="s">
        <v>732</v>
      </c>
    </row>
    <row r="378" spans="35:35" x14ac:dyDescent="0.3">
      <c r="AI378" s="260" t="s">
        <v>296</v>
      </c>
    </row>
    <row r="441" spans="32:32" x14ac:dyDescent="0.3">
      <c r="AF441" s="260" t="s">
        <v>778</v>
      </c>
    </row>
    <row r="465" spans="31:36" x14ac:dyDescent="0.3">
      <c r="AE465" s="260" t="s">
        <v>1104</v>
      </c>
    </row>
    <row r="466" spans="31:36" x14ac:dyDescent="0.3">
      <c r="AE466" s="69" t="s">
        <v>26</v>
      </c>
      <c r="AF466" s="11" t="s">
        <v>103</v>
      </c>
      <c r="AG466" s="11"/>
      <c r="AH466" s="260">
        <v>2013</v>
      </c>
      <c r="AI466" s="18">
        <f>AJ466*$F$289</f>
        <v>0</v>
      </c>
      <c r="AJ466" s="18">
        <v>45000</v>
      </c>
    </row>
    <row r="498" spans="34:34" x14ac:dyDescent="0.3">
      <c r="AH498" s="260" t="s">
        <v>856</v>
      </c>
    </row>
  </sheetData>
  <sortState ref="AE178:AJ242">
    <sortCondition ref="AE178:AE242"/>
    <sortCondition descending="1" ref="AI178:AI242"/>
  </sortState>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U220"/>
  <sheetViews>
    <sheetView topLeftCell="A46" zoomScale="70" zoomScaleNormal="70" workbookViewId="0">
      <selection activeCell="O74" sqref="O74"/>
    </sheetView>
  </sheetViews>
  <sheetFormatPr defaultRowHeight="14.4" x14ac:dyDescent="0.3"/>
  <cols>
    <col min="6" max="6" width="8.88671875" style="260"/>
    <col min="28" max="28" width="13" customWidth="1"/>
  </cols>
  <sheetData>
    <row r="1" spans="1:42" x14ac:dyDescent="0.3">
      <c r="A1" s="11" t="s">
        <v>881</v>
      </c>
      <c r="J1" s="427" t="s">
        <v>13</v>
      </c>
      <c r="K1" s="427"/>
      <c r="L1" s="427"/>
      <c r="M1" s="242"/>
      <c r="N1" s="242"/>
      <c r="O1" s="428" t="s">
        <v>9</v>
      </c>
      <c r="P1" s="428"/>
      <c r="Q1" s="428"/>
      <c r="R1" s="243"/>
      <c r="S1" s="243"/>
      <c r="T1" s="16"/>
      <c r="U1" s="16"/>
      <c r="V1" s="16"/>
      <c r="AK1" t="s">
        <v>889</v>
      </c>
      <c r="AM1" t="s">
        <v>890</v>
      </c>
      <c r="AO1" t="s">
        <v>891</v>
      </c>
    </row>
    <row r="2" spans="1:42" x14ac:dyDescent="0.3">
      <c r="A2" s="76" t="s">
        <v>0</v>
      </c>
      <c r="B2" s="8" t="s">
        <v>1</v>
      </c>
      <c r="C2" s="8" t="s">
        <v>2</v>
      </c>
      <c r="D2" s="8" t="s">
        <v>62</v>
      </c>
      <c r="E2" s="8" t="s">
        <v>63</v>
      </c>
      <c r="F2" s="261"/>
      <c r="G2" s="8" t="s">
        <v>5</v>
      </c>
      <c r="H2" s="8" t="s">
        <v>6</v>
      </c>
      <c r="I2" s="8" t="s">
        <v>7</v>
      </c>
      <c r="J2" s="2" t="s">
        <v>10</v>
      </c>
      <c r="K2" s="2" t="s">
        <v>11</v>
      </c>
      <c r="L2" s="2" t="s">
        <v>12</v>
      </c>
      <c r="M2" s="2" t="s">
        <v>14</v>
      </c>
      <c r="N2" s="2" t="s">
        <v>22</v>
      </c>
      <c r="O2" s="3" t="s">
        <v>10</v>
      </c>
      <c r="P2" s="3" t="s">
        <v>11</v>
      </c>
      <c r="Q2" s="3" t="s">
        <v>12</v>
      </c>
      <c r="R2" s="3" t="s">
        <v>14</v>
      </c>
      <c r="S2" s="3" t="s">
        <v>22</v>
      </c>
      <c r="T2" s="17" t="s">
        <v>92</v>
      </c>
      <c r="U2" s="17" t="s">
        <v>329</v>
      </c>
      <c r="V2" s="17" t="s">
        <v>97</v>
      </c>
      <c r="W2" s="7" t="s">
        <v>15</v>
      </c>
      <c r="X2" s="7" t="s">
        <v>16</v>
      </c>
      <c r="Y2" s="7" t="s">
        <v>20</v>
      </c>
      <c r="Z2" s="7" t="s">
        <v>86</v>
      </c>
      <c r="AA2" s="7" t="s">
        <v>93</v>
      </c>
      <c r="AB2" s="7" t="s">
        <v>64</v>
      </c>
      <c r="AC2" s="7" t="s">
        <v>65</v>
      </c>
      <c r="AD2" s="7" t="s">
        <v>68</v>
      </c>
      <c r="AE2" s="7" t="s">
        <v>17</v>
      </c>
      <c r="AF2" s="7" t="s">
        <v>18</v>
      </c>
      <c r="AG2" s="52" t="s">
        <v>251</v>
      </c>
      <c r="AH2" s="52" t="s">
        <v>343</v>
      </c>
      <c r="AI2" t="s">
        <v>58</v>
      </c>
      <c r="AJ2" s="84" t="s">
        <v>490</v>
      </c>
      <c r="AK2" s="84" t="s">
        <v>888</v>
      </c>
      <c r="AL2" s="84" t="s">
        <v>784</v>
      </c>
      <c r="AM2" s="84"/>
    </row>
    <row r="3" spans="1:42" x14ac:dyDescent="0.3">
      <c r="A3" s="11" t="s">
        <v>3</v>
      </c>
      <c r="B3" t="s">
        <v>38</v>
      </c>
      <c r="C3">
        <v>2008</v>
      </c>
      <c r="D3" s="42">
        <v>446.88</v>
      </c>
      <c r="E3" s="94">
        <v>596</v>
      </c>
      <c r="F3" s="308">
        <f>D3/E3</f>
        <v>0.74979865771812082</v>
      </c>
      <c r="H3">
        <v>3136</v>
      </c>
      <c r="I3" t="s">
        <v>8</v>
      </c>
      <c r="J3">
        <v>4.91</v>
      </c>
      <c r="K3" s="9">
        <f t="shared" ref="K3:K47" si="0">J3*0.004047</f>
        <v>1.9870770000000003E-2</v>
      </c>
      <c r="L3" s="9">
        <f t="shared" ref="L3:L47" si="1">J3*0.4047</f>
        <v>1.987077</v>
      </c>
      <c r="M3" s="1">
        <f t="shared" ref="M3:M47" si="2">L3/(D3/1000)</f>
        <v>4.4465561224489791</v>
      </c>
      <c r="N3" s="1">
        <f t="shared" ref="N3:N47" si="3">D3/1000/K3</f>
        <v>22.489314706979144</v>
      </c>
      <c r="O3">
        <v>4.22</v>
      </c>
      <c r="P3" s="1">
        <f t="shared" ref="P3:P20" si="4">O3*0.004047</f>
        <v>1.7078340000000001E-2</v>
      </c>
      <c r="Q3" s="1">
        <f t="shared" ref="Q3:Q20" si="5">O3*0.4047</f>
        <v>1.7078339999999999</v>
      </c>
      <c r="R3" s="1">
        <f t="shared" ref="R3:R20" si="6">Q3/(D3/1000)</f>
        <v>3.8216836734693875</v>
      </c>
      <c r="S3" s="1">
        <f t="shared" ref="S3:S20" si="7">D3/1000/P3</f>
        <v>26.166477538215069</v>
      </c>
      <c r="T3" s="1">
        <f>(5+11/12)/(17+9/12)</f>
        <v>0.33333333333333337</v>
      </c>
      <c r="U3" s="1">
        <f>1/T3</f>
        <v>2.9999999999999996</v>
      </c>
      <c r="V3" s="1">
        <f>T3*R3</f>
        <v>1.2738945578231293</v>
      </c>
      <c r="W3">
        <v>37.460360999999999</v>
      </c>
      <c r="X3">
        <v>-105.852617</v>
      </c>
      <c r="Y3" t="s">
        <v>21</v>
      </c>
      <c r="AA3" t="s">
        <v>94</v>
      </c>
      <c r="AB3" s="15">
        <v>0.161</v>
      </c>
      <c r="AC3" s="15" t="s">
        <v>66</v>
      </c>
      <c r="AD3" s="15" t="s">
        <v>69</v>
      </c>
      <c r="AE3" t="s">
        <v>29</v>
      </c>
      <c r="AF3" t="s">
        <v>39</v>
      </c>
      <c r="AG3" s="15" t="s">
        <v>353</v>
      </c>
      <c r="AI3">
        <v>1</v>
      </c>
      <c r="AK3">
        <v>2627.23</v>
      </c>
      <c r="AL3">
        <f>1/(AK3/$M3/1000)</f>
        <v>1.6924883327493137</v>
      </c>
      <c r="AM3">
        <v>2309.5</v>
      </c>
      <c r="AN3">
        <f>1/(AM3/$M3/1000)</f>
        <v>1.9253328090274862</v>
      </c>
      <c r="AO3">
        <v>1462.8</v>
      </c>
      <c r="AP3">
        <f>1/(AO3/$M3/1000)</f>
        <v>3.0397567148270301</v>
      </c>
    </row>
    <row r="4" spans="1:42" x14ac:dyDescent="0.3">
      <c r="A4" s="11" t="s">
        <v>3</v>
      </c>
      <c r="B4" s="11" t="s">
        <v>45</v>
      </c>
      <c r="C4">
        <v>2008</v>
      </c>
      <c r="D4" s="42">
        <v>474.81</v>
      </c>
      <c r="E4" s="94">
        <v>633</v>
      </c>
      <c r="F4" s="308">
        <f t="shared" ref="F4:F47" si="8">D4/E4</f>
        <v>0.75009478672985785</v>
      </c>
      <c r="G4">
        <v>4</v>
      </c>
      <c r="H4">
        <v>3332</v>
      </c>
      <c r="I4" t="s">
        <v>8</v>
      </c>
      <c r="J4">
        <v>5.3470000000000004</v>
      </c>
      <c r="K4" s="9">
        <f t="shared" si="0"/>
        <v>2.1639309000000002E-2</v>
      </c>
      <c r="L4" s="9">
        <f t="shared" si="1"/>
        <v>2.1639309</v>
      </c>
      <c r="M4" s="1">
        <f t="shared" si="2"/>
        <v>4.5574669867947177</v>
      </c>
      <c r="N4" s="1">
        <f t="shared" si="3"/>
        <v>21.942013028234864</v>
      </c>
      <c r="O4">
        <v>3.34</v>
      </c>
      <c r="P4" s="1">
        <f t="shared" si="4"/>
        <v>1.351698E-2</v>
      </c>
      <c r="Q4" s="1">
        <f t="shared" si="5"/>
        <v>1.3516980000000001</v>
      </c>
      <c r="R4" s="1">
        <f t="shared" si="6"/>
        <v>2.8468187274909966</v>
      </c>
      <c r="S4" s="1">
        <f t="shared" si="7"/>
        <v>35.12692924011133</v>
      </c>
      <c r="T4" s="1">
        <f>0.20836/(0.33734+0.20836)</f>
        <v>0.38182151365218986</v>
      </c>
      <c r="U4" s="1">
        <f>1/T4</f>
        <v>2.6190247648301015</v>
      </c>
      <c r="V4" s="1">
        <f>T4*R4</f>
        <v>1.0869766356240134</v>
      </c>
      <c r="W4">
        <v>39.821038000000001</v>
      </c>
      <c r="X4">
        <v>-105.22041</v>
      </c>
      <c r="Y4" t="s">
        <v>21</v>
      </c>
      <c r="AA4" t="s">
        <v>96</v>
      </c>
      <c r="AB4" s="15">
        <v>0.16400000000000001</v>
      </c>
      <c r="AC4" s="15" t="s">
        <v>66</v>
      </c>
      <c r="AD4" s="15" t="s">
        <v>75</v>
      </c>
      <c r="AE4" t="s">
        <v>29</v>
      </c>
      <c r="AF4" t="s">
        <v>34</v>
      </c>
      <c r="AG4" s="15" t="s">
        <v>353</v>
      </c>
      <c r="AI4">
        <v>1</v>
      </c>
      <c r="AK4">
        <v>2213.69</v>
      </c>
      <c r="AL4">
        <f t="shared" ref="AL4:AL47" si="9">1/(AK4/$M4/1000)</f>
        <v>2.0587647713974033</v>
      </c>
      <c r="AM4">
        <v>2309.52</v>
      </c>
      <c r="AN4">
        <f t="shared" ref="AN4:AN47" si="10">1/(AM4/$M4/1000)</f>
        <v>1.9733394760793228</v>
      </c>
      <c r="AO4">
        <v>1462.82</v>
      </c>
      <c r="AP4">
        <f t="shared" ref="AP4:AP47" si="11">1/(AO4/$M4/1000)</f>
        <v>3.1155350533864166</v>
      </c>
    </row>
    <row r="5" spans="1:42" x14ac:dyDescent="0.3">
      <c r="A5" s="11" t="s">
        <v>3</v>
      </c>
      <c r="B5" s="11" t="s">
        <v>43</v>
      </c>
      <c r="C5">
        <v>2008</v>
      </c>
      <c r="D5" s="42">
        <v>503.16</v>
      </c>
      <c r="E5" s="94">
        <v>600</v>
      </c>
      <c r="F5" s="308">
        <f t="shared" si="8"/>
        <v>0.83860000000000001</v>
      </c>
      <c r="H5">
        <v>3531</v>
      </c>
      <c r="I5" t="s">
        <v>8</v>
      </c>
      <c r="J5">
        <v>4.42</v>
      </c>
      <c r="K5" s="9">
        <f t="shared" si="0"/>
        <v>1.7887739999999999E-2</v>
      </c>
      <c r="L5" s="9">
        <f t="shared" si="1"/>
        <v>1.7887740000000001</v>
      </c>
      <c r="M5" s="1">
        <f t="shared" si="2"/>
        <v>3.5550798950632005</v>
      </c>
      <c r="N5" s="1">
        <f t="shared" si="3"/>
        <v>28.128763052235783</v>
      </c>
      <c r="O5">
        <v>3.59</v>
      </c>
      <c r="P5" s="1">
        <f t="shared" si="4"/>
        <v>1.452873E-2</v>
      </c>
      <c r="Q5" s="1">
        <f t="shared" si="5"/>
        <v>1.4528729999999999</v>
      </c>
      <c r="R5" s="1">
        <f t="shared" si="6"/>
        <v>2.8874970188409246</v>
      </c>
      <c r="S5" s="1">
        <f t="shared" si="7"/>
        <v>34.63207038743235</v>
      </c>
      <c r="T5" s="1">
        <f>(15.5-10-(15/4)/12)/(15.5)</f>
        <v>0.33467741935483869</v>
      </c>
      <c r="U5" s="1">
        <f>1/T5</f>
        <v>2.987951807228916</v>
      </c>
      <c r="V5" s="1">
        <f>T5*R5</f>
        <v>0.96638005066047072</v>
      </c>
      <c r="W5">
        <v>39.531663999999999</v>
      </c>
      <c r="X5">
        <v>-107.757302</v>
      </c>
      <c r="Y5" t="s">
        <v>21</v>
      </c>
      <c r="AA5" t="s">
        <v>94</v>
      </c>
      <c r="AB5" s="15">
        <v>0.13320000000000001</v>
      </c>
      <c r="AC5" s="15" t="s">
        <v>391</v>
      </c>
      <c r="AD5" s="15" t="s">
        <v>73</v>
      </c>
      <c r="AE5" t="s">
        <v>29</v>
      </c>
      <c r="AF5" t="s">
        <v>34</v>
      </c>
      <c r="AG5" s="15" t="s">
        <v>353</v>
      </c>
      <c r="AI5">
        <v>1</v>
      </c>
      <c r="AK5">
        <v>2376.5</v>
      </c>
      <c r="AL5">
        <f t="shared" si="9"/>
        <v>1.4959309467970547</v>
      </c>
      <c r="AM5">
        <v>2313.12</v>
      </c>
      <c r="AN5">
        <f t="shared" si="10"/>
        <v>1.5369197858577164</v>
      </c>
      <c r="AO5">
        <v>1468.75</v>
      </c>
      <c r="AP5">
        <f t="shared" si="11"/>
        <v>2.4204799285536684</v>
      </c>
    </row>
    <row r="6" spans="1:42" x14ac:dyDescent="0.3">
      <c r="A6" s="11" t="s">
        <v>3</v>
      </c>
      <c r="B6" t="s">
        <v>31</v>
      </c>
      <c r="C6">
        <v>2008</v>
      </c>
      <c r="D6" s="42">
        <v>657.87</v>
      </c>
      <c r="E6" s="94">
        <v>720.72</v>
      </c>
      <c r="F6" s="308">
        <f t="shared" si="8"/>
        <v>0.91279553779553779</v>
      </c>
      <c r="H6">
        <v>3696</v>
      </c>
      <c r="I6" t="s">
        <v>8</v>
      </c>
      <c r="J6" s="1">
        <v>5.38</v>
      </c>
      <c r="K6" s="1">
        <f t="shared" si="0"/>
        <v>2.1772860000000002E-2</v>
      </c>
      <c r="L6" s="1">
        <f t="shared" si="1"/>
        <v>2.1772860000000001</v>
      </c>
      <c r="M6" s="1">
        <f t="shared" si="2"/>
        <v>3.3095991609284514</v>
      </c>
      <c r="N6" s="1">
        <f t="shared" si="3"/>
        <v>30.215139398315145</v>
      </c>
      <c r="O6" s="1">
        <v>3.04</v>
      </c>
      <c r="P6" s="1">
        <f t="shared" si="4"/>
        <v>1.230288E-2</v>
      </c>
      <c r="Q6" s="1">
        <f t="shared" si="5"/>
        <v>1.230288</v>
      </c>
      <c r="R6" s="1">
        <f t="shared" si="6"/>
        <v>1.8701080760636601</v>
      </c>
      <c r="S6" s="1">
        <f t="shared" si="7"/>
        <v>53.47284538254457</v>
      </c>
      <c r="T6" s="1">
        <f>(5+11/12)/(15)</f>
        <v>0.39444444444444449</v>
      </c>
      <c r="U6" s="1">
        <f>1/T6</f>
        <v>2.5352112676056335</v>
      </c>
      <c r="V6" s="1">
        <f>T6*R6</f>
        <v>0.73765374111399939</v>
      </c>
      <c r="W6">
        <v>39.744937999999998</v>
      </c>
      <c r="X6">
        <v>-105.176754</v>
      </c>
      <c r="Y6" t="s">
        <v>21</v>
      </c>
      <c r="AA6" t="s">
        <v>95</v>
      </c>
      <c r="AB6" s="15">
        <v>0.161</v>
      </c>
      <c r="AC6" s="15" t="s">
        <v>66</v>
      </c>
      <c r="AD6" s="15" t="s">
        <v>69</v>
      </c>
      <c r="AE6" t="s">
        <v>29</v>
      </c>
      <c r="AF6" t="s">
        <v>19</v>
      </c>
      <c r="AG6" s="15" t="s">
        <v>353</v>
      </c>
      <c r="AI6">
        <v>1</v>
      </c>
      <c r="AK6">
        <v>2231.0300000000002</v>
      </c>
      <c r="AL6">
        <f t="shared" si="9"/>
        <v>1.4834400079463079</v>
      </c>
      <c r="AM6">
        <v>2313.86</v>
      </c>
      <c r="AN6">
        <f t="shared" si="10"/>
        <v>1.4303368228537816</v>
      </c>
      <c r="AO6">
        <v>1471.92</v>
      </c>
      <c r="AP6">
        <f t="shared" si="11"/>
        <v>2.2484911958044265</v>
      </c>
    </row>
    <row r="7" spans="1:42" x14ac:dyDescent="0.3">
      <c r="A7" s="11" t="s">
        <v>35</v>
      </c>
      <c r="B7" s="11" t="s">
        <v>537</v>
      </c>
      <c r="C7">
        <v>2011</v>
      </c>
      <c r="D7" s="42">
        <v>823.1</v>
      </c>
      <c r="E7" s="94">
        <v>1069</v>
      </c>
      <c r="F7" s="308">
        <f t="shared" si="8"/>
        <v>0.76997193638914874</v>
      </c>
      <c r="H7">
        <v>3960</v>
      </c>
      <c r="I7" t="s">
        <v>539</v>
      </c>
      <c r="J7" s="74">
        <v>6.5</v>
      </c>
      <c r="K7" s="9">
        <f t="shared" si="0"/>
        <v>2.6305500000000002E-2</v>
      </c>
      <c r="L7" s="9">
        <f t="shared" si="1"/>
        <v>2.6305499999999999</v>
      </c>
      <c r="M7" s="1">
        <f t="shared" si="2"/>
        <v>3.1959057222694689</v>
      </c>
      <c r="N7" s="1">
        <f t="shared" si="3"/>
        <v>31.290034403451749</v>
      </c>
      <c r="O7" s="11">
        <v>4.91</v>
      </c>
      <c r="P7" s="1">
        <f t="shared" si="4"/>
        <v>1.9870770000000003E-2</v>
      </c>
      <c r="Q7" s="1">
        <f t="shared" si="5"/>
        <v>1.987077</v>
      </c>
      <c r="R7" s="1">
        <f t="shared" si="6"/>
        <v>2.4141380148220142</v>
      </c>
      <c r="S7" s="1">
        <f t="shared" si="7"/>
        <v>41.422652468927971</v>
      </c>
      <c r="T7" s="11"/>
      <c r="U7" s="11"/>
      <c r="V7" s="11"/>
      <c r="W7" s="11">
        <v>32.29</v>
      </c>
      <c r="X7" s="11">
        <v>-111.03294</v>
      </c>
      <c r="Y7" t="s">
        <v>21</v>
      </c>
      <c r="Z7" t="s">
        <v>540</v>
      </c>
      <c r="AA7" s="11" t="s">
        <v>95</v>
      </c>
      <c r="AB7" s="15">
        <v>0.13769999999999999</v>
      </c>
      <c r="AC7" s="11" t="s">
        <v>399</v>
      </c>
      <c r="AD7" s="30" t="s">
        <v>538</v>
      </c>
      <c r="AE7" t="s">
        <v>60</v>
      </c>
      <c r="AF7" t="s">
        <v>475</v>
      </c>
      <c r="AG7" s="15" t="s">
        <v>541</v>
      </c>
      <c r="AI7">
        <v>1</v>
      </c>
      <c r="AK7">
        <v>2596.71</v>
      </c>
      <c r="AL7">
        <f t="shared" si="9"/>
        <v>1.2307518830633644</v>
      </c>
      <c r="AM7">
        <v>2310.67</v>
      </c>
      <c r="AN7">
        <f t="shared" si="10"/>
        <v>1.3831078095398601</v>
      </c>
      <c r="AO7">
        <v>1464.43</v>
      </c>
      <c r="AP7">
        <f t="shared" si="11"/>
        <v>2.182354719767738</v>
      </c>
    </row>
    <row r="8" spans="1:42" x14ac:dyDescent="0.3">
      <c r="A8" s="11" t="s">
        <v>26</v>
      </c>
      <c r="B8" s="11" t="s">
        <v>419</v>
      </c>
      <c r="C8">
        <v>2008</v>
      </c>
      <c r="D8" s="42">
        <f>E8*0.89</f>
        <v>890</v>
      </c>
      <c r="E8" s="94">
        <v>1000</v>
      </c>
      <c r="F8" s="308">
        <f t="shared" si="8"/>
        <v>0.89</v>
      </c>
      <c r="H8">
        <v>18210</v>
      </c>
      <c r="I8" t="s">
        <v>418</v>
      </c>
      <c r="J8" s="74">
        <v>11.2</v>
      </c>
      <c r="K8" s="9">
        <f t="shared" si="0"/>
        <v>4.5326400000000003E-2</v>
      </c>
      <c r="L8" s="9">
        <f t="shared" si="1"/>
        <v>4.5326399999999998</v>
      </c>
      <c r="M8" s="1">
        <f t="shared" si="2"/>
        <v>5.0928539325842692</v>
      </c>
      <c r="N8" s="1">
        <f t="shared" si="3"/>
        <v>19.635355995622859</v>
      </c>
      <c r="O8">
        <v>7.9</v>
      </c>
      <c r="P8" s="1">
        <f t="shared" si="4"/>
        <v>3.1971300000000001E-2</v>
      </c>
      <c r="Q8" s="1">
        <f t="shared" si="5"/>
        <v>3.19713</v>
      </c>
      <c r="R8" s="1">
        <f t="shared" si="6"/>
        <v>3.5922808988764046</v>
      </c>
      <c r="S8" s="1">
        <f t="shared" si="7"/>
        <v>27.837466727971648</v>
      </c>
      <c r="T8" s="1"/>
      <c r="U8" s="1"/>
      <c r="V8" s="1"/>
      <c r="W8">
        <v>33.964523</v>
      </c>
      <c r="X8">
        <v>-117.674453</v>
      </c>
      <c r="Y8" t="s">
        <v>21</v>
      </c>
      <c r="AA8" s="11" t="s">
        <v>95</v>
      </c>
      <c r="AB8" s="111">
        <v>0.19600000000000001</v>
      </c>
      <c r="AD8" s="30" t="s">
        <v>421</v>
      </c>
      <c r="AE8" t="s">
        <v>60</v>
      </c>
      <c r="AF8" t="s">
        <v>420</v>
      </c>
      <c r="AG8" s="15" t="s">
        <v>385</v>
      </c>
      <c r="AI8">
        <v>1</v>
      </c>
      <c r="AK8">
        <v>2322.92</v>
      </c>
      <c r="AL8">
        <f t="shared" si="9"/>
        <v>2.1924362150156997</v>
      </c>
      <c r="AM8">
        <v>2313.7800000000002</v>
      </c>
      <c r="AN8">
        <f t="shared" si="10"/>
        <v>2.2010968772243986</v>
      </c>
      <c r="AO8">
        <v>1471.08</v>
      </c>
      <c r="AP8">
        <f t="shared" si="11"/>
        <v>3.4619829870464347</v>
      </c>
    </row>
    <row r="9" spans="1:42" x14ac:dyDescent="0.3">
      <c r="A9" s="11" t="s">
        <v>26</v>
      </c>
      <c r="B9" s="11" t="s">
        <v>49</v>
      </c>
      <c r="C9">
        <v>2008</v>
      </c>
      <c r="D9" s="42">
        <v>917.91300000000001</v>
      </c>
      <c r="E9" s="94">
        <v>1088.96</v>
      </c>
      <c r="F9" s="308">
        <f t="shared" si="8"/>
        <v>0.84292627828386713</v>
      </c>
      <c r="H9">
        <v>5312</v>
      </c>
      <c r="I9" t="s">
        <v>8</v>
      </c>
      <c r="J9">
        <v>7.95</v>
      </c>
      <c r="K9" s="9">
        <f t="shared" si="0"/>
        <v>3.2173650000000005E-2</v>
      </c>
      <c r="L9" s="9">
        <f t="shared" si="1"/>
        <v>3.217365</v>
      </c>
      <c r="M9" s="1">
        <f t="shared" si="2"/>
        <v>3.5050870834164023</v>
      </c>
      <c r="N9" s="1">
        <f t="shared" si="3"/>
        <v>28.529961630091702</v>
      </c>
      <c r="O9">
        <v>6.08</v>
      </c>
      <c r="P9" s="1">
        <f t="shared" si="4"/>
        <v>2.4605760000000001E-2</v>
      </c>
      <c r="Q9" s="1">
        <f t="shared" si="5"/>
        <v>2.4605760000000001</v>
      </c>
      <c r="R9" s="1">
        <f t="shared" si="6"/>
        <v>2.6806200587637394</v>
      </c>
      <c r="S9" s="1">
        <f t="shared" si="7"/>
        <v>37.304801802504777</v>
      </c>
      <c r="T9" s="1">
        <f>1.62719/4.28625</f>
        <v>0.37963021289005539</v>
      </c>
      <c r="U9" s="1">
        <f>1/T9</f>
        <v>2.6341422943847985</v>
      </c>
      <c r="V9" s="1">
        <f>T9*R9</f>
        <v>1.0176443635858312</v>
      </c>
      <c r="W9">
        <v>38.231990000000003</v>
      </c>
      <c r="X9">
        <v>-122.092904</v>
      </c>
      <c r="Y9" t="s">
        <v>21</v>
      </c>
      <c r="AA9" t="s">
        <v>94</v>
      </c>
      <c r="AB9" s="15">
        <v>0.14799999999999999</v>
      </c>
      <c r="AC9" s="15" t="s">
        <v>399</v>
      </c>
      <c r="AD9" s="15" t="s">
        <v>78</v>
      </c>
      <c r="AE9" t="s">
        <v>29</v>
      </c>
      <c r="AF9" t="s">
        <v>34</v>
      </c>
      <c r="AG9" s="15" t="s">
        <v>353</v>
      </c>
      <c r="AI9">
        <v>1</v>
      </c>
      <c r="AK9">
        <v>2242.61</v>
      </c>
      <c r="AL9">
        <f t="shared" si="9"/>
        <v>1.562949903646377</v>
      </c>
      <c r="AM9">
        <v>2313.21</v>
      </c>
      <c r="AN9">
        <f t="shared" si="10"/>
        <v>1.5152481112464506</v>
      </c>
      <c r="AO9">
        <v>1468.97</v>
      </c>
      <c r="AP9">
        <f t="shared" si="11"/>
        <v>2.3860848645080583</v>
      </c>
    </row>
    <row r="10" spans="1:42" x14ac:dyDescent="0.3">
      <c r="A10" s="11" t="s">
        <v>26</v>
      </c>
      <c r="B10" s="11" t="s">
        <v>52</v>
      </c>
      <c r="C10">
        <v>2009</v>
      </c>
      <c r="D10" s="42">
        <v>924.13400000000001</v>
      </c>
      <c r="E10" s="94">
        <v>1102.08</v>
      </c>
      <c r="F10" s="308">
        <f t="shared" si="8"/>
        <v>0.83853622241579562</v>
      </c>
      <c r="H10">
        <v>5376</v>
      </c>
      <c r="I10" t="s">
        <v>33</v>
      </c>
      <c r="J10">
        <v>9</v>
      </c>
      <c r="K10" s="9">
        <f t="shared" si="0"/>
        <v>3.6423000000000004E-2</v>
      </c>
      <c r="L10" s="9">
        <f t="shared" si="1"/>
        <v>3.6423000000000001</v>
      </c>
      <c r="M10" s="1">
        <f t="shared" si="2"/>
        <v>3.9413115413998403</v>
      </c>
      <c r="N10" s="1">
        <f t="shared" si="3"/>
        <v>25.372264777750321</v>
      </c>
      <c r="O10">
        <v>6.5339999999999998</v>
      </c>
      <c r="P10" s="1">
        <f t="shared" si="4"/>
        <v>2.6443098000000002E-2</v>
      </c>
      <c r="Q10" s="1">
        <f t="shared" si="5"/>
        <v>2.6443097999999998</v>
      </c>
      <c r="R10" s="1">
        <f t="shared" si="6"/>
        <v>2.861392179056284</v>
      </c>
      <c r="S10" s="1">
        <f t="shared" si="7"/>
        <v>34.948023109848926</v>
      </c>
      <c r="T10" s="1">
        <f>1.94469/5.67531</f>
        <v>0.34265793410404016</v>
      </c>
      <c r="U10" s="1">
        <f>1/T10</f>
        <v>2.918362309674035</v>
      </c>
      <c r="V10" s="1">
        <f>T10*R10</f>
        <v>0.98047873273688402</v>
      </c>
      <c r="W10">
        <v>34.594321000000001</v>
      </c>
      <c r="X10">
        <v>-117.19450999999999</v>
      </c>
      <c r="Y10" t="s">
        <v>21</v>
      </c>
      <c r="AA10" t="s">
        <v>94</v>
      </c>
      <c r="AB10" s="138">
        <v>0.14799999999999999</v>
      </c>
      <c r="AC10" s="15" t="s">
        <v>399</v>
      </c>
      <c r="AD10" s="15" t="s">
        <v>78</v>
      </c>
      <c r="AE10" t="s">
        <v>29</v>
      </c>
      <c r="AF10" t="s">
        <v>53</v>
      </c>
      <c r="AG10" s="15" t="s">
        <v>353</v>
      </c>
      <c r="AI10">
        <v>1</v>
      </c>
      <c r="AK10">
        <v>2749.51</v>
      </c>
      <c r="AL10">
        <f t="shared" si="9"/>
        <v>1.4334596133128592</v>
      </c>
      <c r="AM10">
        <v>2313.12</v>
      </c>
      <c r="AN10">
        <f t="shared" si="10"/>
        <v>1.7038941089955733</v>
      </c>
      <c r="AO10">
        <v>1468.74</v>
      </c>
      <c r="AP10">
        <f t="shared" si="11"/>
        <v>2.6834644262427934</v>
      </c>
    </row>
    <row r="11" spans="1:42" x14ac:dyDescent="0.3">
      <c r="A11" s="11" t="s">
        <v>527</v>
      </c>
      <c r="B11" s="11" t="s">
        <v>526</v>
      </c>
      <c r="C11">
        <v>2010</v>
      </c>
      <c r="D11" s="42">
        <v>940</v>
      </c>
      <c r="E11" s="94">
        <v>1000</v>
      </c>
      <c r="F11" s="308">
        <f t="shared" si="8"/>
        <v>0.94</v>
      </c>
      <c r="H11">
        <v>4500</v>
      </c>
      <c r="I11" t="s">
        <v>389</v>
      </c>
      <c r="J11" s="74">
        <v>10</v>
      </c>
      <c r="K11" s="9">
        <f t="shared" si="0"/>
        <v>4.0470000000000006E-2</v>
      </c>
      <c r="L11" s="9">
        <f t="shared" si="1"/>
        <v>4.0469999999999997</v>
      </c>
      <c r="M11" s="1">
        <f t="shared" si="2"/>
        <v>4.30531914893617</v>
      </c>
      <c r="N11" s="1">
        <f t="shared" si="3"/>
        <v>23.227081788979486</v>
      </c>
      <c r="O11" s="11">
        <v>6.1</v>
      </c>
      <c r="P11" s="1">
        <f t="shared" si="4"/>
        <v>2.4686699999999999E-2</v>
      </c>
      <c r="Q11" s="1">
        <f t="shared" si="5"/>
        <v>2.4686699999999999</v>
      </c>
      <c r="R11" s="1">
        <f t="shared" si="6"/>
        <v>2.6262446808510638</v>
      </c>
      <c r="S11" s="1">
        <f t="shared" si="7"/>
        <v>38.077183260622114</v>
      </c>
      <c r="T11" s="11"/>
      <c r="U11" s="11"/>
      <c r="V11" s="11"/>
      <c r="W11" s="11">
        <v>35.25421</v>
      </c>
      <c r="X11" s="11">
        <v>-81.595889999999997</v>
      </c>
      <c r="Y11" t="s">
        <v>21</v>
      </c>
      <c r="AA11" s="11" t="s">
        <v>96</v>
      </c>
      <c r="AB11" s="15">
        <v>0.19</v>
      </c>
      <c r="AC11" s="11" t="s">
        <v>391</v>
      </c>
      <c r="AD11" t="s">
        <v>389</v>
      </c>
      <c r="AE11" t="s">
        <v>60</v>
      </c>
      <c r="AF11" t="s">
        <v>157</v>
      </c>
      <c r="AG11" s="15" t="s">
        <v>380</v>
      </c>
      <c r="AI11">
        <v>1</v>
      </c>
      <c r="AK11">
        <v>1938.31</v>
      </c>
      <c r="AL11">
        <f t="shared" si="9"/>
        <v>2.221171612866967</v>
      </c>
      <c r="AM11">
        <v>2313.83</v>
      </c>
      <c r="AN11">
        <f t="shared" si="10"/>
        <v>1.8606894840745305</v>
      </c>
      <c r="AO11">
        <v>1472.8</v>
      </c>
      <c r="AP11">
        <f t="shared" si="11"/>
        <v>2.9232204976481331</v>
      </c>
    </row>
    <row r="12" spans="1:42" x14ac:dyDescent="0.3">
      <c r="A12" s="11" t="s">
        <v>26</v>
      </c>
      <c r="B12" s="11" t="s">
        <v>46</v>
      </c>
      <c r="C12">
        <v>2008</v>
      </c>
      <c r="D12" s="42">
        <v>995.51400000000001</v>
      </c>
      <c r="E12" s="94">
        <v>1179.52</v>
      </c>
      <c r="F12" s="308">
        <f t="shared" si="8"/>
        <v>0.84399925393380359</v>
      </c>
      <c r="H12">
        <v>6208</v>
      </c>
      <c r="I12" t="s">
        <v>33</v>
      </c>
      <c r="J12">
        <v>12.13</v>
      </c>
      <c r="K12" s="9">
        <f t="shared" si="0"/>
        <v>4.9090110000000006E-2</v>
      </c>
      <c r="L12" s="9">
        <f t="shared" si="1"/>
        <v>4.9090110000000005</v>
      </c>
      <c r="M12" s="1">
        <f t="shared" si="2"/>
        <v>4.9311320584140459</v>
      </c>
      <c r="N12" s="1">
        <f t="shared" si="3"/>
        <v>20.279318991136908</v>
      </c>
      <c r="O12">
        <v>7.6</v>
      </c>
      <c r="P12" s="1">
        <f t="shared" si="4"/>
        <v>3.0757200000000002E-2</v>
      </c>
      <c r="Q12" s="1">
        <f t="shared" si="5"/>
        <v>3.07572</v>
      </c>
      <c r="R12" s="1">
        <f t="shared" si="6"/>
        <v>3.0895798552305642</v>
      </c>
      <c r="S12" s="1">
        <f t="shared" si="7"/>
        <v>32.366860442432987</v>
      </c>
      <c r="T12" s="1">
        <f>(15 +5/12 -10 - 4/12)/15.5</f>
        <v>0.32795698924731181</v>
      </c>
      <c r="U12" s="1">
        <f>1/T12</f>
        <v>3.0491803278688527</v>
      </c>
      <c r="V12" s="1">
        <f>T12*R12</f>
        <v>1.0132493073605613</v>
      </c>
      <c r="W12">
        <v>33.563845999999998</v>
      </c>
      <c r="X12">
        <v>-114.918655</v>
      </c>
      <c r="Y12" t="s">
        <v>21</v>
      </c>
      <c r="AA12" t="s">
        <v>94</v>
      </c>
      <c r="AB12" s="15">
        <v>0.12720000000000001</v>
      </c>
      <c r="AC12" s="15" t="s">
        <v>67</v>
      </c>
      <c r="AD12" s="15" t="s">
        <v>76</v>
      </c>
      <c r="AE12" t="s">
        <v>29</v>
      </c>
      <c r="AF12" t="s">
        <v>34</v>
      </c>
      <c r="AG12" s="15" t="s">
        <v>353</v>
      </c>
      <c r="AI12">
        <v>1</v>
      </c>
      <c r="AK12">
        <v>2623.37</v>
      </c>
      <c r="AL12">
        <f t="shared" si="9"/>
        <v>1.8796936987211283</v>
      </c>
      <c r="AM12">
        <v>2313.23</v>
      </c>
      <c r="AN12">
        <f t="shared" si="10"/>
        <v>2.1317085021437756</v>
      </c>
      <c r="AO12">
        <v>1469.02</v>
      </c>
      <c r="AP12">
        <f t="shared" si="11"/>
        <v>3.3567494373215112</v>
      </c>
    </row>
    <row r="13" spans="1:42" x14ac:dyDescent="0.3">
      <c r="A13" s="11" t="s">
        <v>3</v>
      </c>
      <c r="B13" t="s">
        <v>32</v>
      </c>
      <c r="C13">
        <v>2009</v>
      </c>
      <c r="D13" s="42">
        <v>1000</v>
      </c>
      <c r="E13" s="94">
        <v>1083</v>
      </c>
      <c r="F13" s="308">
        <f t="shared" si="8"/>
        <v>0.92336103416435822</v>
      </c>
      <c r="H13">
        <v>5670</v>
      </c>
      <c r="I13" t="s">
        <v>33</v>
      </c>
      <c r="J13">
        <v>10.66</v>
      </c>
      <c r="K13" s="9">
        <f t="shared" si="0"/>
        <v>4.3141020000000002E-2</v>
      </c>
      <c r="L13" s="9">
        <f t="shared" si="1"/>
        <v>4.3141020000000001</v>
      </c>
      <c r="M13" s="1">
        <f t="shared" si="2"/>
        <v>4.3141020000000001</v>
      </c>
      <c r="N13" s="1">
        <f t="shared" si="3"/>
        <v>23.179795007164874</v>
      </c>
      <c r="O13">
        <v>6.6</v>
      </c>
      <c r="P13" s="1">
        <f t="shared" si="4"/>
        <v>2.67102E-2</v>
      </c>
      <c r="Q13" s="1">
        <f t="shared" si="5"/>
        <v>2.6710199999999999</v>
      </c>
      <c r="R13" s="1">
        <f t="shared" si="6"/>
        <v>2.6710199999999999</v>
      </c>
      <c r="S13" s="1">
        <f t="shared" si="7"/>
        <v>37.438881026723877</v>
      </c>
      <c r="T13" s="1">
        <f>1.78594/3.84969</f>
        <v>0.46391787390673017</v>
      </c>
      <c r="U13" s="1">
        <f>1/T13</f>
        <v>2.1555539379822388</v>
      </c>
      <c r="V13" s="1">
        <f>T13*R13</f>
        <v>1.2391339195623543</v>
      </c>
      <c r="W13">
        <v>39.909672999999998</v>
      </c>
      <c r="X13">
        <v>-105.231408</v>
      </c>
      <c r="Y13" t="s">
        <v>21</v>
      </c>
      <c r="AA13" t="s">
        <v>95</v>
      </c>
      <c r="AB13" s="15">
        <v>0.1305</v>
      </c>
      <c r="AC13" s="15" t="s">
        <v>67</v>
      </c>
      <c r="AD13" s="15" t="s">
        <v>70</v>
      </c>
      <c r="AE13" t="s">
        <v>29</v>
      </c>
      <c r="AF13" t="s">
        <v>34</v>
      </c>
      <c r="AG13" s="15" t="s">
        <v>353</v>
      </c>
      <c r="AI13">
        <v>1</v>
      </c>
      <c r="AK13">
        <v>2233.86</v>
      </c>
      <c r="AL13">
        <f t="shared" si="9"/>
        <v>1.9312320378179475</v>
      </c>
      <c r="AM13">
        <v>2313.87</v>
      </c>
      <c r="AN13">
        <f t="shared" si="10"/>
        <v>1.8644530591606274</v>
      </c>
      <c r="AO13">
        <v>1472.28</v>
      </c>
      <c r="AP13">
        <f t="shared" si="11"/>
        <v>2.9302184367104087</v>
      </c>
    </row>
    <row r="14" spans="1:42" x14ac:dyDescent="0.3">
      <c r="A14" s="11" t="s">
        <v>160</v>
      </c>
      <c r="B14" s="11" t="s">
        <v>519</v>
      </c>
      <c r="C14">
        <v>2011</v>
      </c>
      <c r="D14" s="42">
        <v>1000</v>
      </c>
      <c r="E14" s="94">
        <v>1140.48</v>
      </c>
      <c r="F14" s="308">
        <f t="shared" si="8"/>
        <v>0.87682379349046013</v>
      </c>
      <c r="G14">
        <v>5</v>
      </c>
      <c r="H14">
        <v>4224</v>
      </c>
      <c r="I14" t="s">
        <v>8</v>
      </c>
      <c r="J14" s="74">
        <v>9.1539999999999999</v>
      </c>
      <c r="K14" s="9">
        <f t="shared" si="0"/>
        <v>3.7046238000000002E-2</v>
      </c>
      <c r="L14" s="9">
        <f t="shared" si="1"/>
        <v>3.7046237999999998</v>
      </c>
      <c r="M14" s="1">
        <f t="shared" si="2"/>
        <v>3.7046237999999998</v>
      </c>
      <c r="N14" s="1">
        <f t="shared" si="3"/>
        <v>26.993294163904036</v>
      </c>
      <c r="O14" s="11">
        <v>6.91</v>
      </c>
      <c r="P14" s="1">
        <f t="shared" si="4"/>
        <v>2.7964770000000003E-2</v>
      </c>
      <c r="Q14" s="1">
        <f t="shared" si="5"/>
        <v>2.7964769999999999</v>
      </c>
      <c r="R14" s="1">
        <f t="shared" si="6"/>
        <v>2.7964769999999999</v>
      </c>
      <c r="S14" s="1">
        <f t="shared" si="7"/>
        <v>35.759278549403405</v>
      </c>
      <c r="T14" s="11"/>
      <c r="U14" s="11"/>
      <c r="V14" s="11"/>
      <c r="W14" s="11">
        <v>35.629170000000002</v>
      </c>
      <c r="X14" s="11">
        <v>-106.08602999999999</v>
      </c>
      <c r="Y14" t="s">
        <v>21</v>
      </c>
      <c r="Z14" t="s">
        <v>520</v>
      </c>
      <c r="AA14" s="11"/>
      <c r="AB14" s="15">
        <v>0.13900000000000001</v>
      </c>
      <c r="AC14" s="11" t="s">
        <v>399</v>
      </c>
      <c r="AD14" s="30" t="s">
        <v>521</v>
      </c>
      <c r="AE14" t="s">
        <v>60</v>
      </c>
      <c r="AF14" t="s">
        <v>475</v>
      </c>
      <c r="AG14" s="15" t="s">
        <v>385</v>
      </c>
      <c r="AI14">
        <v>1</v>
      </c>
      <c r="AK14">
        <v>2589.9899999999998</v>
      </c>
      <c r="AL14">
        <f t="shared" si="9"/>
        <v>1.4303622021706648</v>
      </c>
      <c r="AM14">
        <v>2313.6799999999998</v>
      </c>
      <c r="AN14">
        <f t="shared" si="10"/>
        <v>1.6011824452819752</v>
      </c>
      <c r="AO14">
        <v>1470.54</v>
      </c>
      <c r="AP14">
        <f t="shared" si="11"/>
        <v>2.51922681463952</v>
      </c>
    </row>
    <row r="15" spans="1:42" ht="15.6" x14ac:dyDescent="0.3">
      <c r="A15" s="11" t="s">
        <v>26</v>
      </c>
      <c r="B15" s="11" t="s">
        <v>451</v>
      </c>
      <c r="C15">
        <v>2011</v>
      </c>
      <c r="D15" s="42">
        <v>1000</v>
      </c>
      <c r="E15" s="94">
        <v>1159.2</v>
      </c>
      <c r="F15" s="308">
        <f t="shared" si="8"/>
        <v>0.86266390614216693</v>
      </c>
      <c r="G15">
        <v>5.7</v>
      </c>
      <c r="H15">
        <v>5152</v>
      </c>
      <c r="I15" t="s">
        <v>452</v>
      </c>
      <c r="J15" s="74">
        <v>11.4</v>
      </c>
      <c r="K15" s="9">
        <f t="shared" si="0"/>
        <v>4.6135800000000005E-2</v>
      </c>
      <c r="L15" s="9">
        <f t="shared" si="1"/>
        <v>4.6135799999999998</v>
      </c>
      <c r="M15" s="1">
        <f t="shared" si="2"/>
        <v>4.6135799999999998</v>
      </c>
      <c r="N15" s="1">
        <f t="shared" si="3"/>
        <v>21.675141647050662</v>
      </c>
      <c r="O15">
        <v>7.44</v>
      </c>
      <c r="P15" s="1">
        <f t="shared" si="4"/>
        <v>3.0109680000000003E-2</v>
      </c>
      <c r="Q15" s="1">
        <f t="shared" si="5"/>
        <v>3.0109680000000001</v>
      </c>
      <c r="R15" s="1">
        <f t="shared" si="6"/>
        <v>3.0109680000000001</v>
      </c>
      <c r="S15" s="1">
        <f t="shared" si="7"/>
        <v>33.211910588222786</v>
      </c>
      <c r="W15">
        <v>37.633339999999997</v>
      </c>
      <c r="X15">
        <v>-122.139881</v>
      </c>
      <c r="Y15" t="s">
        <v>21</v>
      </c>
      <c r="AA15" s="11" t="s">
        <v>96</v>
      </c>
      <c r="AB15" s="15">
        <v>0.13600000000000001</v>
      </c>
      <c r="AC15" t="s">
        <v>399</v>
      </c>
      <c r="AD15" s="139" t="s">
        <v>453</v>
      </c>
      <c r="AE15" t="s">
        <v>29</v>
      </c>
      <c r="AF15" t="s">
        <v>157</v>
      </c>
      <c r="AG15" s="15" t="s">
        <v>380</v>
      </c>
      <c r="AI15">
        <v>1</v>
      </c>
      <c r="AK15">
        <v>2175.94</v>
      </c>
      <c r="AL15">
        <f t="shared" si="9"/>
        <v>2.1202698603821797</v>
      </c>
      <c r="AM15">
        <v>2313.5300000000002</v>
      </c>
      <c r="AN15">
        <f t="shared" si="10"/>
        <v>1.99417340600727</v>
      </c>
      <c r="AO15">
        <v>1469.92</v>
      </c>
      <c r="AP15">
        <f t="shared" si="11"/>
        <v>3.1386606073799932</v>
      </c>
    </row>
    <row r="16" spans="1:42" x14ac:dyDescent="0.3">
      <c r="A16" s="11" t="s">
        <v>47</v>
      </c>
      <c r="B16" s="11" t="s">
        <v>48</v>
      </c>
      <c r="C16">
        <v>2008</v>
      </c>
      <c r="D16" s="42">
        <v>1000</v>
      </c>
      <c r="E16" s="94">
        <v>1189</v>
      </c>
      <c r="F16" s="308">
        <f t="shared" si="8"/>
        <v>0.84104289318755254</v>
      </c>
      <c r="H16">
        <v>5730</v>
      </c>
      <c r="I16" t="s">
        <v>8</v>
      </c>
      <c r="J16">
        <v>9.5</v>
      </c>
      <c r="K16" s="9">
        <f t="shared" si="0"/>
        <v>3.8446500000000002E-2</v>
      </c>
      <c r="L16" s="9">
        <f t="shared" si="1"/>
        <v>3.8446500000000001</v>
      </c>
      <c r="M16" s="1">
        <f t="shared" si="2"/>
        <v>3.8446500000000001</v>
      </c>
      <c r="N16" s="1">
        <f t="shared" si="3"/>
        <v>26.010169976460794</v>
      </c>
      <c r="O16">
        <v>7.66</v>
      </c>
      <c r="P16" s="1">
        <f t="shared" si="4"/>
        <v>3.1000020000000003E-2</v>
      </c>
      <c r="Q16" s="1">
        <f t="shared" si="5"/>
        <v>3.1000019999999999</v>
      </c>
      <c r="R16" s="1">
        <f t="shared" si="6"/>
        <v>3.1000019999999999</v>
      </c>
      <c r="S16" s="1">
        <f t="shared" si="7"/>
        <v>32.258043704487932</v>
      </c>
      <c r="T16" s="1">
        <f>6.5/19.5</f>
        <v>0.33333333333333331</v>
      </c>
      <c r="U16" s="1">
        <f>1/T16</f>
        <v>3</v>
      </c>
      <c r="V16" s="1">
        <f>T16*R16</f>
        <v>1.033334</v>
      </c>
      <c r="W16">
        <v>34.288353999999998</v>
      </c>
      <c r="X16">
        <v>-77.981172000000001</v>
      </c>
      <c r="Y16" t="s">
        <v>21</v>
      </c>
      <c r="AA16" t="s">
        <v>94</v>
      </c>
      <c r="AB16" s="15">
        <v>0.13800000000000001</v>
      </c>
      <c r="AC16" s="15" t="s">
        <v>399</v>
      </c>
      <c r="AD16" s="15" t="s">
        <v>77</v>
      </c>
      <c r="AE16" t="s">
        <v>29</v>
      </c>
      <c r="AF16" t="s">
        <v>34</v>
      </c>
      <c r="AG16" s="15" t="s">
        <v>353</v>
      </c>
      <c r="AI16">
        <v>1</v>
      </c>
      <c r="AK16">
        <v>1944.16</v>
      </c>
      <c r="AL16">
        <f t="shared" si="9"/>
        <v>1.9775378569665045</v>
      </c>
      <c r="AM16">
        <v>2313.17</v>
      </c>
      <c r="AN16">
        <f t="shared" si="10"/>
        <v>1.6620698003173136</v>
      </c>
      <c r="AO16">
        <v>1468.87</v>
      </c>
      <c r="AP16">
        <f t="shared" si="11"/>
        <v>2.6174201937543828</v>
      </c>
    </row>
    <row r="17" spans="1:42" x14ac:dyDescent="0.3">
      <c r="A17" s="77" t="s">
        <v>3</v>
      </c>
      <c r="B17" s="11" t="s">
        <v>44</v>
      </c>
      <c r="C17">
        <v>2009</v>
      </c>
      <c r="D17" s="42">
        <v>1329.79</v>
      </c>
      <c r="E17" s="94">
        <v>1727</v>
      </c>
      <c r="F17" s="308">
        <f t="shared" si="8"/>
        <v>0.77</v>
      </c>
      <c r="H17">
        <v>6248</v>
      </c>
      <c r="I17" t="s">
        <v>8</v>
      </c>
      <c r="J17">
        <v>10.78</v>
      </c>
      <c r="K17" s="9">
        <f t="shared" si="0"/>
        <v>4.3626659999999998E-2</v>
      </c>
      <c r="L17" s="9">
        <f t="shared" si="1"/>
        <v>4.3626659999999999</v>
      </c>
      <c r="M17" s="1">
        <f t="shared" si="2"/>
        <v>3.2807180081065432</v>
      </c>
      <c r="N17" s="1">
        <f t="shared" si="3"/>
        <v>30.481132408486005</v>
      </c>
      <c r="O17">
        <v>7.61</v>
      </c>
      <c r="P17" s="1">
        <f t="shared" si="4"/>
        <v>3.0797670000000003E-2</v>
      </c>
      <c r="Q17" s="1">
        <f t="shared" si="5"/>
        <v>3.0797670000000004</v>
      </c>
      <c r="R17" s="1">
        <f t="shared" si="6"/>
        <v>2.3159799667616694</v>
      </c>
      <c r="S17" s="1">
        <f t="shared" si="7"/>
        <v>43.178266407815912</v>
      </c>
      <c r="T17" s="1">
        <f>0.64823/1.48167</f>
        <v>0.43749957817867674</v>
      </c>
      <c r="U17" s="1">
        <f>1/T17</f>
        <v>2.2857164895176094</v>
      </c>
      <c r="V17" s="1">
        <f>T17*R17</f>
        <v>1.0132402585284961</v>
      </c>
      <c r="W17">
        <v>39.525114000000002</v>
      </c>
      <c r="X17">
        <v>-107.814288</v>
      </c>
      <c r="Y17" t="s">
        <v>21</v>
      </c>
      <c r="AA17" t="s">
        <v>96</v>
      </c>
      <c r="AB17" s="15">
        <v>0.13919999999999999</v>
      </c>
      <c r="AC17" s="15" t="s">
        <v>391</v>
      </c>
      <c r="AD17" s="15" t="s">
        <v>74</v>
      </c>
      <c r="AE17" t="s">
        <v>29</v>
      </c>
      <c r="AF17" t="s">
        <v>34</v>
      </c>
      <c r="AG17" s="15" t="s">
        <v>353</v>
      </c>
      <c r="AI17">
        <v>1</v>
      </c>
      <c r="AK17">
        <v>2336.41</v>
      </c>
      <c r="AL17">
        <f t="shared" si="9"/>
        <v>1.4041705043663326</v>
      </c>
      <c r="AM17">
        <v>2310.67</v>
      </c>
      <c r="AN17">
        <f t="shared" si="10"/>
        <v>1.4198124388625564</v>
      </c>
      <c r="AO17">
        <v>1464.44</v>
      </c>
      <c r="AP17">
        <f t="shared" si="11"/>
        <v>2.240254300692786</v>
      </c>
    </row>
    <row r="18" spans="1:42" x14ac:dyDescent="0.3">
      <c r="A18" s="11" t="s">
        <v>26</v>
      </c>
      <c r="B18" s="11" t="s">
        <v>173</v>
      </c>
      <c r="C18">
        <v>2010</v>
      </c>
      <c r="D18" s="42">
        <v>5000</v>
      </c>
      <c r="E18" s="94">
        <v>6200</v>
      </c>
      <c r="F18" s="308">
        <f t="shared" si="8"/>
        <v>0.80645161290322576</v>
      </c>
      <c r="H18">
        <v>50000</v>
      </c>
      <c r="J18">
        <v>48.7</v>
      </c>
      <c r="K18" s="9">
        <f t="shared" si="0"/>
        <v>0.19708890000000001</v>
      </c>
      <c r="L18" s="9">
        <f t="shared" si="1"/>
        <v>19.70889</v>
      </c>
      <c r="M18" s="1">
        <f t="shared" si="2"/>
        <v>3.9417780000000002</v>
      </c>
      <c r="N18" s="1">
        <f t="shared" si="3"/>
        <v>25.369262297369357</v>
      </c>
      <c r="O18">
        <v>37.5</v>
      </c>
      <c r="P18" s="1">
        <f t="shared" si="4"/>
        <v>0.15176250000000002</v>
      </c>
      <c r="Q18" s="1">
        <f t="shared" si="5"/>
        <v>15.17625</v>
      </c>
      <c r="R18" s="1">
        <f t="shared" si="6"/>
        <v>3.03525</v>
      </c>
      <c r="S18" s="1">
        <f t="shared" si="7"/>
        <v>32.946215303517</v>
      </c>
      <c r="T18" s="1"/>
      <c r="U18" s="1"/>
      <c r="V18" s="1"/>
      <c r="W18" s="53">
        <v>36.759613000000002</v>
      </c>
      <c r="X18" s="53" t="s">
        <v>255</v>
      </c>
      <c r="Y18" t="s">
        <v>21</v>
      </c>
      <c r="AA18" t="s">
        <v>96</v>
      </c>
      <c r="AB18" s="15">
        <v>0.09</v>
      </c>
      <c r="AC18" s="15" t="s">
        <v>216</v>
      </c>
      <c r="AD18" s="15" t="s">
        <v>174</v>
      </c>
      <c r="AE18" t="s">
        <v>29</v>
      </c>
      <c r="AF18" t="s">
        <v>157</v>
      </c>
      <c r="AG18" s="15" t="s">
        <v>352</v>
      </c>
      <c r="AI18">
        <v>1</v>
      </c>
      <c r="AK18">
        <v>2309.87</v>
      </c>
      <c r="AL18">
        <f t="shared" si="9"/>
        <v>1.7064934390247068</v>
      </c>
      <c r="AM18">
        <v>2312.2399999999998</v>
      </c>
      <c r="AN18">
        <f t="shared" si="10"/>
        <v>1.704744317198907</v>
      </c>
      <c r="AO18">
        <v>1466.94</v>
      </c>
      <c r="AP18">
        <f t="shared" si="11"/>
        <v>2.6870751359973823</v>
      </c>
    </row>
    <row r="19" spans="1:42" x14ac:dyDescent="0.3">
      <c r="A19" t="s">
        <v>47</v>
      </c>
      <c r="B19" t="s">
        <v>727</v>
      </c>
      <c r="C19">
        <v>2011</v>
      </c>
      <c r="D19" s="108">
        <v>5000</v>
      </c>
      <c r="E19" s="98">
        <v>6400</v>
      </c>
      <c r="F19" s="308">
        <f t="shared" si="8"/>
        <v>0.78125</v>
      </c>
      <c r="I19" t="s">
        <v>728</v>
      </c>
      <c r="J19">
        <v>28.7</v>
      </c>
      <c r="K19" s="9">
        <f t="shared" si="0"/>
        <v>0.1161489</v>
      </c>
      <c r="L19" s="9">
        <f t="shared" si="1"/>
        <v>11.614889999999999</v>
      </c>
      <c r="M19" s="9">
        <f t="shared" si="2"/>
        <v>2.322978</v>
      </c>
      <c r="N19" s="9">
        <f t="shared" si="3"/>
        <v>43.048190727591908</v>
      </c>
      <c r="O19">
        <v>23.9</v>
      </c>
      <c r="P19" s="1">
        <f t="shared" si="4"/>
        <v>9.6723299999999998E-2</v>
      </c>
      <c r="Q19" s="1">
        <f t="shared" si="5"/>
        <v>9.6723299999999988</v>
      </c>
      <c r="R19" s="1">
        <f t="shared" si="6"/>
        <v>1.9344659999999998</v>
      </c>
      <c r="S19" s="1">
        <f t="shared" si="7"/>
        <v>51.693852463677317</v>
      </c>
      <c r="T19">
        <v>0.48823499999999997</v>
      </c>
      <c r="U19" s="1">
        <f>1/T19</f>
        <v>2.0481940049361476</v>
      </c>
      <c r="V19" s="1">
        <f>T19*R19</f>
        <v>0.94447400750999988</v>
      </c>
      <c r="W19">
        <v>36.424790000000002</v>
      </c>
      <c r="X19">
        <v>-77.06438</v>
      </c>
      <c r="Y19" t="s">
        <v>21</v>
      </c>
      <c r="AB19" s="15">
        <v>0.19</v>
      </c>
      <c r="AC19" t="s">
        <v>391</v>
      </c>
      <c r="AD19" t="s">
        <v>389</v>
      </c>
      <c r="AE19" t="s">
        <v>29</v>
      </c>
      <c r="AF19" t="s">
        <v>475</v>
      </c>
      <c r="AG19" t="s">
        <v>252</v>
      </c>
      <c r="AI19">
        <v>1</v>
      </c>
      <c r="AK19">
        <v>1904.63</v>
      </c>
      <c r="AL19">
        <f t="shared" si="9"/>
        <v>1.2196479106178102</v>
      </c>
      <c r="AM19">
        <v>2311.23</v>
      </c>
      <c r="AN19">
        <f t="shared" si="10"/>
        <v>1.0050830077491206</v>
      </c>
      <c r="AO19">
        <v>1465.27</v>
      </c>
      <c r="AP19">
        <f t="shared" si="11"/>
        <v>1.5853583298641205</v>
      </c>
    </row>
    <row r="20" spans="1:42" x14ac:dyDescent="0.3">
      <c r="A20" t="s">
        <v>26</v>
      </c>
      <c r="B20" t="s">
        <v>652</v>
      </c>
      <c r="C20">
        <v>2011</v>
      </c>
      <c r="D20" s="108">
        <v>9400</v>
      </c>
      <c r="E20" s="98">
        <v>12000</v>
      </c>
      <c r="F20" s="308">
        <f t="shared" si="8"/>
        <v>0.78333333333333333</v>
      </c>
      <c r="I20" t="s">
        <v>167</v>
      </c>
      <c r="J20">
        <v>73.849999999999994</v>
      </c>
      <c r="K20" s="9">
        <f t="shared" si="0"/>
        <v>0.29887094999999997</v>
      </c>
      <c r="L20" s="9">
        <f t="shared" si="1"/>
        <v>29.887094999999999</v>
      </c>
      <c r="M20" s="9">
        <f t="shared" si="2"/>
        <v>3.1794781914893613</v>
      </c>
      <c r="N20" s="9">
        <f t="shared" si="3"/>
        <v>31.451701813106965</v>
      </c>
      <c r="O20">
        <v>55.127000000000002</v>
      </c>
      <c r="P20" s="1">
        <f t="shared" si="4"/>
        <v>0.22309896900000004</v>
      </c>
      <c r="Q20" s="1">
        <f t="shared" si="5"/>
        <v>22.309896900000002</v>
      </c>
      <c r="R20" s="1">
        <f t="shared" si="6"/>
        <v>2.3733932872340429</v>
      </c>
      <c r="S20" s="1">
        <f t="shared" si="7"/>
        <v>42.133767099569155</v>
      </c>
      <c r="W20">
        <v>38.464930000000003</v>
      </c>
      <c r="X20">
        <v>-121.17901000000001</v>
      </c>
      <c r="Y20" t="s">
        <v>21</v>
      </c>
      <c r="AA20" t="s">
        <v>95</v>
      </c>
      <c r="AB20" s="15">
        <v>0.14699999999999999</v>
      </c>
      <c r="AC20" t="s">
        <v>399</v>
      </c>
      <c r="AD20" t="s">
        <v>649</v>
      </c>
      <c r="AE20" t="s">
        <v>29</v>
      </c>
      <c r="AF20" t="s">
        <v>475</v>
      </c>
      <c r="AG20" t="s">
        <v>252</v>
      </c>
      <c r="AI20">
        <v>1</v>
      </c>
      <c r="AK20">
        <v>2210.9699999999998</v>
      </c>
      <c r="AL20">
        <f t="shared" si="9"/>
        <v>1.4380467358170221</v>
      </c>
      <c r="AM20">
        <v>2311.3200000000002</v>
      </c>
      <c r="AN20">
        <f t="shared" si="10"/>
        <v>1.3756114218236164</v>
      </c>
      <c r="AO20">
        <v>1465.41</v>
      </c>
      <c r="AP20">
        <f t="shared" si="11"/>
        <v>2.1696850652645749</v>
      </c>
    </row>
    <row r="21" spans="1:42" x14ac:dyDescent="0.3">
      <c r="A21" t="s">
        <v>35</v>
      </c>
      <c r="B21" t="s">
        <v>633</v>
      </c>
      <c r="C21">
        <v>2006</v>
      </c>
      <c r="D21" s="108">
        <v>10000</v>
      </c>
      <c r="E21" s="98">
        <v>11750</v>
      </c>
      <c r="F21" s="308">
        <f t="shared" si="8"/>
        <v>0.85106382978723405</v>
      </c>
      <c r="H21">
        <v>43000</v>
      </c>
      <c r="I21" t="s">
        <v>639</v>
      </c>
      <c r="J21">
        <v>80</v>
      </c>
      <c r="K21" s="9">
        <f t="shared" si="0"/>
        <v>0.32376000000000005</v>
      </c>
      <c r="L21" s="9">
        <f t="shared" si="1"/>
        <v>32.375999999999998</v>
      </c>
      <c r="M21" s="9">
        <f t="shared" si="2"/>
        <v>3.2375999999999996</v>
      </c>
      <c r="N21" s="9">
        <f t="shared" si="3"/>
        <v>30.88707684704719</v>
      </c>
      <c r="W21">
        <v>34.690739999999998</v>
      </c>
      <c r="X21">
        <v>-112.40475000000001</v>
      </c>
      <c r="Y21" t="s">
        <v>21</v>
      </c>
      <c r="AB21" s="111"/>
      <c r="AE21" t="s">
        <v>109</v>
      </c>
      <c r="AI21">
        <v>1</v>
      </c>
      <c r="AK21">
        <v>2669.99</v>
      </c>
      <c r="AL21">
        <f t="shared" si="9"/>
        <v>1.2125888111940493</v>
      </c>
      <c r="AM21">
        <v>2313.35</v>
      </c>
      <c r="AN21">
        <f t="shared" si="10"/>
        <v>1.3995288218384594</v>
      </c>
      <c r="AO21">
        <v>1469.37</v>
      </c>
      <c r="AP21">
        <f t="shared" si="11"/>
        <v>2.203393291002266</v>
      </c>
    </row>
    <row r="22" spans="1:42" x14ac:dyDescent="0.3">
      <c r="A22" s="11" t="s">
        <v>429</v>
      </c>
      <c r="B22" s="11" t="s">
        <v>430</v>
      </c>
      <c r="C22">
        <v>2011</v>
      </c>
      <c r="D22" s="94">
        <v>10000</v>
      </c>
      <c r="E22" s="18">
        <f>D22/$I$186</f>
        <v>11745.254232357105</v>
      </c>
      <c r="F22" s="308">
        <f t="shared" si="8"/>
        <v>0.85140770920487285</v>
      </c>
      <c r="G22">
        <v>50</v>
      </c>
      <c r="H22">
        <v>34258</v>
      </c>
      <c r="I22" t="s">
        <v>432</v>
      </c>
      <c r="J22" s="74">
        <v>103</v>
      </c>
      <c r="K22" s="9">
        <f t="shared" si="0"/>
        <v>0.41684100000000002</v>
      </c>
      <c r="L22" s="9">
        <f t="shared" si="1"/>
        <v>41.684100000000001</v>
      </c>
      <c r="M22" s="1">
        <f t="shared" si="2"/>
        <v>4.1684099999999997</v>
      </c>
      <c r="N22" s="1">
        <f t="shared" si="3"/>
        <v>23.989962599648305</v>
      </c>
      <c r="O22">
        <v>50.33</v>
      </c>
      <c r="P22" s="1">
        <f>O22*0.004047</f>
        <v>0.20368551000000001</v>
      </c>
      <c r="Q22" s="1">
        <f>O22*0.4047</f>
        <v>20.368551</v>
      </c>
      <c r="R22" s="1">
        <f>Q22/(D22/1000)</f>
        <v>2.0368550999999999</v>
      </c>
      <c r="S22" s="1">
        <f>D22/1000/P22</f>
        <v>49.095294014777977</v>
      </c>
      <c r="W22">
        <v>39.184851000000002</v>
      </c>
      <c r="X22">
        <v>-75.502167</v>
      </c>
      <c r="Y22" t="s">
        <v>21</v>
      </c>
      <c r="AA22" s="11" t="s">
        <v>96</v>
      </c>
      <c r="AB22" s="111">
        <v>0.20100000000000001</v>
      </c>
      <c r="AC22" t="s">
        <v>391</v>
      </c>
      <c r="AD22" t="s">
        <v>431</v>
      </c>
      <c r="AE22" t="s">
        <v>60</v>
      </c>
      <c r="AF22" t="s">
        <v>433</v>
      </c>
      <c r="AG22" s="15" t="s">
        <v>380</v>
      </c>
      <c r="AI22">
        <v>1</v>
      </c>
      <c r="AK22">
        <v>1832.55</v>
      </c>
      <c r="AL22">
        <f t="shared" si="9"/>
        <v>2.2746500777604974</v>
      </c>
      <c r="AM22">
        <v>2313.31</v>
      </c>
      <c r="AN22">
        <f t="shared" si="10"/>
        <v>1.8019245150887688</v>
      </c>
      <c r="AO22">
        <v>1469.36</v>
      </c>
      <c r="AP22">
        <f t="shared" si="11"/>
        <v>2.836888168998748</v>
      </c>
    </row>
    <row r="23" spans="1:42" x14ac:dyDescent="0.3">
      <c r="A23" s="11" t="s">
        <v>107</v>
      </c>
      <c r="B23" s="11" t="s">
        <v>141</v>
      </c>
      <c r="C23">
        <v>2007</v>
      </c>
      <c r="D23" s="42">
        <v>13500</v>
      </c>
      <c r="E23" s="94">
        <v>18000</v>
      </c>
      <c r="F23" s="308">
        <f t="shared" si="8"/>
        <v>0.75</v>
      </c>
      <c r="H23">
        <v>72416</v>
      </c>
      <c r="J23">
        <v>140</v>
      </c>
      <c r="K23" s="9">
        <f t="shared" si="0"/>
        <v>0.56658000000000008</v>
      </c>
      <c r="L23" s="9">
        <f t="shared" si="1"/>
        <v>56.658000000000001</v>
      </c>
      <c r="M23" s="1">
        <f t="shared" si="2"/>
        <v>4.1968888888888891</v>
      </c>
      <c r="N23" s="1">
        <f t="shared" si="3"/>
        <v>23.82717356772212</v>
      </c>
      <c r="O23">
        <v>111</v>
      </c>
      <c r="P23" s="1">
        <f>O23*0.004047</f>
        <v>0.44921700000000003</v>
      </c>
      <c r="Q23" s="1">
        <f>O23*0.4047</f>
        <v>44.921700000000001</v>
      </c>
      <c r="R23" s="1">
        <f>Q23/(D23/1000)</f>
        <v>3.3275333333333332</v>
      </c>
      <c r="S23" s="1">
        <f>D23/1000/P23</f>
        <v>30.052290986316187</v>
      </c>
      <c r="T23" s="1"/>
      <c r="U23" s="1"/>
      <c r="V23" s="1"/>
      <c r="W23" s="53">
        <v>36.256827000000001</v>
      </c>
      <c r="X23" s="53">
        <v>-115.05431</v>
      </c>
      <c r="Y23" t="s">
        <v>21</v>
      </c>
      <c r="AA23" t="s">
        <v>95</v>
      </c>
      <c r="AB23" s="15"/>
      <c r="AC23" s="15"/>
      <c r="AD23" s="15"/>
      <c r="AE23" t="s">
        <v>29</v>
      </c>
      <c r="AF23" t="s">
        <v>34</v>
      </c>
      <c r="AG23" s="15" t="s">
        <v>353</v>
      </c>
      <c r="AI23">
        <v>1</v>
      </c>
      <c r="AK23">
        <v>2528.1</v>
      </c>
      <c r="AL23">
        <f t="shared" si="9"/>
        <v>1.6600960756650802</v>
      </c>
      <c r="AM23">
        <v>2309.52</v>
      </c>
      <c r="AN23">
        <f t="shared" si="10"/>
        <v>1.8172126194572416</v>
      </c>
      <c r="AO23">
        <v>1462.82</v>
      </c>
      <c r="AP23">
        <f t="shared" si="11"/>
        <v>2.8690398606040994</v>
      </c>
    </row>
    <row r="24" spans="1:42" x14ac:dyDescent="0.3">
      <c r="A24" t="s">
        <v>35</v>
      </c>
      <c r="B24" t="s">
        <v>638</v>
      </c>
      <c r="C24">
        <v>2012</v>
      </c>
      <c r="D24" s="98">
        <v>14000</v>
      </c>
      <c r="E24">
        <v>15000</v>
      </c>
      <c r="F24" s="308">
        <f t="shared" si="8"/>
        <v>0.93333333333333335</v>
      </c>
      <c r="G24">
        <v>68</v>
      </c>
      <c r="H24">
        <v>52000</v>
      </c>
      <c r="I24" t="s">
        <v>389</v>
      </c>
      <c r="J24">
        <v>100</v>
      </c>
      <c r="K24" s="9">
        <f t="shared" si="0"/>
        <v>0.4047</v>
      </c>
      <c r="L24" s="9">
        <f t="shared" si="1"/>
        <v>40.47</v>
      </c>
      <c r="M24" s="9">
        <f t="shared" si="2"/>
        <v>2.8907142857142856</v>
      </c>
      <c r="N24" s="9">
        <f t="shared" si="3"/>
        <v>34.59352606869286</v>
      </c>
      <c r="W24">
        <v>33.517000000000003</v>
      </c>
      <c r="X24">
        <v>-112.36750000000001</v>
      </c>
      <c r="Y24" t="s">
        <v>21</v>
      </c>
      <c r="AB24" s="15">
        <v>0.185</v>
      </c>
      <c r="AC24" t="s">
        <v>391</v>
      </c>
      <c r="AD24" t="s">
        <v>389</v>
      </c>
      <c r="AE24" t="s">
        <v>60</v>
      </c>
      <c r="AF24" t="s">
        <v>645</v>
      </c>
      <c r="AG24" t="s">
        <v>380</v>
      </c>
      <c r="AI24">
        <v>1</v>
      </c>
      <c r="AK24">
        <v>2585.8200000000002</v>
      </c>
      <c r="AL24">
        <f t="shared" si="9"/>
        <v>1.1179100964932924</v>
      </c>
      <c r="AM24">
        <v>2313.85</v>
      </c>
      <c r="AN24">
        <f t="shared" si="10"/>
        <v>1.24930928353795</v>
      </c>
      <c r="AO24">
        <v>1472.6</v>
      </c>
      <c r="AP24">
        <f t="shared" si="11"/>
        <v>1.9630003298345005</v>
      </c>
    </row>
    <row r="25" spans="1:42" x14ac:dyDescent="0.3">
      <c r="A25" t="s">
        <v>26</v>
      </c>
      <c r="B25" t="s">
        <v>646</v>
      </c>
      <c r="C25">
        <v>2011</v>
      </c>
      <c r="D25" s="108">
        <v>15000</v>
      </c>
      <c r="E25" s="98">
        <v>16438.8</v>
      </c>
      <c r="F25" s="308">
        <f t="shared" si="8"/>
        <v>0.91247536316519462</v>
      </c>
      <c r="H25">
        <v>58710</v>
      </c>
      <c r="I25" t="s">
        <v>167</v>
      </c>
      <c r="J25">
        <v>119.67</v>
      </c>
      <c r="K25">
        <f t="shared" si="0"/>
        <v>0.48430449000000003</v>
      </c>
      <c r="L25">
        <f t="shared" si="1"/>
        <v>48.430449000000003</v>
      </c>
      <c r="M25">
        <f t="shared" si="2"/>
        <v>3.2286966000000001</v>
      </c>
      <c r="N25">
        <f t="shared" si="3"/>
        <v>30.972250536021253</v>
      </c>
      <c r="O25">
        <v>84.744</v>
      </c>
      <c r="P25" s="1">
        <f>O25*0.004047</f>
        <v>0.34295896800000003</v>
      </c>
      <c r="Q25" s="1">
        <f>O25*0.4047</f>
        <v>34.295896800000001</v>
      </c>
      <c r="R25" s="1">
        <f>Q25/(D25/1000)</f>
        <v>2.2863931200000001</v>
      </c>
      <c r="S25" s="1">
        <f>D25/1000/P25</f>
        <v>43.737010545238164</v>
      </c>
      <c r="W25">
        <v>38.347709999999999</v>
      </c>
      <c r="X25">
        <v>-121.41285000000001</v>
      </c>
      <c r="Y25" t="s">
        <v>21</v>
      </c>
      <c r="AA25" t="s">
        <v>94</v>
      </c>
      <c r="AB25" s="15">
        <v>0.14699999999999999</v>
      </c>
      <c r="AC25" t="s">
        <v>399</v>
      </c>
      <c r="AD25" t="s">
        <v>649</v>
      </c>
      <c r="AE25" t="s">
        <v>29</v>
      </c>
      <c r="AF25" t="s">
        <v>641</v>
      </c>
      <c r="AG25" t="s">
        <v>647</v>
      </c>
      <c r="AI25">
        <v>1</v>
      </c>
      <c r="AK25">
        <v>2229.83</v>
      </c>
      <c r="AL25">
        <f t="shared" si="9"/>
        <v>1.447956391294404</v>
      </c>
      <c r="AM25">
        <v>2313.86</v>
      </c>
      <c r="AN25">
        <f t="shared" si="10"/>
        <v>1.3953724944465091</v>
      </c>
      <c r="AO25">
        <v>1471.91</v>
      </c>
      <c r="AP25">
        <f t="shared" si="11"/>
        <v>2.1935421323314603</v>
      </c>
    </row>
    <row r="26" spans="1:42" x14ac:dyDescent="0.3">
      <c r="A26" t="s">
        <v>26</v>
      </c>
      <c r="B26" t="s">
        <v>651</v>
      </c>
      <c r="C26">
        <v>2011</v>
      </c>
      <c r="D26" s="108">
        <v>15000</v>
      </c>
      <c r="E26" s="98">
        <v>16609</v>
      </c>
      <c r="F26" s="308">
        <f t="shared" si="8"/>
        <v>0.90312481184899751</v>
      </c>
      <c r="H26">
        <v>59318</v>
      </c>
      <c r="I26" t="s">
        <v>167</v>
      </c>
      <c r="J26">
        <v>116.61</v>
      </c>
      <c r="K26" s="9">
        <f t="shared" si="0"/>
        <v>0.47192067000000004</v>
      </c>
      <c r="L26" s="9">
        <f t="shared" si="1"/>
        <v>47.192067000000002</v>
      </c>
      <c r="M26" s="9">
        <f t="shared" si="2"/>
        <v>3.1461378</v>
      </c>
      <c r="N26" s="9">
        <f t="shared" si="3"/>
        <v>31.785003187082268</v>
      </c>
      <c r="O26">
        <v>100.38</v>
      </c>
      <c r="P26" s="1">
        <f>O26*0.004047</f>
        <v>0.40623786000000001</v>
      </c>
      <c r="Q26" s="1">
        <f>O26*0.4047</f>
        <v>40.623785999999996</v>
      </c>
      <c r="R26" s="1">
        <f>Q26/(D26/1000)</f>
        <v>2.7082523999999997</v>
      </c>
      <c r="S26" s="1">
        <f>D26/1000/P26</f>
        <v>36.92418033119808</v>
      </c>
      <c r="W26">
        <v>38.365569999999998</v>
      </c>
      <c r="X26">
        <v>-121.41294000000001</v>
      </c>
      <c r="Y26" t="s">
        <v>21</v>
      </c>
      <c r="Z26" t="s">
        <v>648</v>
      </c>
      <c r="AA26" t="s">
        <v>96</v>
      </c>
      <c r="AB26" s="15">
        <v>0.14699999999999999</v>
      </c>
      <c r="AC26" t="s">
        <v>399</v>
      </c>
      <c r="AD26" t="s">
        <v>649</v>
      </c>
      <c r="AE26" t="s">
        <v>29</v>
      </c>
      <c r="AF26" t="s">
        <v>641</v>
      </c>
      <c r="AG26" t="s">
        <v>647</v>
      </c>
      <c r="AI26">
        <v>1</v>
      </c>
      <c r="AK26">
        <v>2229.89</v>
      </c>
      <c r="AL26">
        <f t="shared" si="9"/>
        <v>1.4108937212149479</v>
      </c>
      <c r="AM26">
        <v>2313.84</v>
      </c>
      <c r="AN26">
        <f t="shared" si="10"/>
        <v>1.3597041282024687</v>
      </c>
      <c r="AO26">
        <v>1471.58</v>
      </c>
      <c r="AP26">
        <f t="shared" si="11"/>
        <v>2.1379318827382816</v>
      </c>
    </row>
    <row r="27" spans="1:42" x14ac:dyDescent="0.3">
      <c r="A27" s="69" t="s">
        <v>47</v>
      </c>
      <c r="B27" s="11" t="s">
        <v>188</v>
      </c>
      <c r="C27">
        <v>2011</v>
      </c>
      <c r="D27" s="28">
        <v>15500</v>
      </c>
      <c r="E27" s="94">
        <v>17200</v>
      </c>
      <c r="F27" s="308">
        <f t="shared" si="8"/>
        <v>0.90116279069767447</v>
      </c>
      <c r="G27">
        <v>173</v>
      </c>
      <c r="H27">
        <v>64000</v>
      </c>
      <c r="I27" t="s">
        <v>189</v>
      </c>
      <c r="J27">
        <v>200</v>
      </c>
      <c r="K27" s="9">
        <f t="shared" si="0"/>
        <v>0.80940000000000001</v>
      </c>
      <c r="L27" s="9">
        <f t="shared" si="1"/>
        <v>80.94</v>
      </c>
      <c r="M27" s="9">
        <f t="shared" si="2"/>
        <v>5.2219354838709675</v>
      </c>
      <c r="N27" s="9">
        <f t="shared" si="3"/>
        <v>19.149987645169261</v>
      </c>
      <c r="O27">
        <v>116.5</v>
      </c>
      <c r="P27" s="1">
        <f>O27*0.004047</f>
        <v>0.47147550000000005</v>
      </c>
      <c r="Q27" s="1">
        <f>O27*0.4047</f>
        <v>47.147550000000003</v>
      </c>
      <c r="R27" s="1">
        <f>Q27/(D27/1000)</f>
        <v>3.041777419354839</v>
      </c>
      <c r="S27" s="1">
        <f>D27/1000/P27</f>
        <v>32.875515270676843</v>
      </c>
      <c r="T27" s="1"/>
      <c r="U27" s="1"/>
      <c r="V27" s="1"/>
      <c r="W27" s="53">
        <v>35.749160000000003</v>
      </c>
      <c r="X27" s="54">
        <v>-80.292460000000005</v>
      </c>
      <c r="Y27" t="s">
        <v>21</v>
      </c>
      <c r="AA27" s="11" t="s">
        <v>96</v>
      </c>
      <c r="AB27" s="15"/>
      <c r="AC27" s="15"/>
      <c r="AD27" s="15"/>
      <c r="AE27" t="s">
        <v>29</v>
      </c>
      <c r="AF27" t="s">
        <v>110</v>
      </c>
      <c r="AG27" s="15" t="s">
        <v>252</v>
      </c>
      <c r="AI27">
        <v>1</v>
      </c>
      <c r="AK27">
        <v>1952.83</v>
      </c>
      <c r="AL27">
        <f t="shared" si="9"/>
        <v>2.6740348539662788</v>
      </c>
      <c r="AM27">
        <v>2313.84</v>
      </c>
      <c r="AN27">
        <f t="shared" si="10"/>
        <v>2.2568265238179679</v>
      </c>
      <c r="AO27">
        <v>1471.5</v>
      </c>
      <c r="AP27">
        <f t="shared" si="11"/>
        <v>3.5487159251586595</v>
      </c>
    </row>
    <row r="28" spans="1:42" x14ac:dyDescent="0.3">
      <c r="A28" t="s">
        <v>107</v>
      </c>
      <c r="B28" t="s">
        <v>654</v>
      </c>
      <c r="C28">
        <v>2012</v>
      </c>
      <c r="D28" s="108">
        <v>17500</v>
      </c>
      <c r="E28" s="98">
        <v>20000</v>
      </c>
      <c r="F28" s="308">
        <f t="shared" si="8"/>
        <v>0.875</v>
      </c>
      <c r="I28" t="s">
        <v>655</v>
      </c>
      <c r="J28">
        <v>212</v>
      </c>
      <c r="K28" s="9">
        <f t="shared" si="0"/>
        <v>0.85796400000000006</v>
      </c>
      <c r="L28" s="9">
        <f t="shared" si="1"/>
        <v>85.796400000000006</v>
      </c>
      <c r="M28" s="9">
        <f t="shared" si="2"/>
        <v>4.9026514285714287</v>
      </c>
      <c r="N28" s="9">
        <f t="shared" si="3"/>
        <v>20.397126219748145</v>
      </c>
      <c r="W28">
        <v>35.484279999999998</v>
      </c>
      <c r="X28">
        <v>-114.93731</v>
      </c>
      <c r="Y28" t="s">
        <v>21</v>
      </c>
      <c r="AB28" s="111"/>
      <c r="AE28" t="s">
        <v>29</v>
      </c>
      <c r="AF28" t="s">
        <v>611</v>
      </c>
      <c r="AG28" t="s">
        <v>380</v>
      </c>
      <c r="AI28">
        <v>1</v>
      </c>
      <c r="AK28">
        <v>2693.61</v>
      </c>
      <c r="AL28">
        <f t="shared" si="9"/>
        <v>1.8201044058239422</v>
      </c>
      <c r="AM28">
        <v>2313.66</v>
      </c>
      <c r="AN28">
        <f t="shared" si="10"/>
        <v>2.1190025451325734</v>
      </c>
      <c r="AO28">
        <v>1470.46</v>
      </c>
      <c r="AP28">
        <f t="shared" si="11"/>
        <v>3.3340937043995948</v>
      </c>
    </row>
    <row r="29" spans="1:42" x14ac:dyDescent="0.3">
      <c r="A29" t="s">
        <v>35</v>
      </c>
      <c r="B29" t="s">
        <v>637</v>
      </c>
      <c r="C29">
        <v>2011</v>
      </c>
      <c r="D29" s="108">
        <v>18000</v>
      </c>
      <c r="E29" s="98">
        <v>21000</v>
      </c>
      <c r="F29" s="308">
        <f t="shared" si="8"/>
        <v>0.8571428571428571</v>
      </c>
      <c r="H29">
        <v>75168</v>
      </c>
      <c r="I29" t="s">
        <v>643</v>
      </c>
      <c r="J29">
        <v>145</v>
      </c>
      <c r="K29" s="9">
        <f t="shared" si="0"/>
        <v>0.58681500000000009</v>
      </c>
      <c r="L29" s="9">
        <f t="shared" si="1"/>
        <v>58.6815</v>
      </c>
      <c r="M29" s="9">
        <f t="shared" si="2"/>
        <v>3.2600833333333332</v>
      </c>
      <c r="N29" s="9">
        <f t="shared" si="3"/>
        <v>30.674062523964107</v>
      </c>
      <c r="W29">
        <v>33.031500000000001</v>
      </c>
      <c r="X29">
        <v>-112.6606</v>
      </c>
      <c r="Y29" t="s">
        <v>21</v>
      </c>
      <c r="AB29" s="15"/>
      <c r="AD29" t="s">
        <v>593</v>
      </c>
      <c r="AE29" t="s">
        <v>29</v>
      </c>
      <c r="AF29" t="s">
        <v>645</v>
      </c>
      <c r="AG29" t="s">
        <v>380</v>
      </c>
      <c r="AI29">
        <v>1</v>
      </c>
      <c r="AK29">
        <v>2591.2800000000002</v>
      </c>
      <c r="AL29">
        <f t="shared" si="9"/>
        <v>1.2580976711638006</v>
      </c>
      <c r="AM29">
        <v>2313.4499999999998</v>
      </c>
      <c r="AN29">
        <f t="shared" si="10"/>
        <v>1.4091868565706342</v>
      </c>
      <c r="AO29">
        <v>1469.66</v>
      </c>
      <c r="AP29">
        <f t="shared" si="11"/>
        <v>2.2182568303780013</v>
      </c>
    </row>
    <row r="30" spans="1:42" x14ac:dyDescent="0.3">
      <c r="A30" s="11" t="s">
        <v>160</v>
      </c>
      <c r="B30" s="11" t="s">
        <v>495</v>
      </c>
      <c r="C30">
        <v>2011</v>
      </c>
      <c r="D30" s="94">
        <v>1000</v>
      </c>
      <c r="E30" s="18">
        <f>D30/$I$186</f>
        <v>1174.5254232357104</v>
      </c>
      <c r="F30" s="308">
        <f t="shared" si="8"/>
        <v>0.85140770920487296</v>
      </c>
      <c r="G30">
        <v>10</v>
      </c>
      <c r="H30">
        <v>173</v>
      </c>
      <c r="I30" t="s">
        <v>496</v>
      </c>
      <c r="J30" s="74">
        <v>17</v>
      </c>
      <c r="K30" s="9">
        <f t="shared" si="0"/>
        <v>6.8798999999999999E-2</v>
      </c>
      <c r="L30" s="9">
        <f t="shared" si="1"/>
        <v>6.8799000000000001</v>
      </c>
      <c r="M30" s="1">
        <f t="shared" si="2"/>
        <v>6.8799000000000001</v>
      </c>
      <c r="N30" s="1">
        <f t="shared" si="3"/>
        <v>14.535094986845738</v>
      </c>
      <c r="O30" s="11">
        <v>10.7</v>
      </c>
      <c r="P30" s="1">
        <f t="shared" ref="P30:P44" si="12">O30*0.004047</f>
        <v>4.3302899999999998E-2</v>
      </c>
      <c r="Q30" s="1">
        <f t="shared" ref="Q30:Q44" si="13">O30*0.4047</f>
        <v>4.3302899999999998</v>
      </c>
      <c r="R30" s="1">
        <f t="shared" ref="R30:R44" si="14">Q30/(D30/1000)</f>
        <v>4.3302899999999998</v>
      </c>
      <c r="S30" s="1">
        <f t="shared" ref="S30:S44" si="15">D30/1000/P30</f>
        <v>23.093141567885755</v>
      </c>
      <c r="T30" s="11"/>
      <c r="U30" s="11"/>
      <c r="V30" s="11"/>
      <c r="W30" s="11">
        <v>36.706257000000001</v>
      </c>
      <c r="X30" s="11">
        <v>-105.624189</v>
      </c>
      <c r="Y30" t="s">
        <v>139</v>
      </c>
      <c r="AA30" s="11" t="s">
        <v>95</v>
      </c>
      <c r="AB30" s="15">
        <v>0.3</v>
      </c>
      <c r="AC30" t="s">
        <v>501</v>
      </c>
      <c r="AD30" t="s">
        <v>497</v>
      </c>
      <c r="AE30" t="s">
        <v>29</v>
      </c>
      <c r="AG30" s="15"/>
      <c r="AI30">
        <v>1</v>
      </c>
      <c r="AJ30">
        <v>14</v>
      </c>
      <c r="AK30">
        <v>3002.75</v>
      </c>
      <c r="AL30">
        <f t="shared" si="9"/>
        <v>2.291199733577554</v>
      </c>
      <c r="AM30">
        <v>2738.69</v>
      </c>
      <c r="AN30">
        <f t="shared" si="10"/>
        <v>2.512113455703274</v>
      </c>
      <c r="AO30">
        <v>1682.24</v>
      </c>
      <c r="AP30">
        <f t="shared" si="11"/>
        <v>4.0897256039566292</v>
      </c>
    </row>
    <row r="31" spans="1:42" ht="15.6" x14ac:dyDescent="0.3">
      <c r="A31" s="11" t="s">
        <v>160</v>
      </c>
      <c r="B31" s="11" t="s">
        <v>447</v>
      </c>
      <c r="C31">
        <v>2011</v>
      </c>
      <c r="D31" s="94">
        <v>5040</v>
      </c>
      <c r="E31" s="94">
        <v>6468</v>
      </c>
      <c r="F31" s="308">
        <f t="shared" si="8"/>
        <v>0.77922077922077926</v>
      </c>
      <c r="H31">
        <v>84</v>
      </c>
      <c r="I31" s="30" t="s">
        <v>448</v>
      </c>
      <c r="J31" s="74">
        <v>39</v>
      </c>
      <c r="K31" s="9">
        <f t="shared" si="0"/>
        <v>0.157833</v>
      </c>
      <c r="L31" s="9">
        <f t="shared" si="1"/>
        <v>15.783300000000001</v>
      </c>
      <c r="M31" s="1">
        <f t="shared" si="2"/>
        <v>3.1316071428571428</v>
      </c>
      <c r="N31" s="1">
        <f t="shared" si="3"/>
        <v>31.932485601870333</v>
      </c>
      <c r="O31" s="11">
        <v>30.28</v>
      </c>
      <c r="P31" s="1">
        <f t="shared" si="12"/>
        <v>0.12254316000000001</v>
      </c>
      <c r="Q31" s="1">
        <f t="shared" si="13"/>
        <v>12.254316000000001</v>
      </c>
      <c r="R31" s="1">
        <f t="shared" si="14"/>
        <v>2.4314119047619052</v>
      </c>
      <c r="S31" s="1">
        <f t="shared" si="15"/>
        <v>41.12836652816852</v>
      </c>
      <c r="W31">
        <v>32.627780000000001</v>
      </c>
      <c r="X31">
        <v>-107.25798</v>
      </c>
      <c r="Y31" t="s">
        <v>139</v>
      </c>
      <c r="AA31" s="11" t="s">
        <v>96</v>
      </c>
      <c r="AB31" s="15">
        <v>0.31</v>
      </c>
      <c r="AD31" s="80" t="s">
        <v>449</v>
      </c>
      <c r="AE31" t="s">
        <v>29</v>
      </c>
      <c r="AF31" t="s">
        <v>450</v>
      </c>
      <c r="AG31" s="15" t="s">
        <v>444</v>
      </c>
      <c r="AI31">
        <v>1</v>
      </c>
      <c r="AK31">
        <v>3008.06</v>
      </c>
      <c r="AL31">
        <f t="shared" si="9"/>
        <v>1.041072034087466</v>
      </c>
      <c r="AM31">
        <v>2740.12</v>
      </c>
      <c r="AN31">
        <f t="shared" si="10"/>
        <v>1.1428722621115655</v>
      </c>
      <c r="AO31">
        <v>1679.85</v>
      </c>
      <c r="AP31">
        <f t="shared" si="11"/>
        <v>1.8642183188124792</v>
      </c>
    </row>
    <row r="32" spans="1:42" x14ac:dyDescent="0.3">
      <c r="A32" s="11" t="s">
        <v>3</v>
      </c>
      <c r="B32" t="s">
        <v>4</v>
      </c>
      <c r="C32">
        <v>2008</v>
      </c>
      <c r="D32" s="42">
        <v>891.48</v>
      </c>
      <c r="E32" s="94">
        <v>1188.6400000000001</v>
      </c>
      <c r="F32" s="308">
        <f t="shared" si="8"/>
        <v>0.75</v>
      </c>
      <c r="G32">
        <v>6.9</v>
      </c>
      <c r="H32">
        <v>6192</v>
      </c>
      <c r="I32" s="30" t="s">
        <v>8</v>
      </c>
      <c r="J32">
        <v>5.7</v>
      </c>
      <c r="K32" s="1">
        <f t="shared" si="0"/>
        <v>2.3067900000000002E-2</v>
      </c>
      <c r="L32" s="1">
        <f t="shared" si="1"/>
        <v>2.3067899999999999</v>
      </c>
      <c r="M32" s="1">
        <f t="shared" si="2"/>
        <v>2.5875959079283883</v>
      </c>
      <c r="N32" s="1">
        <f t="shared" si="3"/>
        <v>38.645910551025452</v>
      </c>
      <c r="O32" s="1">
        <v>4.5</v>
      </c>
      <c r="P32" s="1">
        <f t="shared" si="12"/>
        <v>1.8211500000000002E-2</v>
      </c>
      <c r="Q32" s="1">
        <f t="shared" si="13"/>
        <v>1.82115</v>
      </c>
      <c r="R32" s="1">
        <f t="shared" si="14"/>
        <v>2.042838874680307</v>
      </c>
      <c r="S32" s="1">
        <f t="shared" si="15"/>
        <v>48.951486697965571</v>
      </c>
      <c r="T32" s="1">
        <f>14.5/(30.5)</f>
        <v>0.47540983606557374</v>
      </c>
      <c r="U32" s="1">
        <f>1/T32</f>
        <v>2.103448275862069</v>
      </c>
      <c r="V32" s="1">
        <f>T32*R32</f>
        <v>0.97118569452014591</v>
      </c>
      <c r="W32">
        <v>39.724755999999999</v>
      </c>
      <c r="X32">
        <v>-105.118824</v>
      </c>
      <c r="Y32" t="s">
        <v>91</v>
      </c>
      <c r="Z32" t="s">
        <v>87</v>
      </c>
      <c r="AA32" t="s">
        <v>95</v>
      </c>
      <c r="AB32" s="15">
        <v>0.12720000000000001</v>
      </c>
      <c r="AC32" s="15" t="s">
        <v>67</v>
      </c>
      <c r="AD32" s="15" t="s">
        <v>79</v>
      </c>
      <c r="AE32" t="s">
        <v>29</v>
      </c>
      <c r="AF32" t="s">
        <v>19</v>
      </c>
      <c r="AG32" s="15" t="s">
        <v>353</v>
      </c>
      <c r="AI32">
        <v>1</v>
      </c>
      <c r="AK32">
        <v>1850.77</v>
      </c>
      <c r="AL32">
        <f t="shared" si="9"/>
        <v>1.3981185711505959</v>
      </c>
      <c r="AM32">
        <v>1893.41</v>
      </c>
      <c r="AN32">
        <f t="shared" si="10"/>
        <v>1.3666326405418732</v>
      </c>
      <c r="AO32">
        <v>1258.04</v>
      </c>
      <c r="AP32">
        <f t="shared" si="11"/>
        <v>2.0568470858862899</v>
      </c>
    </row>
    <row r="33" spans="1:47" x14ac:dyDescent="0.3">
      <c r="A33" s="11" t="s">
        <v>148</v>
      </c>
      <c r="B33" t="s">
        <v>154</v>
      </c>
      <c r="C33">
        <v>2009</v>
      </c>
      <c r="D33" s="42">
        <v>900</v>
      </c>
      <c r="E33" s="94">
        <v>1000</v>
      </c>
      <c r="F33" s="308">
        <f t="shared" si="8"/>
        <v>0.9</v>
      </c>
      <c r="I33" s="30" t="s">
        <v>155</v>
      </c>
      <c r="J33">
        <v>5.5</v>
      </c>
      <c r="K33" s="9">
        <f t="shared" si="0"/>
        <v>2.2258500000000001E-2</v>
      </c>
      <c r="L33" s="9">
        <f t="shared" si="1"/>
        <v>2.2258499999999999</v>
      </c>
      <c r="M33" s="1">
        <f t="shared" si="2"/>
        <v>2.4731666666666663</v>
      </c>
      <c r="N33" s="1">
        <f t="shared" si="3"/>
        <v>40.43399150886178</v>
      </c>
      <c r="O33">
        <v>2.5</v>
      </c>
      <c r="P33" s="1">
        <f t="shared" si="12"/>
        <v>1.0117500000000001E-2</v>
      </c>
      <c r="Q33" s="1">
        <f t="shared" si="13"/>
        <v>1.0117499999999999</v>
      </c>
      <c r="R33" s="1">
        <f t="shared" si="14"/>
        <v>1.1241666666666665</v>
      </c>
      <c r="S33" s="1">
        <f t="shared" si="15"/>
        <v>88.954781319495908</v>
      </c>
      <c r="T33" s="1"/>
      <c r="U33" s="1"/>
      <c r="V33" s="1"/>
      <c r="W33" s="53">
        <v>28.518204000000001</v>
      </c>
      <c r="X33" s="54">
        <v>-80.646029999999996</v>
      </c>
      <c r="Y33" t="s">
        <v>91</v>
      </c>
      <c r="AA33" t="s">
        <v>94</v>
      </c>
      <c r="AB33" s="15"/>
      <c r="AC33" s="15"/>
      <c r="AD33" s="15"/>
      <c r="AE33" t="s">
        <v>29</v>
      </c>
      <c r="AF33" t="s">
        <v>110</v>
      </c>
      <c r="AG33" s="15" t="s">
        <v>252</v>
      </c>
      <c r="AI33">
        <v>1</v>
      </c>
      <c r="AK33">
        <v>1737.74</v>
      </c>
      <c r="AL33">
        <f t="shared" si="9"/>
        <v>1.4232086886799327</v>
      </c>
      <c r="AM33">
        <v>1954.64</v>
      </c>
      <c r="AN33">
        <f t="shared" si="10"/>
        <v>1.2652798810352115</v>
      </c>
      <c r="AO33">
        <v>1291.6199999999999</v>
      </c>
      <c r="AP33">
        <f t="shared" si="11"/>
        <v>1.9147788565264292</v>
      </c>
    </row>
    <row r="34" spans="1:47" x14ac:dyDescent="0.3">
      <c r="A34" s="11" t="s">
        <v>26</v>
      </c>
      <c r="B34" s="11" t="s">
        <v>50</v>
      </c>
      <c r="C34">
        <v>2006</v>
      </c>
      <c r="D34" s="42">
        <v>999.91600000000005</v>
      </c>
      <c r="E34" s="94">
        <v>1160.0999999999999</v>
      </c>
      <c r="F34" s="308">
        <f t="shared" si="8"/>
        <v>0.86192224808206197</v>
      </c>
      <c r="H34">
        <v>6816</v>
      </c>
      <c r="I34" s="30" t="s">
        <v>8</v>
      </c>
      <c r="J34">
        <v>7.26</v>
      </c>
      <c r="K34" s="9">
        <f t="shared" si="0"/>
        <v>2.938122E-2</v>
      </c>
      <c r="L34" s="9">
        <f t="shared" si="1"/>
        <v>2.9381219999999999</v>
      </c>
      <c r="M34" s="1">
        <f t="shared" si="2"/>
        <v>2.9383688229811304</v>
      </c>
      <c r="N34" s="1">
        <f t="shared" si="3"/>
        <v>34.032487418834208</v>
      </c>
      <c r="O34">
        <v>4.1509999999999998</v>
      </c>
      <c r="P34" s="1">
        <f t="shared" si="12"/>
        <v>1.6799096999999999E-2</v>
      </c>
      <c r="Q34" s="1">
        <f t="shared" si="13"/>
        <v>1.6799096999999998</v>
      </c>
      <c r="R34" s="1">
        <f t="shared" si="14"/>
        <v>1.6800508242692385</v>
      </c>
      <c r="S34" s="1">
        <f t="shared" si="15"/>
        <v>59.522008831784241</v>
      </c>
      <c r="T34" s="1">
        <f>0.51594/1.15094</f>
        <v>0.44827706048968663</v>
      </c>
      <c r="U34" s="1">
        <f>1/T34</f>
        <v>2.230763267046556</v>
      </c>
      <c r="V34" s="1">
        <f>T34*R34</f>
        <v>0.75312824497668929</v>
      </c>
      <c r="W34">
        <v>33.564914000000002</v>
      </c>
      <c r="X34">
        <v>-114.904048</v>
      </c>
      <c r="Y34" t="s">
        <v>91</v>
      </c>
      <c r="Z34" t="s">
        <v>87</v>
      </c>
      <c r="AA34" t="s">
        <v>96</v>
      </c>
      <c r="AB34" s="15">
        <v>0.14180000000000001</v>
      </c>
      <c r="AC34" s="15" t="s">
        <v>399</v>
      </c>
      <c r="AD34" s="15" t="s">
        <v>83</v>
      </c>
      <c r="AE34" t="s">
        <v>29</v>
      </c>
      <c r="AF34" t="s">
        <v>51</v>
      </c>
      <c r="AG34" s="15" t="s">
        <v>353</v>
      </c>
      <c r="AI34">
        <v>1</v>
      </c>
      <c r="AK34">
        <v>2083.65</v>
      </c>
      <c r="AL34">
        <f t="shared" si="9"/>
        <v>1.4102026842229407</v>
      </c>
      <c r="AM34">
        <v>1898.57</v>
      </c>
      <c r="AN34">
        <f t="shared" si="10"/>
        <v>1.5476747357122103</v>
      </c>
      <c r="AO34">
        <v>1265.6300000000001</v>
      </c>
      <c r="AP34">
        <f t="shared" si="11"/>
        <v>2.3216649597284591</v>
      </c>
    </row>
    <row r="35" spans="1:47" x14ac:dyDescent="0.3">
      <c r="A35" s="11" t="s">
        <v>26</v>
      </c>
      <c r="B35" s="11" t="s">
        <v>544</v>
      </c>
      <c r="C35">
        <v>2010</v>
      </c>
      <c r="D35" s="42">
        <v>2000</v>
      </c>
      <c r="E35" s="94">
        <v>2592</v>
      </c>
      <c r="F35" s="308">
        <f t="shared" si="8"/>
        <v>0.77160493827160492</v>
      </c>
      <c r="H35">
        <v>9600</v>
      </c>
      <c r="I35" t="s">
        <v>545</v>
      </c>
      <c r="J35" s="74">
        <v>13.7</v>
      </c>
      <c r="K35" s="9">
        <f t="shared" si="0"/>
        <v>5.5443899999999997E-2</v>
      </c>
      <c r="L35" s="9">
        <f t="shared" si="1"/>
        <v>5.5443899999999999</v>
      </c>
      <c r="M35" s="1">
        <f t="shared" si="2"/>
        <v>2.772195</v>
      </c>
      <c r="N35" s="1">
        <f t="shared" si="3"/>
        <v>36.072498507500377</v>
      </c>
      <c r="O35" s="11">
        <v>8.84</v>
      </c>
      <c r="P35" s="1">
        <f t="shared" si="12"/>
        <v>3.5775479999999998E-2</v>
      </c>
      <c r="Q35" s="1">
        <f t="shared" si="13"/>
        <v>3.5775480000000002</v>
      </c>
      <c r="R35" s="1">
        <f t="shared" si="14"/>
        <v>1.7887740000000001</v>
      </c>
      <c r="S35" s="1">
        <f t="shared" si="15"/>
        <v>55.904211487868231</v>
      </c>
      <c r="T35" s="11"/>
      <c r="U35" s="11"/>
      <c r="V35" s="11"/>
      <c r="W35" s="11">
        <v>38.411070000000002</v>
      </c>
      <c r="X35" s="11">
        <v>-121.92645</v>
      </c>
      <c r="Y35" t="s">
        <v>91</v>
      </c>
      <c r="AA35" s="11"/>
      <c r="AB35" s="15">
        <v>0.13769999999999999</v>
      </c>
      <c r="AC35" s="11" t="s">
        <v>399</v>
      </c>
      <c r="AD35" t="s">
        <v>546</v>
      </c>
      <c r="AE35" t="s">
        <v>29</v>
      </c>
      <c r="AF35" t="s">
        <v>475</v>
      </c>
      <c r="AG35" s="15" t="s">
        <v>385</v>
      </c>
      <c r="AI35">
        <v>1</v>
      </c>
      <c r="AK35">
        <v>1853.71</v>
      </c>
      <c r="AL35">
        <f t="shared" si="9"/>
        <v>1.4954847306212944</v>
      </c>
      <c r="AM35">
        <v>1971.25</v>
      </c>
      <c r="AN35">
        <f t="shared" si="10"/>
        <v>1.4063132530120481</v>
      </c>
      <c r="AO35">
        <v>1289.3699999999999</v>
      </c>
      <c r="AP35">
        <f t="shared" si="11"/>
        <v>2.1500383908420395</v>
      </c>
    </row>
    <row r="36" spans="1:47" x14ac:dyDescent="0.3">
      <c r="A36" s="11" t="s">
        <v>171</v>
      </c>
      <c r="B36" t="s">
        <v>198</v>
      </c>
      <c r="C36">
        <v>2009</v>
      </c>
      <c r="D36" s="42">
        <f>E36*0.97</f>
        <v>2086.4699999999998</v>
      </c>
      <c r="E36" s="94">
        <v>2151</v>
      </c>
      <c r="F36" s="308">
        <f t="shared" si="8"/>
        <v>0.96999999999999986</v>
      </c>
      <c r="H36">
        <v>28260</v>
      </c>
      <c r="I36" t="s">
        <v>199</v>
      </c>
      <c r="J36">
        <v>14</v>
      </c>
      <c r="K36" s="9">
        <f t="shared" si="0"/>
        <v>5.6658E-2</v>
      </c>
      <c r="L36" s="9">
        <f t="shared" si="1"/>
        <v>5.6657999999999999</v>
      </c>
      <c r="M36" s="1">
        <f t="shared" si="2"/>
        <v>2.7154955499000706</v>
      </c>
      <c r="N36" s="1">
        <f t="shared" si="3"/>
        <v>36.825690988033458</v>
      </c>
      <c r="O36">
        <v>11.5</v>
      </c>
      <c r="P36" s="1">
        <f t="shared" si="12"/>
        <v>4.6540500000000005E-2</v>
      </c>
      <c r="Q36" s="1">
        <f t="shared" si="13"/>
        <v>4.6540499999999998</v>
      </c>
      <c r="R36" s="1">
        <f t="shared" si="14"/>
        <v>2.230585630275058</v>
      </c>
      <c r="S36" s="1">
        <f t="shared" si="15"/>
        <v>44.831275985432036</v>
      </c>
      <c r="T36" s="1"/>
      <c r="U36" s="1"/>
      <c r="V36" s="1"/>
      <c r="W36" s="53">
        <v>40.860551999999998</v>
      </c>
      <c r="X36" s="53">
        <v>-74.822644999999994</v>
      </c>
      <c r="Y36" t="s">
        <v>91</v>
      </c>
      <c r="AA36" t="s">
        <v>96</v>
      </c>
      <c r="AB36" s="15">
        <v>0.1</v>
      </c>
      <c r="AC36" s="15" t="s">
        <v>366</v>
      </c>
      <c r="AD36" s="15" t="s">
        <v>200</v>
      </c>
      <c r="AE36" t="s">
        <v>29</v>
      </c>
      <c r="AF36" s="15" t="s">
        <v>110</v>
      </c>
      <c r="AG36" s="15" t="s">
        <v>252</v>
      </c>
      <c r="AI36">
        <v>1</v>
      </c>
      <c r="AK36">
        <v>1529.64</v>
      </c>
      <c r="AL36">
        <f t="shared" si="9"/>
        <v>1.7752513989566634</v>
      </c>
      <c r="AM36">
        <v>1975.04</v>
      </c>
      <c r="AN36">
        <f t="shared" si="10"/>
        <v>1.374906609435794</v>
      </c>
      <c r="AO36">
        <v>1292.01</v>
      </c>
      <c r="AP36">
        <f t="shared" si="11"/>
        <v>2.1017604739127953</v>
      </c>
    </row>
    <row r="37" spans="1:47" x14ac:dyDescent="0.3">
      <c r="A37" t="s">
        <v>491</v>
      </c>
      <c r="B37" t="s">
        <v>700</v>
      </c>
      <c r="C37">
        <v>2011</v>
      </c>
      <c r="D37" s="108">
        <v>5000</v>
      </c>
      <c r="E37" s="98">
        <v>5742</v>
      </c>
      <c r="F37" s="308">
        <f t="shared" si="8"/>
        <v>0.87077673284569834</v>
      </c>
      <c r="G37">
        <v>30</v>
      </c>
      <c r="H37">
        <v>24000</v>
      </c>
      <c r="I37" t="s">
        <v>701</v>
      </c>
      <c r="J37">
        <v>15</v>
      </c>
      <c r="K37" s="9">
        <f t="shared" si="0"/>
        <v>6.0705000000000002E-2</v>
      </c>
      <c r="L37" s="9">
        <f t="shared" si="1"/>
        <v>6.0705</v>
      </c>
      <c r="M37" s="9">
        <f t="shared" si="2"/>
        <v>1.2141</v>
      </c>
      <c r="N37" s="9">
        <f t="shared" si="3"/>
        <v>82.365538258792512</v>
      </c>
      <c r="O37">
        <v>11.16</v>
      </c>
      <c r="P37" s="1">
        <f t="shared" si="12"/>
        <v>4.5164520000000007E-2</v>
      </c>
      <c r="Q37" s="1">
        <f t="shared" si="13"/>
        <v>4.5164520000000001</v>
      </c>
      <c r="R37" s="1">
        <f t="shared" si="14"/>
        <v>0.90329040000000005</v>
      </c>
      <c r="S37" s="1">
        <f t="shared" si="15"/>
        <v>110.70636862740929</v>
      </c>
      <c r="W37">
        <v>42.145809999999997</v>
      </c>
      <c r="X37">
        <v>-71.132459999999995</v>
      </c>
      <c r="Y37" t="s">
        <v>91</v>
      </c>
      <c r="AB37" s="15">
        <v>0.14899999999999999</v>
      </c>
      <c r="AC37" t="s">
        <v>399</v>
      </c>
      <c r="AD37" t="s">
        <v>703</v>
      </c>
      <c r="AE37" t="s">
        <v>29</v>
      </c>
      <c r="AF37" t="s">
        <v>694</v>
      </c>
      <c r="AG37" t="s">
        <v>702</v>
      </c>
      <c r="AI37">
        <v>1</v>
      </c>
      <c r="AK37">
        <v>1561.96</v>
      </c>
      <c r="AL37">
        <f t="shared" si="9"/>
        <v>0.77729263233373447</v>
      </c>
      <c r="AM37">
        <v>1972.02</v>
      </c>
      <c r="AN37">
        <f t="shared" si="10"/>
        <v>0.61566312714881188</v>
      </c>
      <c r="AO37">
        <v>1284.07</v>
      </c>
      <c r="AP37">
        <f t="shared" si="11"/>
        <v>0.94550920121177207</v>
      </c>
      <c r="AQ37" s="11"/>
    </row>
    <row r="38" spans="1:47" x14ac:dyDescent="0.3">
      <c r="A38" s="11" t="s">
        <v>35</v>
      </c>
      <c r="B38" t="s">
        <v>36</v>
      </c>
      <c r="C38">
        <v>2001</v>
      </c>
      <c r="D38" s="42">
        <v>5324</v>
      </c>
      <c r="E38" s="94">
        <v>6480</v>
      </c>
      <c r="F38" s="308">
        <f t="shared" si="8"/>
        <v>0.82160493827160497</v>
      </c>
      <c r="H38">
        <v>8400</v>
      </c>
      <c r="I38" t="s">
        <v>37</v>
      </c>
      <c r="J38">
        <v>70</v>
      </c>
      <c r="K38" s="9">
        <f t="shared" si="0"/>
        <v>0.28329000000000004</v>
      </c>
      <c r="L38" s="9">
        <f t="shared" si="1"/>
        <v>28.329000000000001</v>
      </c>
      <c r="M38" s="1">
        <f t="shared" si="2"/>
        <v>5.3209992486851991</v>
      </c>
      <c r="N38" s="1">
        <f t="shared" si="3"/>
        <v>18.793462529563342</v>
      </c>
      <c r="O38">
        <v>37.19</v>
      </c>
      <c r="P38" s="1">
        <f t="shared" si="12"/>
        <v>0.15050793000000001</v>
      </c>
      <c r="Q38" s="1">
        <f t="shared" si="13"/>
        <v>15.050792999999999</v>
      </c>
      <c r="R38" s="1">
        <f t="shared" si="14"/>
        <v>2.8269708865514649</v>
      </c>
      <c r="S38" s="1">
        <f t="shared" si="15"/>
        <v>35.373551413536809</v>
      </c>
      <c r="T38" s="1">
        <f>0.79077/2.44811</f>
        <v>0.32301244633615322</v>
      </c>
      <c r="U38" s="1">
        <f>1/T38</f>
        <v>3.0958559378833286</v>
      </c>
      <c r="V38" s="1">
        <f>T38*R38</f>
        <v>0.91314678178607256</v>
      </c>
      <c r="W38">
        <v>34.297060999999999</v>
      </c>
      <c r="X38">
        <v>-109.26690000000001</v>
      </c>
      <c r="Y38" t="s">
        <v>91</v>
      </c>
      <c r="Z38" t="s">
        <v>88</v>
      </c>
      <c r="AA38" t="s">
        <v>94</v>
      </c>
      <c r="AB38" s="15">
        <v>0.10970000000000001</v>
      </c>
      <c r="AC38" s="15" t="s">
        <v>81</v>
      </c>
      <c r="AD38" s="15" t="s">
        <v>81</v>
      </c>
      <c r="AE38" t="s">
        <v>29</v>
      </c>
      <c r="AF38" t="s">
        <v>80</v>
      </c>
      <c r="AG38" s="15" t="s">
        <v>252</v>
      </c>
      <c r="AH38">
        <v>1</v>
      </c>
      <c r="AI38">
        <v>1</v>
      </c>
      <c r="AK38">
        <v>2129.36</v>
      </c>
      <c r="AL38">
        <f t="shared" si="9"/>
        <v>2.498872547941728</v>
      </c>
      <c r="AM38">
        <v>1972.1</v>
      </c>
      <c r="AN38">
        <f t="shared" si="10"/>
        <v>2.6981386586304952</v>
      </c>
      <c r="AO38">
        <v>1292.8900000000001</v>
      </c>
      <c r="AP38">
        <f t="shared" si="11"/>
        <v>4.1155854316184666</v>
      </c>
      <c r="AQ38" s="11"/>
    </row>
    <row r="39" spans="1:47" x14ac:dyDescent="0.3">
      <c r="A39" s="11" t="s">
        <v>107</v>
      </c>
      <c r="B39" t="s">
        <v>185</v>
      </c>
      <c r="C39">
        <v>2008</v>
      </c>
      <c r="D39" s="42">
        <v>10000</v>
      </c>
      <c r="E39" s="94">
        <v>12000</v>
      </c>
      <c r="F39" s="308">
        <f t="shared" si="8"/>
        <v>0.83333333333333337</v>
      </c>
      <c r="H39">
        <v>167000</v>
      </c>
      <c r="I39" t="s">
        <v>186</v>
      </c>
      <c r="J39">
        <v>80</v>
      </c>
      <c r="K39" s="9">
        <f t="shared" si="0"/>
        <v>0.32376000000000005</v>
      </c>
      <c r="L39" s="9">
        <f t="shared" si="1"/>
        <v>32.375999999999998</v>
      </c>
      <c r="M39" s="1">
        <f t="shared" si="2"/>
        <v>3.2375999999999996</v>
      </c>
      <c r="N39" s="1">
        <f t="shared" si="3"/>
        <v>30.88707684704719</v>
      </c>
      <c r="O39">
        <v>70</v>
      </c>
      <c r="P39" s="1">
        <f t="shared" si="12"/>
        <v>0.28329000000000004</v>
      </c>
      <c r="Q39" s="1">
        <f t="shared" si="13"/>
        <v>28.329000000000001</v>
      </c>
      <c r="R39" s="1">
        <f t="shared" si="14"/>
        <v>2.8329</v>
      </c>
      <c r="S39" s="1">
        <f t="shared" si="15"/>
        <v>35.299516396625364</v>
      </c>
      <c r="T39" s="1"/>
      <c r="U39" s="1"/>
      <c r="V39" s="1"/>
      <c r="W39" s="53">
        <v>35.788820000000001</v>
      </c>
      <c r="X39" s="53">
        <v>-114.99776</v>
      </c>
      <c r="Y39" t="s">
        <v>91</v>
      </c>
      <c r="AA39" t="s">
        <v>94</v>
      </c>
      <c r="AB39" s="15">
        <v>0.1</v>
      </c>
      <c r="AC39" s="15"/>
      <c r="AD39" s="15" t="s">
        <v>146</v>
      </c>
      <c r="AE39" t="s">
        <v>29</v>
      </c>
      <c r="AF39" t="s">
        <v>110</v>
      </c>
      <c r="AG39" s="15" t="s">
        <v>252</v>
      </c>
      <c r="AI39">
        <v>1</v>
      </c>
      <c r="AK39">
        <v>2124.63</v>
      </c>
      <c r="AL39">
        <f t="shared" si="9"/>
        <v>1.5238417983366512</v>
      </c>
      <c r="AM39">
        <v>1973.84</v>
      </c>
      <c r="AN39">
        <f t="shared" si="10"/>
        <v>1.6402545292424915</v>
      </c>
      <c r="AO39">
        <v>1293.23</v>
      </c>
      <c r="AP39">
        <f t="shared" si="11"/>
        <v>2.5034989908987573</v>
      </c>
    </row>
    <row r="40" spans="1:47" x14ac:dyDescent="0.3">
      <c r="A40" s="11" t="s">
        <v>196</v>
      </c>
      <c r="B40" t="s">
        <v>197</v>
      </c>
      <c r="C40">
        <v>2010</v>
      </c>
      <c r="D40" s="42">
        <v>10000</v>
      </c>
      <c r="E40" s="94">
        <v>12600</v>
      </c>
      <c r="F40" s="308">
        <f t="shared" si="8"/>
        <v>0.79365079365079361</v>
      </c>
      <c r="H40">
        <v>159200</v>
      </c>
      <c r="I40" t="s">
        <v>199</v>
      </c>
      <c r="J40">
        <v>77</v>
      </c>
      <c r="K40" s="9">
        <f t="shared" si="0"/>
        <v>0.31161900000000003</v>
      </c>
      <c r="L40" s="9">
        <f t="shared" si="1"/>
        <v>31.161899999999999</v>
      </c>
      <c r="M40" s="1">
        <f t="shared" si="2"/>
        <v>3.11619</v>
      </c>
      <c r="N40" s="1">
        <f t="shared" si="3"/>
        <v>32.090469451477603</v>
      </c>
      <c r="O40">
        <v>83.9</v>
      </c>
      <c r="P40" s="1">
        <f t="shared" si="12"/>
        <v>0.33954330000000005</v>
      </c>
      <c r="Q40" s="1">
        <f t="shared" si="13"/>
        <v>33.954330000000006</v>
      </c>
      <c r="R40" s="1">
        <f t="shared" si="14"/>
        <v>3.3954330000000006</v>
      </c>
      <c r="S40" s="1">
        <f t="shared" si="15"/>
        <v>29.451324764764902</v>
      </c>
      <c r="T40" s="1">
        <f>0.79077/2.44811</f>
        <v>0.32301244633615322</v>
      </c>
      <c r="U40" s="1">
        <f>1/T40</f>
        <v>3.0958559378833286</v>
      </c>
      <c r="V40" s="1"/>
      <c r="W40" s="53">
        <v>40.880769999999998</v>
      </c>
      <c r="X40" s="53">
        <v>-83.318020000000004</v>
      </c>
      <c r="Y40" t="s">
        <v>91</v>
      </c>
      <c r="AA40" t="s">
        <v>94</v>
      </c>
      <c r="AB40" s="15"/>
      <c r="AC40" s="15" t="s">
        <v>366</v>
      </c>
      <c r="AD40" s="15" t="s">
        <v>146</v>
      </c>
      <c r="AE40" t="s">
        <v>29</v>
      </c>
      <c r="AF40" t="s">
        <v>110</v>
      </c>
      <c r="AG40" s="15" t="s">
        <v>252</v>
      </c>
      <c r="AI40">
        <v>1</v>
      </c>
      <c r="AK40">
        <v>1453.5</v>
      </c>
      <c r="AL40">
        <f t="shared" si="9"/>
        <v>2.1439215686274511</v>
      </c>
      <c r="AM40">
        <v>1972.76</v>
      </c>
      <c r="AN40">
        <f t="shared" si="10"/>
        <v>1.5796092783714186</v>
      </c>
      <c r="AO40">
        <v>1284.54</v>
      </c>
      <c r="AP40">
        <f t="shared" si="11"/>
        <v>2.4259190060255036</v>
      </c>
      <c r="AR40" s="11"/>
      <c r="AS40" s="11"/>
      <c r="AT40" s="11"/>
      <c r="AU40" s="11"/>
    </row>
    <row r="41" spans="1:47" x14ac:dyDescent="0.3">
      <c r="A41" s="11" t="s">
        <v>171</v>
      </c>
      <c r="B41" s="11" t="s">
        <v>577</v>
      </c>
      <c r="C41">
        <v>2011</v>
      </c>
      <c r="D41" s="42">
        <v>10000</v>
      </c>
      <c r="E41" s="94">
        <f>235*H41/1000</f>
        <v>12502</v>
      </c>
      <c r="F41" s="308">
        <f t="shared" si="8"/>
        <v>0.79987202047672368</v>
      </c>
      <c r="G41">
        <v>41</v>
      </c>
      <c r="H41">
        <v>53200</v>
      </c>
      <c r="I41" t="s">
        <v>576</v>
      </c>
      <c r="J41" s="74">
        <v>98</v>
      </c>
      <c r="K41" s="9">
        <f t="shared" si="0"/>
        <v>0.39660600000000001</v>
      </c>
      <c r="L41" s="9">
        <f t="shared" si="1"/>
        <v>39.660600000000002</v>
      </c>
      <c r="M41" s="1">
        <f t="shared" si="2"/>
        <v>3.9660600000000001</v>
      </c>
      <c r="N41" s="1">
        <f t="shared" si="3"/>
        <v>25.213940283303831</v>
      </c>
      <c r="O41" s="11">
        <v>78</v>
      </c>
      <c r="P41" s="25">
        <f t="shared" si="12"/>
        <v>0.315666</v>
      </c>
      <c r="Q41" s="1">
        <f t="shared" si="13"/>
        <v>31.566600000000001</v>
      </c>
      <c r="R41" s="1">
        <f t="shared" si="14"/>
        <v>3.15666</v>
      </c>
      <c r="S41" s="1">
        <f t="shared" si="15"/>
        <v>31.679053176458662</v>
      </c>
      <c r="T41" s="11"/>
      <c r="U41" s="11"/>
      <c r="V41" s="11"/>
      <c r="W41" s="11">
        <v>39.380499999999998</v>
      </c>
      <c r="X41" s="11">
        <v>-75.188900000000004</v>
      </c>
      <c r="Y41" t="s">
        <v>91</v>
      </c>
      <c r="Z41" t="s">
        <v>579</v>
      </c>
      <c r="AA41" s="11"/>
      <c r="AB41" s="15">
        <v>0.14399999999999999</v>
      </c>
      <c r="AC41" s="11" t="s">
        <v>399</v>
      </c>
      <c r="AD41" t="s">
        <v>578</v>
      </c>
      <c r="AE41" s="11" t="s">
        <v>29</v>
      </c>
      <c r="AF41" s="11" t="s">
        <v>157</v>
      </c>
      <c r="AG41" s="15" t="s">
        <v>380</v>
      </c>
      <c r="AI41">
        <v>1</v>
      </c>
      <c r="AK41">
        <v>1609.45</v>
      </c>
      <c r="AL41">
        <f t="shared" si="9"/>
        <v>2.4642331231165926</v>
      </c>
      <c r="AM41">
        <v>1973.75</v>
      </c>
      <c r="AN41">
        <f t="shared" si="10"/>
        <v>2.009403419886004</v>
      </c>
      <c r="AO41">
        <v>1286.79</v>
      </c>
      <c r="AP41">
        <f t="shared" si="11"/>
        <v>3.0821346140395867</v>
      </c>
      <c r="AR41" s="11"/>
      <c r="AS41" s="11"/>
      <c r="AT41" s="11"/>
      <c r="AU41" s="11"/>
    </row>
    <row r="42" spans="1:47" x14ac:dyDescent="0.3">
      <c r="A42" s="11" t="s">
        <v>148</v>
      </c>
      <c r="B42" t="s">
        <v>152</v>
      </c>
      <c r="C42">
        <v>2010</v>
      </c>
      <c r="D42" s="94">
        <v>10000</v>
      </c>
      <c r="E42" s="18">
        <f>D42/$I$186</f>
        <v>11745.254232357105</v>
      </c>
      <c r="F42" s="308">
        <f t="shared" si="8"/>
        <v>0.85140770920487285</v>
      </c>
      <c r="G42">
        <v>74</v>
      </c>
      <c r="H42">
        <v>35000</v>
      </c>
      <c r="I42" t="s">
        <v>153</v>
      </c>
      <c r="J42">
        <v>45</v>
      </c>
      <c r="K42" s="9">
        <f t="shared" si="0"/>
        <v>0.182115</v>
      </c>
      <c r="L42" s="9">
        <f t="shared" si="1"/>
        <v>18.211500000000001</v>
      </c>
      <c r="M42" s="1">
        <f t="shared" si="2"/>
        <v>1.82115</v>
      </c>
      <c r="N42" s="1">
        <f t="shared" si="3"/>
        <v>54.910358839195013</v>
      </c>
      <c r="O42">
        <v>30</v>
      </c>
      <c r="P42" s="1">
        <f t="shared" si="12"/>
        <v>0.12141</v>
      </c>
      <c r="Q42" s="1">
        <f t="shared" si="13"/>
        <v>12.141</v>
      </c>
      <c r="R42" s="1">
        <f t="shared" si="14"/>
        <v>1.2141</v>
      </c>
      <c r="S42" s="1">
        <f t="shared" si="15"/>
        <v>82.365538258792512</v>
      </c>
      <c r="T42" s="1"/>
      <c r="U42" s="1"/>
      <c r="V42" s="1"/>
      <c r="W42" s="53">
        <v>28.48742</v>
      </c>
      <c r="X42" s="53">
        <v>-80.679969999999997</v>
      </c>
      <c r="Y42" t="s">
        <v>91</v>
      </c>
      <c r="AA42" t="s">
        <v>95</v>
      </c>
      <c r="AB42" s="15"/>
      <c r="AC42" s="15"/>
      <c r="AD42" s="15"/>
      <c r="AE42" t="s">
        <v>29</v>
      </c>
      <c r="AF42" t="s">
        <v>110</v>
      </c>
      <c r="AG42" s="15" t="s">
        <v>252</v>
      </c>
      <c r="AH42">
        <v>1</v>
      </c>
      <c r="AI42">
        <v>1</v>
      </c>
      <c r="AK42">
        <v>1790.79</v>
      </c>
      <c r="AL42">
        <f t="shared" si="9"/>
        <v>1.0169534116228034</v>
      </c>
      <c r="AM42">
        <v>1953.68</v>
      </c>
      <c r="AN42">
        <f t="shared" si="10"/>
        <v>0.93216391630154383</v>
      </c>
      <c r="AO42">
        <v>1289.48</v>
      </c>
      <c r="AP42">
        <f t="shared" si="11"/>
        <v>1.4123134907094332</v>
      </c>
    </row>
    <row r="43" spans="1:47" x14ac:dyDescent="0.3">
      <c r="A43" s="11" t="s">
        <v>148</v>
      </c>
      <c r="B43" t="s">
        <v>195</v>
      </c>
      <c r="C43">
        <v>2010</v>
      </c>
      <c r="D43" s="42">
        <f>12600</f>
        <v>12600</v>
      </c>
      <c r="E43" s="94">
        <v>15010</v>
      </c>
      <c r="F43" s="308">
        <f t="shared" si="8"/>
        <v>0.83944037308461028</v>
      </c>
      <c r="H43">
        <v>200000</v>
      </c>
      <c r="I43" t="s">
        <v>192</v>
      </c>
      <c r="J43">
        <v>96</v>
      </c>
      <c r="K43" s="9">
        <f t="shared" si="0"/>
        <v>0.38851200000000002</v>
      </c>
      <c r="L43" s="9">
        <f t="shared" si="1"/>
        <v>38.851199999999999</v>
      </c>
      <c r="M43" s="1">
        <f t="shared" si="2"/>
        <v>3.0834285714285712</v>
      </c>
      <c r="N43" s="1">
        <f t="shared" si="3"/>
        <v>32.431430689399555</v>
      </c>
      <c r="O43">
        <v>70.400000000000006</v>
      </c>
      <c r="P43" s="1">
        <f t="shared" si="12"/>
        <v>0.28490880000000002</v>
      </c>
      <c r="Q43" s="1">
        <f t="shared" si="13"/>
        <v>28.490880000000004</v>
      </c>
      <c r="R43" s="1">
        <f t="shared" si="14"/>
        <v>2.2611809523809527</v>
      </c>
      <c r="S43" s="1">
        <f t="shared" si="15"/>
        <v>44.224678212817572</v>
      </c>
      <c r="T43" s="1"/>
      <c r="U43" s="1"/>
      <c r="V43" s="1"/>
      <c r="W43" s="53">
        <v>30.320170000000001</v>
      </c>
      <c r="X43" s="53" t="s">
        <v>256</v>
      </c>
      <c r="Y43" t="s">
        <v>91</v>
      </c>
      <c r="AA43" t="s">
        <v>96</v>
      </c>
      <c r="AB43" s="15">
        <v>0.11</v>
      </c>
      <c r="AC43" s="15" t="s">
        <v>366</v>
      </c>
      <c r="AD43" s="15" t="s">
        <v>602</v>
      </c>
      <c r="AE43" t="s">
        <v>109</v>
      </c>
      <c r="AF43" t="s">
        <v>157</v>
      </c>
      <c r="AG43" s="15" t="s">
        <v>352</v>
      </c>
      <c r="AI43">
        <v>1</v>
      </c>
      <c r="AK43">
        <v>1700.72</v>
      </c>
      <c r="AL43">
        <f t="shared" si="9"/>
        <v>1.8130136480011825</v>
      </c>
      <c r="AM43">
        <v>1962.09</v>
      </c>
      <c r="AN43">
        <f t="shared" si="10"/>
        <v>1.5715021081747378</v>
      </c>
      <c r="AO43">
        <v>1291.77</v>
      </c>
      <c r="AP43">
        <f t="shared" si="11"/>
        <v>2.3869795485485583</v>
      </c>
    </row>
    <row r="44" spans="1:47" x14ac:dyDescent="0.3">
      <c r="A44" s="11" t="s">
        <v>190</v>
      </c>
      <c r="B44" t="s">
        <v>191</v>
      </c>
      <c r="C44">
        <v>2010</v>
      </c>
      <c r="D44" s="42">
        <v>14000</v>
      </c>
      <c r="E44" s="94">
        <v>16100</v>
      </c>
      <c r="F44" s="308">
        <f t="shared" si="8"/>
        <v>0.86956521739130432</v>
      </c>
      <c r="H44">
        <v>214500</v>
      </c>
      <c r="I44" t="s">
        <v>192</v>
      </c>
      <c r="J44">
        <v>108</v>
      </c>
      <c r="K44" s="9">
        <f t="shared" si="0"/>
        <v>0.43707600000000002</v>
      </c>
      <c r="L44" s="9">
        <f t="shared" si="1"/>
        <v>43.707599999999999</v>
      </c>
      <c r="M44" s="1">
        <f t="shared" si="2"/>
        <v>3.1219714285714284</v>
      </c>
      <c r="N44" s="1">
        <f t="shared" si="3"/>
        <v>32.031042656197087</v>
      </c>
      <c r="O44">
        <v>83.2</v>
      </c>
      <c r="P44" s="1">
        <f t="shared" si="12"/>
        <v>0.33671040000000002</v>
      </c>
      <c r="Q44" s="1">
        <f t="shared" si="13"/>
        <v>33.671040000000005</v>
      </c>
      <c r="R44" s="1">
        <f t="shared" si="14"/>
        <v>2.4050742857142859</v>
      </c>
      <c r="S44" s="1">
        <f t="shared" si="15"/>
        <v>41.57875729410199</v>
      </c>
      <c r="T44" s="1"/>
      <c r="U44" s="1"/>
      <c r="V44" s="1"/>
      <c r="W44" s="53">
        <v>29.300809999999998</v>
      </c>
      <c r="X44" s="53">
        <v>-98.392099999999999</v>
      </c>
      <c r="Y44" t="s">
        <v>91</v>
      </c>
      <c r="Z44" t="s">
        <v>600</v>
      </c>
      <c r="AA44" t="s">
        <v>95</v>
      </c>
      <c r="AB44" s="15"/>
      <c r="AC44" s="15"/>
      <c r="AD44" s="15"/>
      <c r="AE44" t="s">
        <v>109</v>
      </c>
      <c r="AF44" t="s">
        <v>110</v>
      </c>
      <c r="AG44" s="15" t="s">
        <v>252</v>
      </c>
      <c r="AH44">
        <v>1</v>
      </c>
      <c r="AI44">
        <v>1</v>
      </c>
      <c r="AK44">
        <v>1637.73</v>
      </c>
      <c r="AL44">
        <f t="shared" si="9"/>
        <v>1.9062796850344246</v>
      </c>
      <c r="AM44">
        <v>1898.77</v>
      </c>
      <c r="AN44">
        <f t="shared" si="10"/>
        <v>1.6442072650038859</v>
      </c>
      <c r="AO44">
        <v>1266.03</v>
      </c>
      <c r="AP44">
        <f t="shared" si="11"/>
        <v>2.4659537519422354</v>
      </c>
    </row>
    <row r="45" spans="1:47" x14ac:dyDescent="0.3">
      <c r="A45" t="s">
        <v>35</v>
      </c>
      <c r="B45" t="s">
        <v>642</v>
      </c>
      <c r="C45">
        <v>2011</v>
      </c>
      <c r="D45" s="98">
        <v>17280</v>
      </c>
      <c r="E45" s="18">
        <f>D45/$I$186</f>
        <v>20295.799313513078</v>
      </c>
      <c r="F45" s="308">
        <f t="shared" si="8"/>
        <v>0.85140770920487285</v>
      </c>
      <c r="H45">
        <v>300000</v>
      </c>
      <c r="I45" t="s">
        <v>644</v>
      </c>
      <c r="J45">
        <v>200</v>
      </c>
      <c r="K45">
        <f t="shared" si="0"/>
        <v>0.80940000000000001</v>
      </c>
      <c r="L45">
        <f t="shared" si="1"/>
        <v>80.94</v>
      </c>
      <c r="M45">
        <f t="shared" si="2"/>
        <v>4.6840277777777777</v>
      </c>
      <c r="N45" s="98">
        <f t="shared" si="3"/>
        <v>21.349147516679022</v>
      </c>
      <c r="W45">
        <v>33.031500000000001</v>
      </c>
      <c r="X45">
        <v>-112.6606</v>
      </c>
      <c r="Y45" t="s">
        <v>91</v>
      </c>
      <c r="AB45" s="15">
        <v>0.106</v>
      </c>
      <c r="AC45" t="s">
        <v>366</v>
      </c>
      <c r="AD45" t="s">
        <v>102</v>
      </c>
      <c r="AE45" t="s">
        <v>29</v>
      </c>
      <c r="AF45" t="s">
        <v>645</v>
      </c>
      <c r="AG45" t="s">
        <v>380</v>
      </c>
      <c r="AI45">
        <v>1</v>
      </c>
      <c r="AK45">
        <v>2109.5</v>
      </c>
      <c r="AL45">
        <f t="shared" si="9"/>
        <v>2.2204445497879961</v>
      </c>
      <c r="AM45">
        <v>1971.2</v>
      </c>
      <c r="AN45">
        <f t="shared" si="10"/>
        <v>2.3762316242784993</v>
      </c>
      <c r="AO45">
        <v>1294.4000000000001</v>
      </c>
      <c r="AP45">
        <f t="shared" si="11"/>
        <v>3.6186864785056994</v>
      </c>
    </row>
    <row r="46" spans="1:47" x14ac:dyDescent="0.3">
      <c r="A46" t="s">
        <v>26</v>
      </c>
      <c r="B46" t="s">
        <v>650</v>
      </c>
      <c r="C46">
        <v>2011</v>
      </c>
      <c r="D46" s="98">
        <v>18000</v>
      </c>
      <c r="E46" s="18">
        <f>D46/$I$186</f>
        <v>21141.457618242788</v>
      </c>
      <c r="F46" s="308">
        <f t="shared" si="8"/>
        <v>0.85140770920487285</v>
      </c>
      <c r="H46">
        <v>281880</v>
      </c>
      <c r="I46" t="s">
        <v>167</v>
      </c>
      <c r="J46">
        <v>139.19999999999999</v>
      </c>
      <c r="K46" s="9">
        <f t="shared" si="0"/>
        <v>0.56334240000000002</v>
      </c>
      <c r="L46" s="9">
        <f t="shared" si="1"/>
        <v>56.334239999999994</v>
      </c>
      <c r="M46" s="9">
        <f t="shared" si="2"/>
        <v>3.1296799999999996</v>
      </c>
      <c r="N46" s="9">
        <f t="shared" si="3"/>
        <v>31.952148462462613</v>
      </c>
      <c r="O46">
        <v>100.07</v>
      </c>
      <c r="P46" s="1">
        <f>O46*0.004047</f>
        <v>0.40498329</v>
      </c>
      <c r="Q46" s="1">
        <f>O46*0.4047</f>
        <v>40.498328999999998</v>
      </c>
      <c r="R46" s="1">
        <f>Q46/(D46/1000)</f>
        <v>2.2499071666666666</v>
      </c>
      <c r="S46" s="1">
        <f>D46/1000/P46</f>
        <v>44.446278264962487</v>
      </c>
      <c r="W46">
        <v>38.365569999999998</v>
      </c>
      <c r="X46">
        <v>-121.41294000000001</v>
      </c>
      <c r="Y46" t="s">
        <v>91</v>
      </c>
      <c r="Z46" t="s">
        <v>653</v>
      </c>
      <c r="AA46" t="s">
        <v>96</v>
      </c>
      <c r="AB46" s="15">
        <v>0.107</v>
      </c>
      <c r="AC46" t="s">
        <v>366</v>
      </c>
      <c r="AD46" t="s">
        <v>146</v>
      </c>
      <c r="AE46" t="s">
        <v>29</v>
      </c>
      <c r="AF46" t="s">
        <v>493</v>
      </c>
      <c r="AG46" t="s">
        <v>647</v>
      </c>
      <c r="AI46">
        <v>1</v>
      </c>
      <c r="AK46">
        <v>1805.1</v>
      </c>
      <c r="AL46">
        <f t="shared" si="9"/>
        <v>1.7337986815134894</v>
      </c>
      <c r="AM46">
        <v>1898.27</v>
      </c>
      <c r="AN46">
        <f t="shared" si="10"/>
        <v>1.648701185816559</v>
      </c>
      <c r="AO46">
        <v>1265.07</v>
      </c>
      <c r="AP46">
        <f t="shared" si="11"/>
        <v>2.4739184392958489</v>
      </c>
    </row>
    <row r="47" spans="1:47" x14ac:dyDescent="0.3">
      <c r="A47" s="11" t="s">
        <v>26</v>
      </c>
      <c r="B47" s="11" t="s">
        <v>513</v>
      </c>
      <c r="C47">
        <v>2011</v>
      </c>
      <c r="D47" s="42">
        <v>1200</v>
      </c>
      <c r="E47" s="75">
        <v>1400</v>
      </c>
      <c r="F47" s="308">
        <f t="shared" si="8"/>
        <v>0.8571428571428571</v>
      </c>
      <c r="H47">
        <v>6300</v>
      </c>
      <c r="I47" t="s">
        <v>514</v>
      </c>
      <c r="J47" s="74">
        <v>8.19</v>
      </c>
      <c r="K47" s="9">
        <f t="shared" si="0"/>
        <v>3.3144930000000003E-2</v>
      </c>
      <c r="L47" s="9">
        <f t="shared" si="1"/>
        <v>3.3144929999999997</v>
      </c>
      <c r="M47" s="1">
        <f t="shared" si="2"/>
        <v>2.7620774999999997</v>
      </c>
      <c r="N47" s="1">
        <f t="shared" si="3"/>
        <v>36.204632201667039</v>
      </c>
      <c r="O47" s="11">
        <v>4.7846000000000002</v>
      </c>
      <c r="P47" s="1">
        <f>O47*0.004047</f>
        <v>1.9363276200000001E-2</v>
      </c>
      <c r="Q47" s="1">
        <f>O47*0.4047</f>
        <v>1.9363276200000001</v>
      </c>
      <c r="R47" s="1">
        <f>Q47/(D47/1000)</f>
        <v>1.6136063500000002</v>
      </c>
      <c r="S47" s="1">
        <f>D47/1000/P47</f>
        <v>61.972983683411996</v>
      </c>
      <c r="T47" s="11"/>
      <c r="U47" s="11"/>
      <c r="V47" s="11"/>
      <c r="W47" s="11">
        <v>33.234802000000002</v>
      </c>
      <c r="X47" s="11">
        <v>-117.38078400000001</v>
      </c>
      <c r="Y47" t="s">
        <v>91</v>
      </c>
      <c r="AA47" s="11"/>
      <c r="AB47" s="15">
        <v>0.14199999999999999</v>
      </c>
      <c r="AC47" s="11" t="s">
        <v>399</v>
      </c>
      <c r="AD47" t="s">
        <v>512</v>
      </c>
      <c r="AE47" t="s">
        <v>29</v>
      </c>
      <c r="AF47" t="s">
        <v>157</v>
      </c>
      <c r="AG47" s="15" t="s">
        <v>380</v>
      </c>
      <c r="AI47">
        <v>1</v>
      </c>
      <c r="AK47">
        <v>1910.06</v>
      </c>
      <c r="AL47">
        <f t="shared" si="9"/>
        <v>1.4460684481115775</v>
      </c>
      <c r="AM47">
        <v>1971.35</v>
      </c>
      <c r="AN47">
        <f t="shared" si="10"/>
        <v>1.401109645674284</v>
      </c>
      <c r="AO47">
        <v>1294.68</v>
      </c>
      <c r="AP47">
        <f t="shared" si="11"/>
        <v>2.1334055519510606</v>
      </c>
    </row>
    <row r="48" spans="1:47" ht="14.25" customHeight="1" x14ac:dyDescent="0.3">
      <c r="A48" s="11"/>
      <c r="B48" s="11"/>
      <c r="D48" s="18"/>
      <c r="E48" s="18"/>
      <c r="F48" s="244">
        <f>MIN(F3:F47)</f>
        <v>0.74979865771812082</v>
      </c>
      <c r="AA48" s="11"/>
      <c r="AG48" s="15"/>
    </row>
    <row r="49" spans="1:38" ht="14.25" customHeight="1" x14ac:dyDescent="0.3">
      <c r="F49" s="244">
        <f>MAX(F3:F47)</f>
        <v>0.96999999999999986</v>
      </c>
    </row>
    <row r="50" spans="1:38" s="11" customFormat="1" ht="15" customHeight="1" x14ac:dyDescent="0.3">
      <c r="A50"/>
      <c r="B50"/>
      <c r="C50"/>
      <c r="D50"/>
      <c r="E50"/>
      <c r="F50" s="260"/>
      <c r="G50"/>
      <c r="H50"/>
      <c r="I50"/>
      <c r="J50"/>
      <c r="K50"/>
      <c r="L50"/>
      <c r="M50"/>
      <c r="N50"/>
      <c r="O50"/>
      <c r="P50"/>
      <c r="Q50"/>
      <c r="R50"/>
      <c r="S50"/>
      <c r="T50"/>
      <c r="U50"/>
      <c r="V50"/>
      <c r="W50"/>
      <c r="X50"/>
      <c r="Y50"/>
      <c r="Z50"/>
      <c r="AA50"/>
      <c r="AB50"/>
      <c r="AC50"/>
      <c r="AD50"/>
      <c r="AE50"/>
      <c r="AF50"/>
      <c r="AG50"/>
      <c r="AH50"/>
      <c r="AI50"/>
    </row>
    <row r="51" spans="1:38" s="11" customFormat="1" ht="15" customHeight="1" x14ac:dyDescent="0.3">
      <c r="A51" s="24" t="s">
        <v>596</v>
      </c>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row>
    <row r="52" spans="1:38" s="11" customFormat="1" ht="15" customHeight="1" thickBot="1" x14ac:dyDescent="0.35">
      <c r="C52" s="11" t="s">
        <v>742</v>
      </c>
      <c r="I52" s="11" t="s">
        <v>131</v>
      </c>
      <c r="T52" s="11" t="s">
        <v>880</v>
      </c>
      <c r="V52" s="11" t="s">
        <v>760</v>
      </c>
      <c r="AK52"/>
    </row>
    <row r="53" spans="1:38" s="11" customFormat="1" ht="17.25" customHeight="1" thickBot="1" x14ac:dyDescent="0.35">
      <c r="A53" s="11" t="s">
        <v>211</v>
      </c>
      <c r="C53" s="11">
        <v>2007</v>
      </c>
      <c r="D53" s="11">
        <v>2009</v>
      </c>
      <c r="E53" s="11">
        <v>2011</v>
      </c>
      <c r="H53" s="11" t="s">
        <v>878</v>
      </c>
      <c r="I53" t="s">
        <v>134</v>
      </c>
      <c r="J53" s="26">
        <f>MAX(J3:J29)</f>
        <v>212</v>
      </c>
      <c r="K53" s="26">
        <f t="shared" ref="K53:S53" si="16">MAX(K3:K29)</f>
        <v>0.85796400000000006</v>
      </c>
      <c r="L53" s="26">
        <f t="shared" si="16"/>
        <v>85.796400000000006</v>
      </c>
      <c r="M53" s="26">
        <f t="shared" si="16"/>
        <v>5.2219354838709675</v>
      </c>
      <c r="N53" s="26">
        <f t="shared" si="16"/>
        <v>43.048190727591908</v>
      </c>
      <c r="O53" s="26">
        <f t="shared" si="16"/>
        <v>116.5</v>
      </c>
      <c r="P53" s="26">
        <f t="shared" si="16"/>
        <v>0.47147550000000005</v>
      </c>
      <c r="Q53" s="26">
        <f t="shared" si="16"/>
        <v>47.147550000000003</v>
      </c>
      <c r="R53" s="26">
        <f t="shared" si="16"/>
        <v>3.8216836734693875</v>
      </c>
      <c r="S53" s="26">
        <f t="shared" si="16"/>
        <v>53.47284538254457</v>
      </c>
      <c r="V53" s="231" t="s">
        <v>764</v>
      </c>
      <c r="W53" s="185" t="s">
        <v>13</v>
      </c>
      <c r="X53" s="185"/>
      <c r="Y53" s="185" t="s">
        <v>9</v>
      </c>
      <c r="Z53" s="229"/>
      <c r="AK53"/>
      <c r="AL53"/>
    </row>
    <row r="54" spans="1:38" ht="15" customHeight="1" thickBot="1" x14ac:dyDescent="0.35">
      <c r="A54" s="11">
        <f>COUNTA(A3:A47)</f>
        <v>45</v>
      </c>
      <c r="B54" s="11"/>
      <c r="C54" s="29">
        <f>(COUNTIFS($C$3:$C$47,"&gt;2007",$AE$3:$AE$47,"=completed")+2)/(COUNTIF($AE$3:$AE$47,"=completed")+2)</f>
        <v>0.93181818181818177</v>
      </c>
      <c r="D54" s="29">
        <f>(COUNTIFS($C$3:$C$47,"&gt;2009",$AE$3:$AE$47,"=completed")+2)/(COUNTIF($AE$3:$AE$47,"=completed")+2)</f>
        <v>0.59090909090909094</v>
      </c>
      <c r="E54" s="29">
        <f>(COUNTIFS($C$3:$C$47,"&gt;2011",$AE$3:$AE$47,"=completed")+2)/(COUNTIF($AE$3:$AE$47,"=completed")+2)</f>
        <v>9.0909090909090912E-2</v>
      </c>
      <c r="F54" s="29"/>
      <c r="G54" s="11"/>
      <c r="H54" s="11"/>
      <c r="I54" t="s">
        <v>135</v>
      </c>
      <c r="J54" s="26">
        <f>MIN(J3:J29)</f>
        <v>4.42</v>
      </c>
      <c r="K54" s="26">
        <f t="shared" ref="K54:S54" si="17">MIN(K3:K29)</f>
        <v>1.7887739999999999E-2</v>
      </c>
      <c r="L54" s="26">
        <f t="shared" si="17"/>
        <v>1.7887740000000001</v>
      </c>
      <c r="M54" s="26">
        <f t="shared" si="17"/>
        <v>2.322978</v>
      </c>
      <c r="N54" s="26">
        <f t="shared" si="17"/>
        <v>19.149987645169261</v>
      </c>
      <c r="O54" s="26">
        <f t="shared" si="17"/>
        <v>3.04</v>
      </c>
      <c r="P54" s="26">
        <f t="shared" si="17"/>
        <v>1.230288E-2</v>
      </c>
      <c r="Q54" s="26">
        <f t="shared" si="17"/>
        <v>1.230288</v>
      </c>
      <c r="R54" s="26">
        <f t="shared" si="17"/>
        <v>1.8701080760636601</v>
      </c>
      <c r="S54" s="26">
        <f t="shared" si="17"/>
        <v>26.166477538215069</v>
      </c>
      <c r="T54" s="11"/>
      <c r="U54" s="11"/>
      <c r="V54" s="45" t="str">
        <f t="shared" ref="V54:V73" si="18">I52</f>
        <v>1 Axis Tracking</v>
      </c>
      <c r="W54" s="165" t="s">
        <v>761</v>
      </c>
      <c r="X54" s="165" t="s">
        <v>762</v>
      </c>
      <c r="Y54" s="165" t="s">
        <v>761</v>
      </c>
      <c r="Z54" s="228" t="s">
        <v>762</v>
      </c>
      <c r="AA54" s="11"/>
      <c r="AB54" s="11"/>
      <c r="AC54" s="11"/>
      <c r="AD54" s="11"/>
      <c r="AG54" s="11"/>
      <c r="AH54" s="11"/>
      <c r="AI54" s="11"/>
      <c r="AJ54" s="11"/>
    </row>
    <row r="55" spans="1:38" ht="15" customHeight="1" x14ac:dyDescent="0.3">
      <c r="A55" s="11"/>
      <c r="B55" s="11"/>
      <c r="C55" s="11"/>
      <c r="D55" s="11"/>
      <c r="E55" s="11"/>
      <c r="F55" s="11"/>
      <c r="G55" s="11"/>
      <c r="H55" s="11"/>
      <c r="I55" t="s">
        <v>137</v>
      </c>
      <c r="J55" s="26">
        <f>wtavg($D$3:$D$29,J3:J29)</f>
        <v>119.91892736393862</v>
      </c>
      <c r="K55" s="26">
        <f t="shared" ref="K55:S55" si="19">wtavg($D$3:$D$29,K3:K29)</f>
        <v>0.48531189904185951</v>
      </c>
      <c r="L55" s="26">
        <f t="shared" si="19"/>
        <v>48.531189904185958</v>
      </c>
      <c r="M55" s="26">
        <f t="shared" si="19"/>
        <v>3.764695328676074</v>
      </c>
      <c r="N55" s="26">
        <f t="shared" si="19"/>
        <v>27.782567333758461</v>
      </c>
      <c r="O55" s="26">
        <f t="shared" si="19"/>
        <v>73.952305008260794</v>
      </c>
      <c r="P55" s="26">
        <f t="shared" si="19"/>
        <v>0.29928497836843143</v>
      </c>
      <c r="Q55" s="26">
        <f t="shared" si="19"/>
        <v>29.928497836843142</v>
      </c>
      <c r="R55" s="26">
        <f t="shared" si="19"/>
        <v>2.6726741900310307</v>
      </c>
      <c r="S55" s="26">
        <f t="shared" si="19"/>
        <v>38.55644774680453</v>
      </c>
      <c r="T55" s="26">
        <f>O55/J55</f>
        <v>0.61668584462755405</v>
      </c>
      <c r="U55" s="11"/>
      <c r="V55" s="232" t="str">
        <f t="shared" si="18"/>
        <v>Max</v>
      </c>
      <c r="W55" s="30">
        <f t="shared" ref="W55:W73" si="20">M53</f>
        <v>5.2219354838709675</v>
      </c>
      <c r="X55" s="30">
        <f t="shared" ref="X55:X73" si="21">N53</f>
        <v>43.048190727591908</v>
      </c>
      <c r="Y55" s="30">
        <f t="shared" ref="Y55:Y73" si="22">R53</f>
        <v>3.8216836734693875</v>
      </c>
      <c r="Z55" s="122">
        <f t="shared" ref="Z55:Z73" si="23">S53</f>
        <v>53.47284538254457</v>
      </c>
      <c r="AB55" s="11"/>
      <c r="AC55" s="11"/>
      <c r="AD55" s="11"/>
      <c r="AG55" s="11"/>
      <c r="AH55" s="11"/>
      <c r="AI55" s="11"/>
      <c r="AJ55" s="11"/>
    </row>
    <row r="56" spans="1:38" ht="15" customHeight="1" x14ac:dyDescent="0.3">
      <c r="A56" s="11"/>
      <c r="B56" s="11"/>
      <c r="C56" s="11" t="s">
        <v>217</v>
      </c>
      <c r="D56" s="11"/>
      <c r="E56" s="11"/>
      <c r="F56" s="11"/>
      <c r="G56" s="11"/>
      <c r="H56" s="11"/>
      <c r="I56" t="s">
        <v>136</v>
      </c>
      <c r="J56" s="26">
        <f>wtstd($D$3:$D$29,J3:J29)</f>
        <v>22.611326063402796</v>
      </c>
      <c r="K56" s="26">
        <f t="shared" ref="K56:S56" si="24">wtstd($D$3:$D$29,K3:K29)</f>
        <v>9.150803657859112E-2</v>
      </c>
      <c r="L56" s="26">
        <f t="shared" si="24"/>
        <v>9.150803657859111</v>
      </c>
      <c r="M56" s="26">
        <f t="shared" si="24"/>
        <v>0.32020184314452432</v>
      </c>
      <c r="N56" s="26">
        <f t="shared" si="24"/>
        <v>2.2581843475691437</v>
      </c>
      <c r="O56" s="26">
        <f t="shared" si="24"/>
        <v>16.181081034010866</v>
      </c>
      <c r="P56" s="26">
        <f t="shared" si="24"/>
        <v>6.5484834944641981E-2</v>
      </c>
      <c r="Q56" s="26">
        <f t="shared" si="24"/>
        <v>6.5484834944641985</v>
      </c>
      <c r="R56" s="26">
        <f t="shared" si="24"/>
        <v>0.19401819986107324</v>
      </c>
      <c r="S56" s="26">
        <f t="shared" si="24"/>
        <v>2.8936451564664663</v>
      </c>
      <c r="T56" s="11"/>
      <c r="U56" s="11"/>
      <c r="V56" s="232" t="str">
        <f t="shared" si="18"/>
        <v>Min</v>
      </c>
      <c r="W56" s="30">
        <f t="shared" si="20"/>
        <v>2.322978</v>
      </c>
      <c r="X56" s="30">
        <f t="shared" si="21"/>
        <v>19.149987645169261</v>
      </c>
      <c r="Y56" s="30">
        <f t="shared" si="22"/>
        <v>1.8701080760636601</v>
      </c>
      <c r="Z56" s="122">
        <f t="shared" si="23"/>
        <v>26.166477538215069</v>
      </c>
      <c r="AB56" s="11"/>
      <c r="AC56" s="11"/>
      <c r="AD56" s="11"/>
      <c r="AG56" s="11"/>
      <c r="AH56" s="11"/>
      <c r="AI56" s="11"/>
      <c r="AJ56" s="11"/>
    </row>
    <row r="57" spans="1:38" ht="15" customHeight="1" x14ac:dyDescent="0.3">
      <c r="A57" s="11"/>
      <c r="B57" s="11"/>
      <c r="C57" s="11">
        <f>SUMIF(AE3:AE47,"=proposed",E3:E47)/1000</f>
        <v>0</v>
      </c>
      <c r="D57" s="11"/>
      <c r="E57" s="11"/>
      <c r="F57" s="11"/>
      <c r="G57" s="11"/>
      <c r="I57" s="11" t="s">
        <v>139</v>
      </c>
      <c r="J57" s="26"/>
      <c r="K57" s="25"/>
      <c r="L57" s="26"/>
      <c r="M57" s="26"/>
      <c r="N57" s="26"/>
      <c r="O57" s="26"/>
      <c r="P57" s="26"/>
      <c r="Q57" s="26"/>
      <c r="R57" s="26"/>
      <c r="S57" s="26"/>
      <c r="T57" s="11"/>
      <c r="U57" s="11"/>
      <c r="V57" s="233" t="str">
        <f t="shared" si="18"/>
        <v>W. Average</v>
      </c>
      <c r="W57" s="184">
        <f t="shared" si="20"/>
        <v>3.764695328676074</v>
      </c>
      <c r="X57" s="184">
        <f t="shared" si="21"/>
        <v>27.782567333758461</v>
      </c>
      <c r="Y57" s="184">
        <f t="shared" si="22"/>
        <v>2.6726741900310307</v>
      </c>
      <c r="Z57" s="230">
        <f t="shared" si="23"/>
        <v>38.55644774680453</v>
      </c>
      <c r="AB57" s="11"/>
      <c r="AC57" s="11"/>
      <c r="AD57" s="11"/>
      <c r="AG57" s="11"/>
      <c r="AH57" s="11"/>
      <c r="AI57" s="11"/>
      <c r="AJ57" s="11"/>
      <c r="AK57" s="11"/>
    </row>
    <row r="58" spans="1:38" ht="15" customHeight="1" thickBot="1" x14ac:dyDescent="0.35">
      <c r="A58" s="11"/>
      <c r="B58" s="11"/>
      <c r="C58" s="11" t="s">
        <v>218</v>
      </c>
      <c r="D58" s="11"/>
      <c r="E58" s="11"/>
      <c r="F58" s="11"/>
      <c r="G58" s="11"/>
      <c r="H58" s="11" t="s">
        <v>876</v>
      </c>
      <c r="I58" t="s">
        <v>134</v>
      </c>
      <c r="J58" s="26">
        <f t="shared" ref="J58:S58" si="25">MAX(J30:J31)</f>
        <v>39</v>
      </c>
      <c r="K58" s="26">
        <f t="shared" si="25"/>
        <v>0.157833</v>
      </c>
      <c r="L58" s="26">
        <f t="shared" si="25"/>
        <v>15.783300000000001</v>
      </c>
      <c r="M58" s="26">
        <f t="shared" si="25"/>
        <v>6.8799000000000001</v>
      </c>
      <c r="N58" s="26">
        <f t="shared" si="25"/>
        <v>31.932485601870333</v>
      </c>
      <c r="O58" s="26">
        <f t="shared" si="25"/>
        <v>30.28</v>
      </c>
      <c r="P58" s="26">
        <f t="shared" si="25"/>
        <v>0.12254316000000001</v>
      </c>
      <c r="Q58" s="26">
        <f t="shared" si="25"/>
        <v>12.254316000000001</v>
      </c>
      <c r="R58" s="26">
        <f t="shared" si="25"/>
        <v>4.3302899999999998</v>
      </c>
      <c r="S58" s="26">
        <f t="shared" si="25"/>
        <v>41.12836652816852</v>
      </c>
      <c r="T58" s="11"/>
      <c r="U58" s="11"/>
      <c r="V58" s="232" t="str">
        <f t="shared" si="18"/>
        <v>SD</v>
      </c>
      <c r="W58" s="30">
        <f t="shared" si="20"/>
        <v>0.32020184314452432</v>
      </c>
      <c r="X58" s="30">
        <f t="shared" si="21"/>
        <v>2.2581843475691437</v>
      </c>
      <c r="Y58" s="30">
        <f t="shared" si="22"/>
        <v>0.19401819986107324</v>
      </c>
      <c r="Z58" s="122">
        <f t="shared" si="23"/>
        <v>2.8936451564664663</v>
      </c>
      <c r="AB58" s="11"/>
      <c r="AC58" s="11"/>
      <c r="AD58" s="11"/>
      <c r="AG58" s="11"/>
      <c r="AH58" s="11"/>
      <c r="AI58" s="11"/>
      <c r="AK58" s="11"/>
    </row>
    <row r="59" spans="1:38" ht="15" customHeight="1" thickBot="1" x14ac:dyDescent="0.35">
      <c r="A59" s="11"/>
      <c r="B59" s="11"/>
      <c r="C59" s="11">
        <f>SUMIF(AE3:AE47,"=construction",E3:E47)/1000</f>
        <v>42.86</v>
      </c>
      <c r="D59" s="11"/>
      <c r="E59" s="11"/>
      <c r="F59" s="11"/>
      <c r="G59" s="11"/>
      <c r="H59" s="11"/>
      <c r="I59" t="s">
        <v>135</v>
      </c>
      <c r="J59" s="26">
        <f t="shared" ref="J59:S59" si="26">MIN(J30:J31)</f>
        <v>17</v>
      </c>
      <c r="K59" s="26">
        <f t="shared" si="26"/>
        <v>6.8798999999999999E-2</v>
      </c>
      <c r="L59" s="26">
        <f t="shared" si="26"/>
        <v>6.8799000000000001</v>
      </c>
      <c r="M59" s="26">
        <f t="shared" si="26"/>
        <v>3.1316071428571428</v>
      </c>
      <c r="N59" s="26">
        <f t="shared" si="26"/>
        <v>14.535094986845738</v>
      </c>
      <c r="O59" s="26">
        <f t="shared" si="26"/>
        <v>10.7</v>
      </c>
      <c r="P59" s="26">
        <f t="shared" si="26"/>
        <v>4.3302899999999998E-2</v>
      </c>
      <c r="Q59" s="26">
        <f t="shared" si="26"/>
        <v>4.3302899999999998</v>
      </c>
      <c r="R59" s="26">
        <f t="shared" si="26"/>
        <v>2.4314119047619052</v>
      </c>
      <c r="S59" s="26">
        <f t="shared" si="26"/>
        <v>23.093141567885755</v>
      </c>
      <c r="T59" s="11"/>
      <c r="U59" s="11"/>
      <c r="V59" s="45" t="str">
        <f t="shared" si="18"/>
        <v>2 axis</v>
      </c>
      <c r="W59" s="165"/>
      <c r="X59" s="165"/>
      <c r="Y59" s="165"/>
      <c r="Z59" s="228"/>
      <c r="AB59" s="11"/>
      <c r="AC59" s="11"/>
      <c r="AD59" s="11"/>
      <c r="AG59" s="11"/>
      <c r="AH59" s="11"/>
      <c r="AI59" s="11"/>
    </row>
    <row r="60" spans="1:38" ht="15" customHeight="1" x14ac:dyDescent="0.3">
      <c r="A60" s="11"/>
      <c r="B60" s="11"/>
      <c r="C60" s="11" t="s">
        <v>595</v>
      </c>
      <c r="D60" s="11"/>
      <c r="E60" s="11"/>
      <c r="F60" s="11"/>
      <c r="G60" s="11"/>
      <c r="I60" t="s">
        <v>137</v>
      </c>
      <c r="J60" s="26">
        <f t="shared" ref="J60:S60" si="27">wtavg($D$30:$D$31,J30:J31)</f>
        <v>35.357615894039732</v>
      </c>
      <c r="K60" s="26">
        <f t="shared" si="27"/>
        <v>0.14309227152317883</v>
      </c>
      <c r="L60" s="26">
        <f t="shared" si="27"/>
        <v>14.309227152317881</v>
      </c>
      <c r="M60" s="26">
        <f t="shared" si="27"/>
        <v>3.7521854304635762</v>
      </c>
      <c r="N60" s="26">
        <f t="shared" si="27"/>
        <v>29.052122917263613</v>
      </c>
      <c r="O60" s="26">
        <f t="shared" si="27"/>
        <v>27.038278145695365</v>
      </c>
      <c r="P60" s="26">
        <f t="shared" si="27"/>
        <v>0.10942391165562916</v>
      </c>
      <c r="Q60" s="26">
        <f t="shared" si="27"/>
        <v>10.942391165562913</v>
      </c>
      <c r="R60" s="26">
        <f t="shared" si="27"/>
        <v>2.7457956953642388</v>
      </c>
      <c r="S60" s="26">
        <f t="shared" si="27"/>
        <v>38.142402130770712</v>
      </c>
      <c r="T60" s="26">
        <f>O60/J60</f>
        <v>0.76470874695635893</v>
      </c>
      <c r="U60" s="11"/>
      <c r="V60" s="232" t="str">
        <f t="shared" si="18"/>
        <v>Max</v>
      </c>
      <c r="W60" s="30">
        <f t="shared" si="20"/>
        <v>6.8799000000000001</v>
      </c>
      <c r="X60" s="30">
        <f t="shared" si="21"/>
        <v>31.932485601870333</v>
      </c>
      <c r="Y60" s="30">
        <f t="shared" si="22"/>
        <v>4.3302899999999998</v>
      </c>
      <c r="Z60" s="148">
        <f>S58</f>
        <v>41.12836652816852</v>
      </c>
      <c r="AB60" s="11"/>
      <c r="AC60" s="11"/>
      <c r="AD60" s="11"/>
      <c r="AG60" s="11"/>
      <c r="AH60" s="11"/>
      <c r="AI60" s="11"/>
      <c r="AK60" s="11"/>
    </row>
    <row r="61" spans="1:38" ht="15" customHeight="1" x14ac:dyDescent="0.3">
      <c r="A61" s="11"/>
      <c r="B61" s="11"/>
      <c r="C61" s="11">
        <f>SUMIF(AE3:AE48,"=completed",E3:E48)/1000</f>
        <v>295.52179081970576</v>
      </c>
      <c r="D61" s="11"/>
      <c r="E61" s="11"/>
      <c r="F61" s="11"/>
      <c r="G61" s="11"/>
      <c r="I61" t="s">
        <v>136</v>
      </c>
      <c r="J61" s="26">
        <f t="shared" ref="J61:S61" si="28">wtstd($D$30:$D$31,J30:J31)</f>
        <v>16.354264074641069</v>
      </c>
      <c r="K61" s="26">
        <f t="shared" si="28"/>
        <v>6.6185706710072401E-2</v>
      </c>
      <c r="L61" s="26">
        <f t="shared" si="28"/>
        <v>6.6185706710072409</v>
      </c>
      <c r="M61" s="26">
        <f t="shared" si="28"/>
        <v>2.7863896006729618</v>
      </c>
      <c r="N61" s="26">
        <f t="shared" si="28"/>
        <v>12.932796378536111</v>
      </c>
      <c r="O61" s="26">
        <f t="shared" si="28"/>
        <v>14.555295026430551</v>
      </c>
      <c r="P61" s="26">
        <f t="shared" si="28"/>
        <v>5.8905278971964459E-2</v>
      </c>
      <c r="Q61" s="26">
        <f t="shared" si="28"/>
        <v>5.8905278971964448</v>
      </c>
      <c r="R61" s="26">
        <f t="shared" si="28"/>
        <v>1.411579718867056</v>
      </c>
      <c r="S61" s="26">
        <f t="shared" si="28"/>
        <v>13.406946893001015</v>
      </c>
      <c r="T61" s="11"/>
      <c r="U61" s="11"/>
      <c r="V61" s="232" t="str">
        <f t="shared" si="18"/>
        <v>Min</v>
      </c>
      <c r="W61" s="30">
        <f t="shared" si="20"/>
        <v>3.1316071428571428</v>
      </c>
      <c r="X61" s="30">
        <f t="shared" si="21"/>
        <v>14.535094986845738</v>
      </c>
      <c r="Y61" s="30">
        <f t="shared" si="22"/>
        <v>2.4314119047619052</v>
      </c>
      <c r="Z61" s="122">
        <f t="shared" si="23"/>
        <v>23.093141567885755</v>
      </c>
      <c r="AB61" s="11"/>
      <c r="AC61" s="11"/>
      <c r="AD61" s="11"/>
      <c r="AG61" s="11"/>
      <c r="AH61" s="11"/>
      <c r="AI61" s="11"/>
    </row>
    <row r="62" spans="1:38" ht="15" customHeight="1" x14ac:dyDescent="0.3">
      <c r="A62" s="11"/>
      <c r="B62" s="11"/>
      <c r="C62" s="11" t="s">
        <v>597</v>
      </c>
      <c r="D62" s="11"/>
      <c r="E62" s="11"/>
      <c r="F62" s="11"/>
      <c r="G62" s="11"/>
      <c r="I62" s="11" t="s">
        <v>138</v>
      </c>
      <c r="K62" s="26"/>
      <c r="L62" s="26"/>
      <c r="M62" s="26"/>
      <c r="N62" s="26"/>
      <c r="O62" s="26"/>
      <c r="P62" s="26"/>
      <c r="Q62" s="26"/>
      <c r="R62" s="26"/>
      <c r="S62" s="26"/>
      <c r="T62" s="11"/>
      <c r="U62" s="11"/>
      <c r="V62" s="233" t="str">
        <f t="shared" si="18"/>
        <v>W. Average</v>
      </c>
      <c r="W62" s="184">
        <f t="shared" si="20"/>
        <v>3.7521854304635762</v>
      </c>
      <c r="X62" s="184">
        <f t="shared" si="21"/>
        <v>29.052122917263613</v>
      </c>
      <c r="Y62" s="184">
        <f t="shared" si="22"/>
        <v>2.7457956953642388</v>
      </c>
      <c r="Z62" s="230">
        <f t="shared" si="23"/>
        <v>38.142402130770712</v>
      </c>
      <c r="AB62" s="11"/>
      <c r="AC62" s="11"/>
      <c r="AD62" s="11"/>
      <c r="AG62" s="11"/>
      <c r="AH62" s="11"/>
      <c r="AI62" s="11"/>
    </row>
    <row r="63" spans="1:38" ht="15" customHeight="1" thickBot="1" x14ac:dyDescent="0.35">
      <c r="A63" s="11"/>
      <c r="B63" s="11"/>
      <c r="C63" s="11">
        <f>C57+C59+C61</f>
        <v>338.38179081970577</v>
      </c>
      <c r="D63" s="11"/>
      <c r="E63" s="11"/>
      <c r="F63" s="11"/>
      <c r="G63" s="11"/>
      <c r="H63" s="11" t="s">
        <v>877</v>
      </c>
      <c r="I63" t="s">
        <v>134</v>
      </c>
      <c r="J63" s="26">
        <f t="shared" ref="J63:S63" si="29">MAX(J32:J47)</f>
        <v>200</v>
      </c>
      <c r="K63" s="26">
        <f t="shared" si="29"/>
        <v>0.80940000000000001</v>
      </c>
      <c r="L63" s="26">
        <f t="shared" si="29"/>
        <v>80.94</v>
      </c>
      <c r="M63" s="26">
        <f t="shared" si="29"/>
        <v>5.3209992486851991</v>
      </c>
      <c r="N63" s="26">
        <f t="shared" si="29"/>
        <v>82.365538258792512</v>
      </c>
      <c r="O63" s="26">
        <f t="shared" si="29"/>
        <v>100.07</v>
      </c>
      <c r="P63" s="26">
        <f t="shared" si="29"/>
        <v>0.40498329</v>
      </c>
      <c r="Q63" s="26">
        <f t="shared" si="29"/>
        <v>40.498328999999998</v>
      </c>
      <c r="R63" s="26">
        <f t="shared" si="29"/>
        <v>3.3954330000000006</v>
      </c>
      <c r="S63" s="26">
        <f t="shared" si="29"/>
        <v>110.70636862740929</v>
      </c>
      <c r="T63" s="11"/>
      <c r="U63" s="11"/>
      <c r="V63" s="232" t="str">
        <f t="shared" si="18"/>
        <v>SD</v>
      </c>
      <c r="W63" s="30">
        <f t="shared" si="20"/>
        <v>2.7863896006729618</v>
      </c>
      <c r="X63" s="30">
        <f t="shared" si="21"/>
        <v>12.932796378536111</v>
      </c>
      <c r="Y63" s="30">
        <f t="shared" si="22"/>
        <v>1.411579718867056</v>
      </c>
      <c r="Z63" s="122">
        <f t="shared" si="23"/>
        <v>13.406946893001015</v>
      </c>
      <c r="AB63" s="11"/>
      <c r="AC63" s="11"/>
      <c r="AD63" s="11"/>
      <c r="AG63" s="11"/>
      <c r="AH63" s="11"/>
      <c r="AI63" s="11"/>
    </row>
    <row r="64" spans="1:38" ht="15" customHeight="1" thickBot="1" x14ac:dyDescent="0.35">
      <c r="H64" s="11"/>
      <c r="I64" t="s">
        <v>135</v>
      </c>
      <c r="J64" s="26">
        <f t="shared" ref="J64:S64" si="30">MIN(J32:J47)</f>
        <v>5.5</v>
      </c>
      <c r="K64" s="26">
        <f t="shared" si="30"/>
        <v>2.2258500000000001E-2</v>
      </c>
      <c r="L64" s="26">
        <f t="shared" si="30"/>
        <v>2.2258499999999999</v>
      </c>
      <c r="M64" s="26">
        <f t="shared" si="30"/>
        <v>1.2141</v>
      </c>
      <c r="N64" s="26">
        <f t="shared" si="30"/>
        <v>18.793462529563342</v>
      </c>
      <c r="O64" s="26">
        <f t="shared" si="30"/>
        <v>2.5</v>
      </c>
      <c r="P64" s="26">
        <f t="shared" si="30"/>
        <v>1.0117500000000001E-2</v>
      </c>
      <c r="Q64" s="26">
        <f t="shared" si="30"/>
        <v>1.0117499999999999</v>
      </c>
      <c r="R64" s="26">
        <f t="shared" si="30"/>
        <v>0.90329040000000005</v>
      </c>
      <c r="S64" s="26">
        <f t="shared" si="30"/>
        <v>29.451324764764902</v>
      </c>
      <c r="V64" s="45" t="str">
        <f t="shared" si="18"/>
        <v>Fixed</v>
      </c>
      <c r="W64" s="165"/>
      <c r="X64" s="165"/>
      <c r="Y64" s="165"/>
      <c r="Z64" s="228"/>
      <c r="AB64" s="11"/>
      <c r="AC64" s="11"/>
      <c r="AD64" s="11"/>
      <c r="AG64" s="11"/>
      <c r="AH64" s="11"/>
    </row>
    <row r="65" spans="8:37" ht="15" customHeight="1" x14ac:dyDescent="0.3">
      <c r="H65" s="11"/>
      <c r="I65" t="s">
        <v>137</v>
      </c>
      <c r="J65" s="26">
        <f t="shared" ref="J65:S65" si="31">wtavg($D$32:$D$47,J32:J47)</f>
        <v>101.54988289057637</v>
      </c>
      <c r="K65" s="26">
        <f t="shared" si="31"/>
        <v>0.41097237605816261</v>
      </c>
      <c r="L65" s="26">
        <f t="shared" si="31"/>
        <v>41.097237605816254</v>
      </c>
      <c r="M65" s="26">
        <f t="shared" si="31"/>
        <v>3.3058847374383098</v>
      </c>
      <c r="N65" s="26">
        <f t="shared" si="31"/>
        <v>33.598777373606964</v>
      </c>
      <c r="O65" s="26">
        <f t="shared" si="31"/>
        <v>65.860241758299793</v>
      </c>
      <c r="P65" s="26">
        <f t="shared" si="31"/>
        <v>0.2665363983958392</v>
      </c>
      <c r="Q65" s="26">
        <f t="shared" si="31"/>
        <v>26.653639839583928</v>
      </c>
      <c r="R65" s="26">
        <f t="shared" si="31"/>
        <v>2.3582015428730192</v>
      </c>
      <c r="S65" s="26">
        <f t="shared" si="31"/>
        <v>47.883717102082706</v>
      </c>
      <c r="T65" s="26">
        <f>O65/J65</f>
        <v>0.64855064214368974</v>
      </c>
      <c r="V65" s="232" t="str">
        <f t="shared" si="18"/>
        <v>Max</v>
      </c>
      <c r="W65" s="30">
        <f t="shared" si="20"/>
        <v>5.3209992486851991</v>
      </c>
      <c r="X65" s="30">
        <f t="shared" si="21"/>
        <v>82.365538258792512</v>
      </c>
      <c r="Y65" s="30">
        <f t="shared" si="22"/>
        <v>3.3954330000000006</v>
      </c>
      <c r="Z65" s="122">
        <f t="shared" si="23"/>
        <v>110.70636862740929</v>
      </c>
      <c r="AB65" s="11"/>
      <c r="AC65" s="11"/>
      <c r="AD65" s="11"/>
      <c r="AG65" s="11"/>
      <c r="AH65" s="11"/>
    </row>
    <row r="66" spans="8:37" ht="15" customHeight="1" x14ac:dyDescent="0.3">
      <c r="H66" s="11"/>
      <c r="I66" t="s">
        <v>136</v>
      </c>
      <c r="J66" s="26">
        <f t="shared" ref="J66:S66" si="32">wtstd($D$32:$D$47,J32:J47)</f>
        <v>27.727189243948164</v>
      </c>
      <c r="K66" s="26">
        <f t="shared" si="32"/>
        <v>0.11221193487025823</v>
      </c>
      <c r="L66" s="26">
        <f t="shared" si="32"/>
        <v>11.221193487025822</v>
      </c>
      <c r="M66" s="26">
        <f t="shared" si="32"/>
        <v>0.48853550769610471</v>
      </c>
      <c r="N66" s="26">
        <f t="shared" si="32"/>
        <v>6.8556306685696793</v>
      </c>
      <c r="O66" s="26">
        <f t="shared" si="32"/>
        <v>15.848669509957871</v>
      </c>
      <c r="P66" s="26">
        <f t="shared" si="32"/>
        <v>6.4139565506799515E-2</v>
      </c>
      <c r="Q66" s="26">
        <f t="shared" si="32"/>
        <v>6.4139565506799512</v>
      </c>
      <c r="R66" s="26">
        <f t="shared" si="32"/>
        <v>0.36435155663784219</v>
      </c>
      <c r="S66" s="26">
        <f t="shared" si="32"/>
        <v>10.926780479521941</v>
      </c>
      <c r="V66" s="232" t="str">
        <f t="shared" si="18"/>
        <v>Min</v>
      </c>
      <c r="W66" s="30">
        <f t="shared" si="20"/>
        <v>1.2141</v>
      </c>
      <c r="X66" s="30">
        <f t="shared" si="21"/>
        <v>18.793462529563342</v>
      </c>
      <c r="Y66" s="30">
        <f t="shared" si="22"/>
        <v>0.90329040000000005</v>
      </c>
      <c r="Z66" s="122">
        <f t="shared" si="23"/>
        <v>29.451324764764902</v>
      </c>
      <c r="AB66" s="11"/>
      <c r="AC66" s="11"/>
      <c r="AD66" s="11"/>
      <c r="AG66" s="11"/>
      <c r="AH66" s="11"/>
    </row>
    <row r="67" spans="8:37" ht="15" customHeight="1" x14ac:dyDescent="0.3">
      <c r="I67" t="s">
        <v>879</v>
      </c>
      <c r="J67" s="26"/>
      <c r="K67" s="26"/>
      <c r="L67" s="26"/>
      <c r="M67" s="26"/>
      <c r="N67" s="26"/>
      <c r="O67" s="26"/>
      <c r="P67" s="26"/>
      <c r="Q67" s="26"/>
      <c r="R67" s="26"/>
      <c r="S67" s="26"/>
      <c r="V67" s="233" t="str">
        <f t="shared" si="18"/>
        <v>W. Average</v>
      </c>
      <c r="W67" s="184">
        <f t="shared" si="20"/>
        <v>3.3058847374383098</v>
      </c>
      <c r="X67" s="184">
        <f t="shared" si="21"/>
        <v>33.598777373606964</v>
      </c>
      <c r="Y67" s="184">
        <f t="shared" si="22"/>
        <v>2.3582015428730192</v>
      </c>
      <c r="Z67" s="230">
        <f t="shared" si="23"/>
        <v>47.883717102082706</v>
      </c>
      <c r="AB67" s="11"/>
      <c r="AC67" s="11"/>
      <c r="AD67" s="11"/>
      <c r="AG67" s="11"/>
      <c r="AH67" s="11"/>
    </row>
    <row r="68" spans="8:37" ht="15" customHeight="1" thickBot="1" x14ac:dyDescent="0.35">
      <c r="I68" t="s">
        <v>134</v>
      </c>
      <c r="J68" s="26">
        <f>MAX(J$3:J$47)</f>
        <v>212</v>
      </c>
      <c r="K68" s="26">
        <f t="shared" ref="K68:S68" si="33">MAX(K$3:K$47)</f>
        <v>0.85796400000000006</v>
      </c>
      <c r="L68" s="26">
        <f t="shared" si="33"/>
        <v>85.796400000000006</v>
      </c>
      <c r="M68" s="26">
        <f t="shared" si="33"/>
        <v>6.8799000000000001</v>
      </c>
      <c r="N68" s="26">
        <f t="shared" si="33"/>
        <v>82.365538258792512</v>
      </c>
      <c r="O68" s="26">
        <f t="shared" si="33"/>
        <v>116.5</v>
      </c>
      <c r="P68" s="26">
        <f t="shared" si="33"/>
        <v>0.47147550000000005</v>
      </c>
      <c r="Q68" s="26">
        <f t="shared" si="33"/>
        <v>47.147550000000003</v>
      </c>
      <c r="R68" s="26">
        <f t="shared" si="33"/>
        <v>4.3302899999999998</v>
      </c>
      <c r="S68" s="26">
        <f t="shared" si="33"/>
        <v>110.70636862740929</v>
      </c>
      <c r="V68" s="232" t="str">
        <f t="shared" si="18"/>
        <v>SD</v>
      </c>
      <c r="W68" s="30">
        <f t="shared" si="20"/>
        <v>0.48853550769610471</v>
      </c>
      <c r="X68" s="30">
        <f t="shared" si="21"/>
        <v>6.8556306685696793</v>
      </c>
      <c r="Y68" s="30">
        <f t="shared" si="22"/>
        <v>0.36435155663784219</v>
      </c>
      <c r="Z68" s="122">
        <f t="shared" si="23"/>
        <v>10.926780479521941</v>
      </c>
      <c r="AB68" s="11"/>
      <c r="AC68" s="11"/>
      <c r="AD68" s="11"/>
      <c r="AG68" s="11"/>
      <c r="AH68" s="11"/>
    </row>
    <row r="69" spans="8:37" ht="15" customHeight="1" thickBot="1" x14ac:dyDescent="0.35">
      <c r="I69" t="s">
        <v>135</v>
      </c>
      <c r="J69" s="26">
        <f>MIN(J$3:J$47)</f>
        <v>4.42</v>
      </c>
      <c r="K69" s="26">
        <f t="shared" ref="K69:S69" si="34">MIN(K$3:K$47)</f>
        <v>1.7887739999999999E-2</v>
      </c>
      <c r="L69" s="26">
        <f t="shared" si="34"/>
        <v>1.7887740000000001</v>
      </c>
      <c r="M69" s="26">
        <f t="shared" si="34"/>
        <v>1.2141</v>
      </c>
      <c r="N69" s="26">
        <f t="shared" si="34"/>
        <v>14.535094986845738</v>
      </c>
      <c r="O69" s="26">
        <f t="shared" si="34"/>
        <v>2.5</v>
      </c>
      <c r="P69" s="26">
        <f t="shared" si="34"/>
        <v>1.0117500000000001E-2</v>
      </c>
      <c r="Q69" s="26">
        <f t="shared" si="34"/>
        <v>1.0117499999999999</v>
      </c>
      <c r="R69" s="26">
        <f t="shared" si="34"/>
        <v>0.90329040000000005</v>
      </c>
      <c r="S69" s="26">
        <f t="shared" si="34"/>
        <v>23.093141567885755</v>
      </c>
      <c r="V69" s="45" t="str">
        <f t="shared" si="18"/>
        <v>All Small</v>
      </c>
      <c r="W69" s="165"/>
      <c r="X69" s="165"/>
      <c r="Y69" s="165"/>
      <c r="Z69" s="228"/>
      <c r="AB69" s="11"/>
      <c r="AC69" s="11"/>
      <c r="AD69" s="11"/>
      <c r="AG69" s="11"/>
      <c r="AH69" s="11"/>
    </row>
    <row r="70" spans="8:37" ht="15" customHeight="1" x14ac:dyDescent="0.3">
      <c r="I70" t="s">
        <v>137</v>
      </c>
      <c r="J70" s="26">
        <f>wtavg($D$3:$D$47,J$3:J$47)</f>
        <v>110.4449598702185</v>
      </c>
      <c r="K70" s="26">
        <f t="shared" ref="K70:S70" si="35">wtavg($D$3:$D$47,K$3:K$47)</f>
        <v>0.44697075259477415</v>
      </c>
      <c r="L70" s="26">
        <f t="shared" si="35"/>
        <v>44.697075259477423</v>
      </c>
      <c r="M70" s="26">
        <f t="shared" si="35"/>
        <v>3.5722281219941121</v>
      </c>
      <c r="N70" s="26">
        <f t="shared" si="35"/>
        <v>30.245789349347728</v>
      </c>
      <c r="O70" s="26">
        <f t="shared" si="35"/>
        <v>68.642655906409615</v>
      </c>
      <c r="P70" s="26">
        <f t="shared" si="35"/>
        <v>0.27779682845323972</v>
      </c>
      <c r="Q70" s="26">
        <f t="shared" si="35"/>
        <v>27.779682845323972</v>
      </c>
      <c r="R70" s="26">
        <f t="shared" si="35"/>
        <v>2.5207827262404101</v>
      </c>
      <c r="S70" s="26">
        <f t="shared" si="35"/>
        <v>43.111940599994234</v>
      </c>
      <c r="T70" s="26">
        <f>O70/J70</f>
        <v>0.62151008056021861</v>
      </c>
      <c r="V70" s="232" t="str">
        <f t="shared" si="18"/>
        <v>Max</v>
      </c>
      <c r="W70" s="30">
        <f t="shared" si="20"/>
        <v>6.8799000000000001</v>
      </c>
      <c r="X70" s="30">
        <f t="shared" si="21"/>
        <v>82.365538258792512</v>
      </c>
      <c r="Y70" s="30">
        <f t="shared" si="22"/>
        <v>4.3302899999999998</v>
      </c>
      <c r="Z70" s="122">
        <f t="shared" si="23"/>
        <v>110.70636862740929</v>
      </c>
      <c r="AB70" s="11"/>
      <c r="AC70" s="11"/>
      <c r="AD70" s="11"/>
      <c r="AG70" s="11"/>
      <c r="AH70" s="11"/>
    </row>
    <row r="71" spans="8:37" ht="15" customHeight="1" x14ac:dyDescent="0.3">
      <c r="I71" t="s">
        <v>136</v>
      </c>
      <c r="J71" s="26">
        <f>wtstd($D$3:$D$47,J$3:J$47)</f>
        <v>17.247773362405304</v>
      </c>
      <c r="K71" s="26">
        <f t="shared" ref="K71:S71" si="36">wtstd($D$3:$D$47,K$3:K$47)</f>
        <v>6.9801738797654264E-2</v>
      </c>
      <c r="L71" s="26">
        <f t="shared" si="36"/>
        <v>6.9801738797654265</v>
      </c>
      <c r="M71" s="26">
        <f t="shared" si="36"/>
        <v>0.27636353952501386</v>
      </c>
      <c r="N71" s="26">
        <f t="shared" si="36"/>
        <v>3.0363622882792711</v>
      </c>
      <c r="O71" s="26">
        <f t="shared" si="36"/>
        <v>11.059842283385491</v>
      </c>
      <c r="P71" s="26">
        <f t="shared" si="36"/>
        <v>4.4759181720861088E-2</v>
      </c>
      <c r="Q71" s="26">
        <f t="shared" si="36"/>
        <v>4.4759181720861081</v>
      </c>
      <c r="R71" s="26">
        <f t="shared" si="36"/>
        <v>0.19402450478870892</v>
      </c>
      <c r="S71" s="26">
        <f t="shared" si="36"/>
        <v>5.0632022967220527</v>
      </c>
      <c r="V71" s="232" t="str">
        <f t="shared" si="18"/>
        <v>Min</v>
      </c>
      <c r="W71" s="30">
        <f t="shared" si="20"/>
        <v>1.2141</v>
      </c>
      <c r="X71" s="30">
        <f t="shared" si="21"/>
        <v>14.535094986845738</v>
      </c>
      <c r="Y71" s="30">
        <f t="shared" si="22"/>
        <v>0.90329040000000005</v>
      </c>
      <c r="Z71" s="122">
        <f t="shared" si="23"/>
        <v>23.093141567885755</v>
      </c>
      <c r="AB71" s="11"/>
      <c r="AC71" s="11"/>
      <c r="AD71" s="11"/>
      <c r="AG71" s="11"/>
      <c r="AH71" s="11"/>
    </row>
    <row r="72" spans="8:37" ht="15" customHeight="1" x14ac:dyDescent="0.3">
      <c r="V72" s="233" t="str">
        <f t="shared" si="18"/>
        <v>W. Average</v>
      </c>
      <c r="W72" s="184">
        <f t="shared" si="20"/>
        <v>3.5722281219941121</v>
      </c>
      <c r="X72" s="184">
        <f t="shared" si="21"/>
        <v>30.245789349347728</v>
      </c>
      <c r="Y72" s="184">
        <f t="shared" si="22"/>
        <v>2.5207827262404101</v>
      </c>
      <c r="Z72" s="230">
        <f t="shared" si="23"/>
        <v>43.111940599994234</v>
      </c>
      <c r="AB72" s="11"/>
      <c r="AC72" s="11"/>
      <c r="AD72" s="11"/>
      <c r="AG72" s="11"/>
      <c r="AH72" s="11"/>
    </row>
    <row r="73" spans="8:37" ht="15" customHeight="1" thickBot="1" x14ac:dyDescent="0.35">
      <c r="V73" s="234" t="str">
        <f t="shared" si="18"/>
        <v>SD</v>
      </c>
      <c r="W73" s="114">
        <f t="shared" si="20"/>
        <v>0.27636353952501386</v>
      </c>
      <c r="X73" s="114">
        <f t="shared" si="21"/>
        <v>3.0363622882792711</v>
      </c>
      <c r="Y73" s="114">
        <f t="shared" si="22"/>
        <v>0.19402450478870892</v>
      </c>
      <c r="Z73" s="115">
        <f t="shared" si="23"/>
        <v>5.0632022967220527</v>
      </c>
      <c r="AB73" s="11"/>
      <c r="AC73" s="11"/>
      <c r="AD73" s="11"/>
      <c r="AG73" s="11"/>
      <c r="AH73" s="11"/>
    </row>
    <row r="74" spans="8:37" ht="15" customHeight="1" x14ac:dyDescent="0.3">
      <c r="V74" s="11"/>
      <c r="W74" s="11"/>
      <c r="X74" s="11"/>
      <c r="Y74" s="11"/>
      <c r="Z74" s="11"/>
      <c r="AB74" s="11"/>
      <c r="AC74" s="11"/>
      <c r="AD74" s="11"/>
      <c r="AG74" s="11"/>
      <c r="AH74" s="11"/>
    </row>
    <row r="75" spans="8:37" ht="15" customHeight="1" x14ac:dyDescent="0.3">
      <c r="AB75" s="11"/>
      <c r="AC75" s="11"/>
      <c r="AD75" s="11"/>
      <c r="AG75" s="11"/>
      <c r="AH75" s="11"/>
    </row>
    <row r="76" spans="8:37" ht="15" customHeight="1" x14ac:dyDescent="0.3">
      <c r="AB76" s="11"/>
      <c r="AC76" s="11"/>
      <c r="AD76" s="11"/>
      <c r="AG76" s="11"/>
      <c r="AH76" s="11"/>
    </row>
    <row r="77" spans="8:37" ht="15" customHeight="1" x14ac:dyDescent="0.3">
      <c r="AB77" s="11"/>
      <c r="AK77" s="11"/>
    </row>
    <row r="78" spans="8:37" ht="15" customHeight="1" x14ac:dyDescent="0.3">
      <c r="AB78" s="11"/>
      <c r="AJ78">
        <v>240</v>
      </c>
    </row>
    <row r="79" spans="8:37" ht="15" customHeight="1" x14ac:dyDescent="0.3"/>
    <row r="80" spans="8:37" ht="15" customHeight="1" x14ac:dyDescent="0.3"/>
    <row r="81" spans="1:42" ht="15" customHeight="1" x14ac:dyDescent="0.3">
      <c r="A81" s="19" t="s">
        <v>118</v>
      </c>
      <c r="AL81" s="11"/>
    </row>
    <row r="82" spans="1:42" ht="15" customHeight="1" x14ac:dyDescent="0.3">
      <c r="A82" s="11" t="s">
        <v>3</v>
      </c>
      <c r="B82" s="11" t="s">
        <v>388</v>
      </c>
      <c r="C82">
        <v>2010</v>
      </c>
      <c r="D82" s="94">
        <v>17000</v>
      </c>
      <c r="E82" s="94">
        <v>20000</v>
      </c>
      <c r="F82" s="308">
        <f t="shared" ref="F82:F120" si="37">D82/E82</f>
        <v>0.85</v>
      </c>
      <c r="H82">
        <v>50000</v>
      </c>
      <c r="I82" t="s">
        <v>389</v>
      </c>
      <c r="J82" s="74">
        <v>200</v>
      </c>
      <c r="K82" s="9">
        <f t="shared" ref="K82:K120" si="38">J82*0.004047</f>
        <v>0.80940000000000001</v>
      </c>
      <c r="L82" s="9">
        <f t="shared" ref="L82:L120" si="39">J82*0.4047</f>
        <v>80.94</v>
      </c>
      <c r="M82" s="1">
        <f t="shared" ref="M82:M120" si="40">L82/(D82/1000)</f>
        <v>4.7611764705882349</v>
      </c>
      <c r="N82" s="1">
        <f t="shared" ref="N82:N120" si="41">D82/1000/K82</f>
        <v>21.003212255992093</v>
      </c>
      <c r="O82" s="24" t="s">
        <v>598</v>
      </c>
      <c r="P82" s="1"/>
      <c r="Q82" s="1"/>
      <c r="R82" s="1"/>
      <c r="S82" s="1"/>
      <c r="T82" s="1"/>
      <c r="U82" s="1"/>
      <c r="V82" s="1"/>
      <c r="Y82" t="s">
        <v>21</v>
      </c>
      <c r="Z82">
        <v>20</v>
      </c>
      <c r="AA82" s="11"/>
      <c r="AB82" s="15">
        <v>0.19600000000000001</v>
      </c>
      <c r="AC82" t="s">
        <v>391</v>
      </c>
      <c r="AD82" t="s">
        <v>390</v>
      </c>
      <c r="AE82" t="s">
        <v>29</v>
      </c>
      <c r="AF82" t="s">
        <v>157</v>
      </c>
      <c r="AG82" s="15" t="s">
        <v>252</v>
      </c>
      <c r="AI82">
        <v>1</v>
      </c>
      <c r="AK82">
        <v>2850.54</v>
      </c>
      <c r="AL82">
        <f>1/(AK82/$M82/1000)</f>
        <v>1.6702717627495967</v>
      </c>
      <c r="AM82">
        <v>2519.92</v>
      </c>
      <c r="AN82">
        <f>1/(AM82/$M82/1000)</f>
        <v>1.8894157237484661</v>
      </c>
      <c r="AO82">
        <v>1587.82</v>
      </c>
      <c r="AP82">
        <f>1/(AO82/$M82/1000)</f>
        <v>2.9985618461716284</v>
      </c>
    </row>
    <row r="83" spans="1:42" ht="15" customHeight="1" x14ac:dyDescent="0.3">
      <c r="A83" s="11" t="s">
        <v>35</v>
      </c>
      <c r="B83" s="11" t="s">
        <v>485</v>
      </c>
      <c r="C83">
        <v>2011</v>
      </c>
      <c r="D83" s="94">
        <v>20000</v>
      </c>
      <c r="E83" s="18">
        <f>D83/$I$186</f>
        <v>23490.50846471421</v>
      </c>
      <c r="F83" s="308">
        <f t="shared" si="37"/>
        <v>0.85140770920487285</v>
      </c>
      <c r="H83">
        <v>66384</v>
      </c>
      <c r="I83" t="s">
        <v>403</v>
      </c>
      <c r="J83" s="74">
        <v>144</v>
      </c>
      <c r="K83" s="9">
        <f t="shared" si="38"/>
        <v>0.58276800000000006</v>
      </c>
      <c r="L83" s="9">
        <f t="shared" si="39"/>
        <v>58.276800000000001</v>
      </c>
      <c r="M83" s="1">
        <f t="shared" si="40"/>
        <v>2.91384</v>
      </c>
      <c r="N83" s="1">
        <f t="shared" si="41"/>
        <v>34.318974274496881</v>
      </c>
      <c r="O83" s="100">
        <v>118.4</v>
      </c>
      <c r="P83" s="105">
        <f>O83*0.004047</f>
        <v>0.47916480000000006</v>
      </c>
      <c r="Q83" s="105">
        <f>O83*0.4047</f>
        <v>47.91648</v>
      </c>
      <c r="R83" s="105">
        <f>Q83/(D83/1000)</f>
        <v>2.3958240000000002</v>
      </c>
      <c r="S83" s="105">
        <f>D83/1000/P83</f>
        <v>41.739293036550258</v>
      </c>
      <c r="T83" s="11"/>
      <c r="U83" s="11"/>
      <c r="V83" s="11"/>
      <c r="W83" s="11">
        <v>33.159303000000001</v>
      </c>
      <c r="X83" s="11">
        <v>-111.48230599999999</v>
      </c>
      <c r="Y83" t="s">
        <v>21</v>
      </c>
      <c r="Z83" t="s">
        <v>486</v>
      </c>
      <c r="AA83" s="11"/>
      <c r="AB83" s="15">
        <v>0.19</v>
      </c>
      <c r="AC83" t="s">
        <v>391</v>
      </c>
      <c r="AD83" t="s">
        <v>487</v>
      </c>
      <c r="AE83" t="s">
        <v>29</v>
      </c>
      <c r="AF83" t="s">
        <v>475</v>
      </c>
      <c r="AG83" s="15" t="s">
        <v>385</v>
      </c>
      <c r="AI83">
        <v>1</v>
      </c>
      <c r="AK83">
        <v>2521.86</v>
      </c>
      <c r="AL83">
        <f t="shared" ref="AL83:AL104" si="42">1/(AK83/$M83/1000)</f>
        <v>1.1554328947681471</v>
      </c>
      <c r="AM83">
        <v>2313.36</v>
      </c>
      <c r="AN83">
        <f t="shared" ref="AN83:AN104" si="43">1/(AM83/$M83/1000)</f>
        <v>1.2595704948646125</v>
      </c>
      <c r="AO83">
        <v>1469.39</v>
      </c>
      <c r="AP83">
        <f t="shared" ref="AP83:AP104" si="44">1/(AO83/$M83/1000)</f>
        <v>1.9830269703754619</v>
      </c>
    </row>
    <row r="84" spans="1:42" ht="15" customHeight="1" x14ac:dyDescent="0.3">
      <c r="A84" s="11" t="s">
        <v>160</v>
      </c>
      <c r="B84" s="11" t="s">
        <v>522</v>
      </c>
      <c r="C84">
        <v>2011</v>
      </c>
      <c r="D84" s="94">
        <v>20000</v>
      </c>
      <c r="E84" s="18">
        <f>D84/$I$186</f>
        <v>23490.50846471421</v>
      </c>
      <c r="F84" s="308">
        <f t="shared" si="37"/>
        <v>0.85140770920487285</v>
      </c>
      <c r="H84">
        <v>190000</v>
      </c>
      <c r="I84" t="s">
        <v>102</v>
      </c>
      <c r="J84" s="74">
        <v>210</v>
      </c>
      <c r="K84" s="9">
        <f t="shared" si="38"/>
        <v>0.84987000000000001</v>
      </c>
      <c r="L84" s="9">
        <f t="shared" si="39"/>
        <v>84.986999999999995</v>
      </c>
      <c r="M84" s="1">
        <f t="shared" si="40"/>
        <v>4.2493499999999997</v>
      </c>
      <c r="N84" s="1">
        <f t="shared" si="41"/>
        <v>23.533010931083577</v>
      </c>
      <c r="O84" s="11">
        <v>169.3</v>
      </c>
      <c r="P84" s="25">
        <f>O84*0.004047</f>
        <v>0.68515710000000007</v>
      </c>
      <c r="Q84" s="25">
        <f>O84*0.4047</f>
        <v>68.515709999999999</v>
      </c>
      <c r="R84" s="25">
        <f>Q84/(D84/1000)</f>
        <v>3.4257854999999999</v>
      </c>
      <c r="S84" s="25">
        <f>D84/1000/P84</f>
        <v>29.190385679430307</v>
      </c>
      <c r="T84" s="11"/>
      <c r="U84" s="11"/>
      <c r="V84" s="11"/>
      <c r="W84" s="11">
        <v>31.80245</v>
      </c>
      <c r="X84" s="11">
        <v>-106.67148</v>
      </c>
      <c r="Y84" t="s">
        <v>21</v>
      </c>
      <c r="AA84" s="11"/>
      <c r="AB84" s="15">
        <v>0.107</v>
      </c>
      <c r="AC84" s="11" t="s">
        <v>366</v>
      </c>
      <c r="AD84" t="s">
        <v>102</v>
      </c>
      <c r="AE84" t="s">
        <v>60</v>
      </c>
      <c r="AF84" t="s">
        <v>475</v>
      </c>
      <c r="AG84" s="15" t="s">
        <v>385</v>
      </c>
      <c r="AI84">
        <v>1</v>
      </c>
      <c r="AK84">
        <v>2651.02</v>
      </c>
      <c r="AL84">
        <f t="shared" si="42"/>
        <v>1.6029113322419295</v>
      </c>
      <c r="AM84">
        <v>2313.36</v>
      </c>
      <c r="AN84">
        <f t="shared" si="43"/>
        <v>1.8368736383442266</v>
      </c>
      <c r="AO84">
        <v>1469.39</v>
      </c>
      <c r="AP84">
        <f t="shared" si="44"/>
        <v>2.891914331797548</v>
      </c>
    </row>
    <row r="85" spans="1:42" ht="15" customHeight="1" x14ac:dyDescent="0.3">
      <c r="A85" t="s">
        <v>35</v>
      </c>
      <c r="B85" t="s">
        <v>634</v>
      </c>
      <c r="C85" t="s">
        <v>635</v>
      </c>
      <c r="D85" s="98">
        <v>20000</v>
      </c>
      <c r="E85" s="18">
        <f>D85/$I$186</f>
        <v>23490.50846471421</v>
      </c>
      <c r="F85" s="308">
        <f t="shared" si="37"/>
        <v>0.85140770920487285</v>
      </c>
      <c r="I85" t="s">
        <v>8</v>
      </c>
      <c r="J85">
        <v>160</v>
      </c>
      <c r="K85" s="9">
        <f t="shared" si="38"/>
        <v>0.6475200000000001</v>
      </c>
      <c r="L85" s="9">
        <f t="shared" si="39"/>
        <v>64.751999999999995</v>
      </c>
      <c r="M85" s="9">
        <f t="shared" si="40"/>
        <v>3.2375999999999996</v>
      </c>
      <c r="N85" s="9">
        <f t="shared" si="41"/>
        <v>30.88707684704719</v>
      </c>
      <c r="O85">
        <v>140</v>
      </c>
      <c r="P85" s="1">
        <f>O85*0.004047</f>
        <v>0.56658000000000008</v>
      </c>
      <c r="Q85" s="1">
        <f>O85*0.4047</f>
        <v>56.658000000000001</v>
      </c>
      <c r="R85" s="1">
        <f>Q85/(D85/1000)</f>
        <v>2.8329</v>
      </c>
      <c r="S85" s="1">
        <f>D85/1000/P85</f>
        <v>35.299516396625364</v>
      </c>
      <c r="W85">
        <v>34.72484</v>
      </c>
      <c r="X85">
        <v>-112.43303</v>
      </c>
      <c r="Y85" t="s">
        <v>21</v>
      </c>
      <c r="AB85" s="15">
        <v>0.14000000000000001</v>
      </c>
      <c r="AC85" t="s">
        <v>399</v>
      </c>
      <c r="AD85" t="s">
        <v>640</v>
      </c>
      <c r="AE85" t="s">
        <v>417</v>
      </c>
      <c r="AF85" t="s">
        <v>641</v>
      </c>
      <c r="AG85" t="s">
        <v>647</v>
      </c>
      <c r="AI85">
        <v>1</v>
      </c>
      <c r="AK85">
        <v>2619.0300000000002</v>
      </c>
      <c r="AL85">
        <f t="shared" si="42"/>
        <v>1.236182861593796</v>
      </c>
      <c r="AM85">
        <v>2313.36</v>
      </c>
      <c r="AN85">
        <f t="shared" si="43"/>
        <v>1.3995227720717913</v>
      </c>
      <c r="AO85">
        <v>1469.39</v>
      </c>
      <c r="AP85">
        <f t="shared" si="44"/>
        <v>2.2033633004171795</v>
      </c>
    </row>
    <row r="86" spans="1:42" ht="15" customHeight="1" x14ac:dyDescent="0.3">
      <c r="A86" t="s">
        <v>26</v>
      </c>
      <c r="B86" t="s">
        <v>621</v>
      </c>
      <c r="C86">
        <v>2012</v>
      </c>
      <c r="D86" s="106">
        <v>25000</v>
      </c>
      <c r="E86" s="18">
        <f>D86/$I$186</f>
        <v>29363.135580892762</v>
      </c>
      <c r="F86" s="308">
        <f t="shared" si="37"/>
        <v>0.85140770920487285</v>
      </c>
      <c r="G86">
        <v>150</v>
      </c>
      <c r="I86" t="s">
        <v>389</v>
      </c>
      <c r="J86">
        <v>154</v>
      </c>
      <c r="K86" s="9">
        <f t="shared" si="38"/>
        <v>0.62323800000000007</v>
      </c>
      <c r="L86" s="9">
        <f t="shared" si="39"/>
        <v>62.323799999999999</v>
      </c>
      <c r="M86" s="9">
        <f t="shared" si="40"/>
        <v>2.4929519999999998</v>
      </c>
      <c r="N86" s="9">
        <f t="shared" si="41"/>
        <v>40.113086814347</v>
      </c>
      <c r="W86">
        <v>37.736260000000001</v>
      </c>
      <c r="X86">
        <v>-120.99099</v>
      </c>
      <c r="Y86" t="s">
        <v>21</v>
      </c>
      <c r="Z86" t="s">
        <v>627</v>
      </c>
      <c r="AA86" t="s">
        <v>94</v>
      </c>
      <c r="AB86" s="112">
        <v>0.185</v>
      </c>
      <c r="AC86" t="s">
        <v>391</v>
      </c>
      <c r="AD86" t="s">
        <v>625</v>
      </c>
      <c r="AE86" t="s">
        <v>109</v>
      </c>
      <c r="AF86" t="s">
        <v>475</v>
      </c>
      <c r="AG86" t="s">
        <v>252</v>
      </c>
      <c r="AI86">
        <v>1</v>
      </c>
      <c r="AK86">
        <v>2393.31</v>
      </c>
      <c r="AL86">
        <f t="shared" si="42"/>
        <v>1.0416335535304662</v>
      </c>
      <c r="AM86">
        <v>2519.9</v>
      </c>
      <c r="AN86">
        <f t="shared" si="43"/>
        <v>0.98930592483828705</v>
      </c>
      <c r="AO86">
        <v>1587.88</v>
      </c>
      <c r="AP86">
        <f t="shared" si="44"/>
        <v>1.5699876564979718</v>
      </c>
    </row>
    <row r="87" spans="1:42" ht="15" customHeight="1" x14ac:dyDescent="0.3">
      <c r="A87" s="69" t="s">
        <v>148</v>
      </c>
      <c r="B87" s="11" t="s">
        <v>149</v>
      </c>
      <c r="C87">
        <v>2009</v>
      </c>
      <c r="D87" s="42">
        <v>25000</v>
      </c>
      <c r="E87" s="18">
        <v>28000</v>
      </c>
      <c r="F87" s="308">
        <f t="shared" si="37"/>
        <v>0.8928571428571429</v>
      </c>
      <c r="H87">
        <v>90000</v>
      </c>
      <c r="I87" t="s">
        <v>151</v>
      </c>
      <c r="J87">
        <v>235</v>
      </c>
      <c r="K87" s="9">
        <f t="shared" si="38"/>
        <v>0.95104500000000003</v>
      </c>
      <c r="L87" s="9">
        <f t="shared" si="39"/>
        <v>95.104500000000002</v>
      </c>
      <c r="M87" s="9">
        <f t="shared" si="40"/>
        <v>3.8041800000000001</v>
      </c>
      <c r="N87" s="9">
        <f t="shared" si="41"/>
        <v>26.286873912380592</v>
      </c>
      <c r="O87">
        <v>180</v>
      </c>
      <c r="P87" s="1">
        <f>O87*0.004047</f>
        <v>0.72846</v>
      </c>
      <c r="Q87" s="1">
        <f>O87*0.4047</f>
        <v>72.846000000000004</v>
      </c>
      <c r="R87" s="1">
        <f>Q87/(D87/1000)</f>
        <v>2.91384</v>
      </c>
      <c r="S87" s="1">
        <f>D87/1000/P87</f>
        <v>34.318974274496881</v>
      </c>
      <c r="T87" s="1"/>
      <c r="U87" s="1"/>
      <c r="V87" s="1"/>
      <c r="W87" s="71">
        <v>27.316666666666698</v>
      </c>
      <c r="X87" s="71">
        <v>-81.8</v>
      </c>
      <c r="Y87" t="s">
        <v>21</v>
      </c>
      <c r="AA87" s="11" t="s">
        <v>96</v>
      </c>
      <c r="AB87" s="15">
        <v>0.19</v>
      </c>
      <c r="AC87" s="15" t="s">
        <v>391</v>
      </c>
      <c r="AD87" s="15" t="s">
        <v>150</v>
      </c>
      <c r="AE87" t="s">
        <v>29</v>
      </c>
      <c r="AF87" t="s">
        <v>110</v>
      </c>
      <c r="AG87" s="15" t="s">
        <v>252</v>
      </c>
      <c r="AI87">
        <v>1</v>
      </c>
      <c r="AK87">
        <v>2108.98</v>
      </c>
      <c r="AL87">
        <f t="shared" si="42"/>
        <v>1.8038008895295359</v>
      </c>
      <c r="AM87">
        <v>2313.8000000000002</v>
      </c>
      <c r="AN87">
        <f t="shared" si="43"/>
        <v>1.6441265450773617</v>
      </c>
      <c r="AO87">
        <v>1471.19</v>
      </c>
      <c r="AP87">
        <f t="shared" si="44"/>
        <v>2.5857842970656408</v>
      </c>
    </row>
    <row r="88" spans="1:42" ht="15" customHeight="1" x14ac:dyDescent="0.3">
      <c r="A88" t="s">
        <v>35</v>
      </c>
      <c r="B88" t="s">
        <v>668</v>
      </c>
      <c r="C88">
        <v>2012</v>
      </c>
      <c r="D88" s="98">
        <v>26000</v>
      </c>
      <c r="E88" s="18">
        <f>D88/$I$186</f>
        <v>30537.661004128473</v>
      </c>
      <c r="F88" s="308">
        <f t="shared" si="37"/>
        <v>0.85140770920487285</v>
      </c>
      <c r="I88" t="s">
        <v>659</v>
      </c>
      <c r="J88">
        <v>300</v>
      </c>
      <c r="K88" s="9">
        <f t="shared" si="38"/>
        <v>1.2141000000000002</v>
      </c>
      <c r="L88" s="9">
        <f t="shared" si="39"/>
        <v>121.41</v>
      </c>
      <c r="M88" s="9">
        <f t="shared" si="40"/>
        <v>4.6696153846153843</v>
      </c>
      <c r="N88" s="9">
        <f t="shared" si="41"/>
        <v>21.415039947286051</v>
      </c>
      <c r="W88">
        <v>32.371899999999997</v>
      </c>
      <c r="X88">
        <v>-111.2818</v>
      </c>
      <c r="Y88" t="s">
        <v>21</v>
      </c>
      <c r="AB88" s="15">
        <v>0.107</v>
      </c>
      <c r="AC88" t="s">
        <v>366</v>
      </c>
      <c r="AD88" t="s">
        <v>146</v>
      </c>
      <c r="AE88" t="s">
        <v>109</v>
      </c>
      <c r="AF88" t="s">
        <v>669</v>
      </c>
      <c r="AG88" t="s">
        <v>385</v>
      </c>
      <c r="AI88">
        <v>1</v>
      </c>
      <c r="AK88">
        <v>2623.19</v>
      </c>
      <c r="AL88">
        <f t="shared" si="42"/>
        <v>1.7801285399133817</v>
      </c>
      <c r="AM88">
        <v>2313.36</v>
      </c>
      <c r="AN88">
        <f t="shared" si="43"/>
        <v>2.0185424597189301</v>
      </c>
      <c r="AO88">
        <v>1469.39</v>
      </c>
      <c r="AP88">
        <f t="shared" si="44"/>
        <v>3.1779278371401625</v>
      </c>
    </row>
    <row r="89" spans="1:42" ht="15" customHeight="1" x14ac:dyDescent="0.3">
      <c r="A89" s="11" t="s">
        <v>3</v>
      </c>
      <c r="B89" s="11" t="s">
        <v>392</v>
      </c>
      <c r="C89">
        <v>2012</v>
      </c>
      <c r="D89" s="109">
        <v>30000</v>
      </c>
      <c r="E89" s="94">
        <v>35200</v>
      </c>
      <c r="F89" s="308">
        <f t="shared" si="37"/>
        <v>0.85227272727272729</v>
      </c>
      <c r="H89">
        <v>110000</v>
      </c>
      <c r="I89" t="s">
        <v>403</v>
      </c>
      <c r="J89" s="74">
        <v>220</v>
      </c>
      <c r="K89" s="9">
        <f t="shared" si="38"/>
        <v>0.89034000000000002</v>
      </c>
      <c r="L89" s="9">
        <f t="shared" si="39"/>
        <v>89.034000000000006</v>
      </c>
      <c r="M89" s="1">
        <f t="shared" si="40"/>
        <v>2.9678</v>
      </c>
      <c r="N89" s="1">
        <f t="shared" si="41"/>
        <v>33.694992924051483</v>
      </c>
      <c r="O89" s="24" t="s">
        <v>598</v>
      </c>
      <c r="P89" s="1"/>
      <c r="Q89" s="1"/>
      <c r="R89" s="1"/>
      <c r="S89" s="1"/>
      <c r="T89" s="1"/>
      <c r="U89" s="1"/>
      <c r="V89" s="1"/>
      <c r="Y89" t="s">
        <v>21</v>
      </c>
      <c r="AA89" s="11" t="s">
        <v>94</v>
      </c>
      <c r="AB89" s="15">
        <v>0.19600000000000001</v>
      </c>
      <c r="AC89" t="s">
        <v>391</v>
      </c>
      <c r="AD89" t="s">
        <v>393</v>
      </c>
      <c r="AE89" t="s">
        <v>60</v>
      </c>
      <c r="AF89" t="s">
        <v>394</v>
      </c>
      <c r="AG89" s="15" t="s">
        <v>7</v>
      </c>
      <c r="AI89">
        <v>1</v>
      </c>
      <c r="AK89">
        <v>2637.97</v>
      </c>
      <c r="AL89">
        <f t="shared" si="42"/>
        <v>1.1250317478970573</v>
      </c>
      <c r="AM89">
        <v>2313.37</v>
      </c>
      <c r="AN89">
        <f t="shared" si="43"/>
        <v>1.282890328827641</v>
      </c>
      <c r="AO89">
        <v>1469.43</v>
      </c>
      <c r="AP89">
        <f t="shared" si="44"/>
        <v>2.0196947115548207</v>
      </c>
    </row>
    <row r="90" spans="1:42" ht="15" customHeight="1" x14ac:dyDescent="0.3">
      <c r="A90" s="69" t="s">
        <v>107</v>
      </c>
      <c r="B90" s="11" t="s">
        <v>108</v>
      </c>
      <c r="C90">
        <v>2015</v>
      </c>
      <c r="D90" s="94">
        <v>150000</v>
      </c>
      <c r="E90" s="18">
        <f>D90/$I$186</f>
        <v>176178.81348535657</v>
      </c>
      <c r="F90" s="308">
        <f t="shared" si="37"/>
        <v>0.85140770920487285</v>
      </c>
      <c r="I90" t="s">
        <v>102</v>
      </c>
      <c r="J90">
        <v>1110</v>
      </c>
      <c r="K90" s="9">
        <f t="shared" si="38"/>
        <v>4.4921700000000007</v>
      </c>
      <c r="L90" s="9">
        <f t="shared" si="39"/>
        <v>449.21699999999998</v>
      </c>
      <c r="M90" s="9">
        <f t="shared" si="40"/>
        <v>2.99478</v>
      </c>
      <c r="N90" s="9">
        <f t="shared" si="41"/>
        <v>33.391434429240206</v>
      </c>
      <c r="P90" s="1"/>
      <c r="Q90" s="1"/>
      <c r="R90" s="1"/>
      <c r="S90" s="1"/>
      <c r="T90" s="1"/>
      <c r="U90" s="1"/>
      <c r="V90" s="1"/>
      <c r="W90" s="24"/>
      <c r="X90" s="24"/>
      <c r="Y90" t="s">
        <v>21</v>
      </c>
      <c r="AA90" s="24"/>
      <c r="AB90" s="15">
        <v>0.1</v>
      </c>
      <c r="AC90" s="15"/>
      <c r="AD90" s="15" t="s">
        <v>102</v>
      </c>
      <c r="AE90" t="s">
        <v>109</v>
      </c>
      <c r="AF90" t="s">
        <v>110</v>
      </c>
      <c r="AG90" s="15" t="s">
        <v>252</v>
      </c>
      <c r="AI90">
        <v>1</v>
      </c>
      <c r="AK90">
        <v>2583.9499999999998</v>
      </c>
      <c r="AL90">
        <f t="shared" si="42"/>
        <v>1.1589930145707155</v>
      </c>
      <c r="AM90">
        <v>2313.36</v>
      </c>
      <c r="AN90">
        <f t="shared" si="43"/>
        <v>1.2945585641664072</v>
      </c>
      <c r="AO90">
        <v>1469.39</v>
      </c>
      <c r="AP90">
        <f t="shared" si="44"/>
        <v>2.0381110528858914</v>
      </c>
    </row>
    <row r="91" spans="1:42" x14ac:dyDescent="0.3">
      <c r="A91" s="69" t="s">
        <v>26</v>
      </c>
      <c r="B91" s="11" t="s">
        <v>117</v>
      </c>
      <c r="C91">
        <v>2013</v>
      </c>
      <c r="D91" s="42">
        <v>230000</v>
      </c>
      <c r="E91" s="94">
        <v>284000</v>
      </c>
      <c r="F91" s="308">
        <f t="shared" si="37"/>
        <v>0.8098591549295775</v>
      </c>
      <c r="G91">
        <v>713</v>
      </c>
      <c r="H91">
        <v>3800000</v>
      </c>
      <c r="I91" t="s">
        <v>362</v>
      </c>
      <c r="J91">
        <v>2100</v>
      </c>
      <c r="K91" s="9">
        <f t="shared" si="38"/>
        <v>8.4987000000000013</v>
      </c>
      <c r="L91" s="9">
        <f t="shared" si="39"/>
        <v>849.87</v>
      </c>
      <c r="M91" s="9">
        <f t="shared" si="40"/>
        <v>3.695086956521739</v>
      </c>
      <c r="N91" s="9">
        <f t="shared" si="41"/>
        <v>27.062962570746109</v>
      </c>
      <c r="O91">
        <v>1955</v>
      </c>
      <c r="P91" s="1">
        <f>O91*0.004047</f>
        <v>7.9118850000000007</v>
      </c>
      <c r="Q91" s="1">
        <f>O91*0.4047</f>
        <v>791.18849999999998</v>
      </c>
      <c r="R91" s="1">
        <f>Q91/(D91/1000)</f>
        <v>3.4399500000000001</v>
      </c>
      <c r="S91" s="1">
        <f>D91/1000/P91</f>
        <v>29.070189973691477</v>
      </c>
      <c r="T91" s="1"/>
      <c r="U91" s="1"/>
      <c r="V91" s="1"/>
      <c r="W91" s="53">
        <v>34.7879</v>
      </c>
      <c r="X91" s="54">
        <v>-118.4203</v>
      </c>
      <c r="Y91" t="s">
        <v>21</v>
      </c>
      <c r="AA91" s="11" t="s">
        <v>96</v>
      </c>
      <c r="AB91" s="15">
        <v>0.1076</v>
      </c>
      <c r="AC91" s="15" t="s">
        <v>366</v>
      </c>
      <c r="AD91" s="15" t="s">
        <v>373</v>
      </c>
      <c r="AE91" t="s">
        <v>24</v>
      </c>
      <c r="AF91" t="s">
        <v>110</v>
      </c>
      <c r="AG91" s="15" t="s">
        <v>252</v>
      </c>
      <c r="AI91">
        <v>1</v>
      </c>
      <c r="AK91">
        <v>2630.84</v>
      </c>
      <c r="AL91">
        <f t="shared" si="42"/>
        <v>1.4045274347819474</v>
      </c>
      <c r="AM91">
        <v>2312.36</v>
      </c>
      <c r="AN91">
        <f t="shared" si="43"/>
        <v>1.597972182757762</v>
      </c>
      <c r="AO91">
        <v>1467.15</v>
      </c>
      <c r="AP91">
        <f t="shared" si="44"/>
        <v>2.5185474944768691</v>
      </c>
    </row>
    <row r="92" spans="1:42" x14ac:dyDescent="0.3">
      <c r="A92" s="69" t="s">
        <v>26</v>
      </c>
      <c r="B92" s="11" t="s">
        <v>361</v>
      </c>
      <c r="C92">
        <v>2015</v>
      </c>
      <c r="D92" s="94">
        <v>250000</v>
      </c>
      <c r="E92" s="18">
        <f>D92/$I$186</f>
        <v>293631.35580892762</v>
      </c>
      <c r="F92" s="308">
        <f t="shared" si="37"/>
        <v>0.85140770920487285</v>
      </c>
      <c r="H92">
        <v>811000</v>
      </c>
      <c r="I92" t="s">
        <v>372</v>
      </c>
      <c r="J92">
        <v>1735</v>
      </c>
      <c r="K92" s="9">
        <f t="shared" si="38"/>
        <v>7.0215450000000006</v>
      </c>
      <c r="L92" s="9">
        <f t="shared" si="39"/>
        <v>702.15449999999998</v>
      </c>
      <c r="M92" s="9">
        <f t="shared" si="40"/>
        <v>2.8086180000000001</v>
      </c>
      <c r="N92" s="9">
        <f t="shared" si="41"/>
        <v>35.604699535501084</v>
      </c>
      <c r="P92" s="1"/>
      <c r="Q92" s="1"/>
      <c r="R92" s="1"/>
      <c r="S92" s="1"/>
      <c r="T92" s="1"/>
      <c r="U92" s="1"/>
      <c r="V92" s="1"/>
      <c r="W92" s="71">
        <v>35.3074997663498</v>
      </c>
      <c r="X92" s="71">
        <v>-119.91612017154701</v>
      </c>
      <c r="Y92" t="s">
        <v>21</v>
      </c>
      <c r="AA92" s="69" t="s">
        <v>371</v>
      </c>
      <c r="AB92" s="15"/>
      <c r="AC92" s="15"/>
      <c r="AD92" s="15"/>
      <c r="AE92" t="s">
        <v>109</v>
      </c>
      <c r="AF92" t="s">
        <v>110</v>
      </c>
      <c r="AG92" s="15" t="s">
        <v>7</v>
      </c>
      <c r="AH92">
        <v>1</v>
      </c>
      <c r="AI92">
        <v>1</v>
      </c>
      <c r="AK92">
        <v>2526.87</v>
      </c>
      <c r="AL92">
        <f t="shared" si="42"/>
        <v>1.1115007895143003</v>
      </c>
      <c r="AM92">
        <v>2313.36</v>
      </c>
      <c r="AN92">
        <f t="shared" si="43"/>
        <v>1.214086004772279</v>
      </c>
      <c r="AO92">
        <v>1469.39</v>
      </c>
      <c r="AP92">
        <f t="shared" si="44"/>
        <v>1.9114176631119035</v>
      </c>
    </row>
    <row r="93" spans="1:42" x14ac:dyDescent="0.3">
      <c r="A93" t="s">
        <v>35</v>
      </c>
      <c r="B93" t="s">
        <v>697</v>
      </c>
      <c r="D93" s="98">
        <v>300000</v>
      </c>
      <c r="E93" s="18">
        <f>D93/$I$186</f>
        <v>352357.62697071314</v>
      </c>
      <c r="F93" s="308">
        <f t="shared" si="37"/>
        <v>0.85140770920487285</v>
      </c>
      <c r="I93" t="s">
        <v>698</v>
      </c>
      <c r="J93">
        <v>2013</v>
      </c>
      <c r="K93" s="9">
        <f t="shared" si="38"/>
        <v>8.146611</v>
      </c>
      <c r="L93" s="9">
        <f t="shared" si="39"/>
        <v>814.66110000000003</v>
      </c>
      <c r="M93" s="9">
        <f t="shared" si="40"/>
        <v>2.7155370000000003</v>
      </c>
      <c r="N93" s="9">
        <f t="shared" si="41"/>
        <v>36.825128878744792</v>
      </c>
      <c r="W93">
        <v>33.2393</v>
      </c>
      <c r="X93">
        <v>-112.6202</v>
      </c>
      <c r="Y93" t="s">
        <v>21</v>
      </c>
      <c r="AB93" s="111"/>
      <c r="AE93" t="s">
        <v>24</v>
      </c>
      <c r="AF93" t="s">
        <v>694</v>
      </c>
      <c r="AG93" t="s">
        <v>699</v>
      </c>
      <c r="AI93">
        <v>1</v>
      </c>
      <c r="AK93">
        <v>2584.4299999999998</v>
      </c>
      <c r="AL93">
        <f t="shared" si="42"/>
        <v>1.0507295612572214</v>
      </c>
      <c r="AM93">
        <v>2313.36</v>
      </c>
      <c r="AN93">
        <f t="shared" si="43"/>
        <v>1.1738497250752153</v>
      </c>
      <c r="AO93">
        <v>1469.39</v>
      </c>
      <c r="AP93">
        <f t="shared" si="44"/>
        <v>1.8480709682249095</v>
      </c>
    </row>
    <row r="94" spans="1:42" x14ac:dyDescent="0.3">
      <c r="A94" t="s">
        <v>3</v>
      </c>
      <c r="B94" t="s">
        <v>661</v>
      </c>
      <c r="C94">
        <v>2012</v>
      </c>
      <c r="D94" s="98">
        <v>30720</v>
      </c>
      <c r="E94" s="18">
        <f>D94/$I$186</f>
        <v>36081.421001801027</v>
      </c>
      <c r="F94" s="308">
        <f t="shared" si="37"/>
        <v>0.85140770920487285</v>
      </c>
      <c r="G94">
        <v>140</v>
      </c>
      <c r="I94" t="s">
        <v>663</v>
      </c>
      <c r="J94">
        <v>225</v>
      </c>
      <c r="K94" s="9">
        <f t="shared" si="38"/>
        <v>0.91057500000000002</v>
      </c>
      <c r="L94" s="9">
        <f t="shared" si="39"/>
        <v>91.057500000000005</v>
      </c>
      <c r="M94" s="9">
        <f t="shared" si="40"/>
        <v>2.9641113281250004</v>
      </c>
      <c r="N94" s="9">
        <f t="shared" si="41"/>
        <v>33.736924470801412</v>
      </c>
      <c r="O94">
        <v>178.24</v>
      </c>
      <c r="P94" s="1">
        <f t="shared" ref="P94:P100" si="45">O94*0.004047</f>
        <v>0.72133728000000008</v>
      </c>
      <c r="Q94" s="1">
        <f t="shared" ref="Q94:Q100" si="46">O94*0.4047</f>
        <v>72.133728000000005</v>
      </c>
      <c r="R94" s="1">
        <f t="shared" ref="R94:R100" si="47">Q94/(D94/1000)</f>
        <v>2.3481031250000002</v>
      </c>
      <c r="S94" s="1">
        <f t="shared" ref="S94:S100" si="48">D94/1000/P94</f>
        <v>42.58756735822665</v>
      </c>
      <c r="W94">
        <v>37.598750000000003</v>
      </c>
      <c r="X94">
        <v>-105.95184999999999</v>
      </c>
      <c r="Y94" t="s">
        <v>139</v>
      </c>
      <c r="Z94" t="s">
        <v>664</v>
      </c>
      <c r="AB94" s="15">
        <v>0.31</v>
      </c>
      <c r="AC94" t="s">
        <v>664</v>
      </c>
      <c r="AD94" t="s">
        <v>662</v>
      </c>
      <c r="AE94" t="s">
        <v>109</v>
      </c>
      <c r="AF94" t="s">
        <v>475</v>
      </c>
      <c r="AG94" t="s">
        <v>252</v>
      </c>
      <c r="AI94">
        <v>1</v>
      </c>
      <c r="AK94">
        <v>3089.14</v>
      </c>
      <c r="AL94">
        <f t="shared" si="42"/>
        <v>0.95952638214033681</v>
      </c>
      <c r="AM94">
        <v>2738.69</v>
      </c>
      <c r="AN94">
        <f t="shared" si="43"/>
        <v>1.0823099102581892</v>
      </c>
      <c r="AO94">
        <v>1682.24</v>
      </c>
      <c r="AP94">
        <f t="shared" si="44"/>
        <v>1.7620026441678955</v>
      </c>
    </row>
    <row r="95" spans="1:42" x14ac:dyDescent="0.3">
      <c r="A95" s="11" t="s">
        <v>171</v>
      </c>
      <c r="B95" s="11" t="s">
        <v>482</v>
      </c>
      <c r="C95">
        <v>2011</v>
      </c>
      <c r="D95" s="42">
        <v>18000</v>
      </c>
      <c r="E95" s="94">
        <v>20000</v>
      </c>
      <c r="F95" s="308">
        <f t="shared" si="37"/>
        <v>0.9</v>
      </c>
      <c r="G95">
        <v>90</v>
      </c>
      <c r="H95">
        <v>71400</v>
      </c>
      <c r="I95" t="s">
        <v>484</v>
      </c>
      <c r="J95" s="74">
        <v>134</v>
      </c>
      <c r="K95" s="9">
        <f t="shared" si="38"/>
        <v>0.54229800000000006</v>
      </c>
      <c r="L95" s="9">
        <f t="shared" si="39"/>
        <v>54.229799999999997</v>
      </c>
      <c r="M95" s="1">
        <f t="shared" si="40"/>
        <v>3.0127666666666664</v>
      </c>
      <c r="N95" s="1">
        <f t="shared" si="41"/>
        <v>33.19208258190146</v>
      </c>
      <c r="O95" s="11">
        <v>76.8</v>
      </c>
      <c r="P95" s="1">
        <f t="shared" si="45"/>
        <v>0.31080960000000002</v>
      </c>
      <c r="Q95" s="1">
        <f t="shared" si="46"/>
        <v>31.080959999999997</v>
      </c>
      <c r="R95" s="1">
        <f t="shared" si="47"/>
        <v>1.7267199999999998</v>
      </c>
      <c r="S95" s="1">
        <f t="shared" si="48"/>
        <v>57.91326908821349</v>
      </c>
      <c r="T95" s="11"/>
      <c r="U95" s="11"/>
      <c r="V95" s="11"/>
      <c r="W95" s="11">
        <v>39.614260000000002</v>
      </c>
      <c r="X95" s="11">
        <v>-75.309809000000001</v>
      </c>
      <c r="Y95" t="s">
        <v>91</v>
      </c>
      <c r="AA95" s="11"/>
      <c r="AB95" s="15">
        <v>0.14000000000000001</v>
      </c>
      <c r="AC95" t="s">
        <v>399</v>
      </c>
      <c r="AD95" t="s">
        <v>483</v>
      </c>
      <c r="AE95" t="s">
        <v>29</v>
      </c>
      <c r="AF95" t="s">
        <v>157</v>
      </c>
      <c r="AG95" s="15" t="s">
        <v>385</v>
      </c>
      <c r="AI95">
        <v>1</v>
      </c>
      <c r="AK95">
        <v>1597.73</v>
      </c>
      <c r="AL95">
        <f t="shared" si="42"/>
        <v>1.8856544389018581</v>
      </c>
      <c r="AM95">
        <v>1976.3</v>
      </c>
      <c r="AN95">
        <f t="shared" si="43"/>
        <v>1.5244480426386007</v>
      </c>
      <c r="AO95">
        <v>1291.75</v>
      </c>
      <c r="AP95">
        <f t="shared" si="44"/>
        <v>2.3323140442552091</v>
      </c>
    </row>
    <row r="96" spans="1:42" x14ac:dyDescent="0.3">
      <c r="A96" s="69" t="s">
        <v>26</v>
      </c>
      <c r="B96" s="11" t="s">
        <v>184</v>
      </c>
      <c r="C96">
        <v>2009</v>
      </c>
      <c r="D96" s="42">
        <v>21000</v>
      </c>
      <c r="E96" s="94">
        <f>D96*1.2</f>
        <v>25200</v>
      </c>
      <c r="F96" s="308">
        <f t="shared" si="37"/>
        <v>0.83333333333333337</v>
      </c>
      <c r="H96">
        <v>351000</v>
      </c>
      <c r="I96" t="s">
        <v>102</v>
      </c>
      <c r="J96">
        <v>186</v>
      </c>
      <c r="K96" s="9">
        <f t="shared" si="38"/>
        <v>0.75274200000000002</v>
      </c>
      <c r="L96" s="9">
        <f t="shared" si="39"/>
        <v>75.274200000000008</v>
      </c>
      <c r="M96" s="9">
        <f t="shared" si="40"/>
        <v>3.5844857142857145</v>
      </c>
      <c r="N96" s="9">
        <f t="shared" si="41"/>
        <v>27.898004894107142</v>
      </c>
      <c r="O96">
        <v>134.4</v>
      </c>
      <c r="P96" s="1">
        <f t="shared" si="45"/>
        <v>0.54391680000000009</v>
      </c>
      <c r="Q96" s="1">
        <f t="shared" si="46"/>
        <v>54.391680000000001</v>
      </c>
      <c r="R96" s="1">
        <f t="shared" si="47"/>
        <v>2.5900799999999999</v>
      </c>
      <c r="S96" s="1">
        <f t="shared" si="48"/>
        <v>38.608846058808986</v>
      </c>
      <c r="T96" s="1"/>
      <c r="U96" s="1"/>
      <c r="V96" s="1"/>
      <c r="W96">
        <v>33.591261000000003</v>
      </c>
      <c r="X96" s="72">
        <f>-114.748228</f>
        <v>-114.748228</v>
      </c>
      <c r="Y96" t="s">
        <v>91</v>
      </c>
      <c r="AA96" s="10" t="s">
        <v>96</v>
      </c>
      <c r="AB96" s="15">
        <v>0.1</v>
      </c>
      <c r="AC96" s="15"/>
      <c r="AD96" s="15" t="s">
        <v>102</v>
      </c>
      <c r="AE96" t="s">
        <v>29</v>
      </c>
      <c r="AF96" s="15" t="s">
        <v>110</v>
      </c>
      <c r="AG96" s="15" t="s">
        <v>252</v>
      </c>
      <c r="AH96">
        <v>1</v>
      </c>
      <c r="AI96">
        <v>1</v>
      </c>
      <c r="AK96">
        <v>2092.59</v>
      </c>
      <c r="AL96">
        <f t="shared" si="42"/>
        <v>1.7129421980826223</v>
      </c>
      <c r="AM96">
        <v>1970.68</v>
      </c>
      <c r="AN96">
        <f t="shared" si="43"/>
        <v>1.8189080491432978</v>
      </c>
      <c r="AO96">
        <v>1293.48</v>
      </c>
      <c r="AP96">
        <f t="shared" si="44"/>
        <v>2.771195313638954</v>
      </c>
    </row>
    <row r="97" spans="1:42" x14ac:dyDescent="0.3">
      <c r="A97" s="69" t="s">
        <v>160</v>
      </c>
      <c r="B97" s="11" t="s">
        <v>204</v>
      </c>
      <c r="C97">
        <v>2010</v>
      </c>
      <c r="D97" s="94">
        <v>30000</v>
      </c>
      <c r="E97" s="18">
        <f>D97/$I$186</f>
        <v>35235.762697071317</v>
      </c>
      <c r="F97" s="308">
        <f t="shared" si="37"/>
        <v>0.85140770920487274</v>
      </c>
      <c r="H97">
        <v>500000</v>
      </c>
      <c r="I97" t="s">
        <v>102</v>
      </c>
      <c r="J97">
        <v>250</v>
      </c>
      <c r="K97" s="9">
        <f t="shared" si="38"/>
        <v>1.0117500000000001</v>
      </c>
      <c r="L97" s="9">
        <f t="shared" si="39"/>
        <v>101.175</v>
      </c>
      <c r="M97" s="9">
        <f t="shared" si="40"/>
        <v>3.3725000000000001</v>
      </c>
      <c r="N97" s="9">
        <f t="shared" si="41"/>
        <v>29.651593773165303</v>
      </c>
      <c r="O97">
        <v>222</v>
      </c>
      <c r="P97" s="1">
        <f t="shared" si="45"/>
        <v>0.89843400000000007</v>
      </c>
      <c r="Q97" s="1">
        <f t="shared" si="46"/>
        <v>89.843400000000003</v>
      </c>
      <c r="R97" s="1">
        <f t="shared" si="47"/>
        <v>2.99478</v>
      </c>
      <c r="S97" s="1">
        <f t="shared" si="48"/>
        <v>33.391434429240206</v>
      </c>
      <c r="T97" s="1"/>
      <c r="U97" s="1"/>
      <c r="V97" s="1"/>
      <c r="W97">
        <v>36.466596000000003</v>
      </c>
      <c r="X97">
        <v>-104.638834</v>
      </c>
      <c r="Y97" t="s">
        <v>91</v>
      </c>
      <c r="AA97" s="69" t="s">
        <v>94</v>
      </c>
      <c r="AB97" s="15">
        <v>0.1</v>
      </c>
      <c r="AC97" s="15" t="s">
        <v>366</v>
      </c>
      <c r="AD97" s="15"/>
      <c r="AE97" t="s">
        <v>29</v>
      </c>
      <c r="AF97" t="s">
        <v>110</v>
      </c>
      <c r="AG97" s="15" t="s">
        <v>252</v>
      </c>
      <c r="AI97">
        <v>1</v>
      </c>
      <c r="AK97">
        <v>2146.61</v>
      </c>
      <c r="AL97">
        <f t="shared" si="42"/>
        <v>1.5710818453282152</v>
      </c>
      <c r="AM97">
        <v>1975.29</v>
      </c>
      <c r="AN97">
        <f t="shared" si="43"/>
        <v>1.7073442380612469</v>
      </c>
      <c r="AO97">
        <v>1293.52</v>
      </c>
      <c r="AP97">
        <f t="shared" si="44"/>
        <v>2.607226792009401</v>
      </c>
    </row>
    <row r="98" spans="1:42" x14ac:dyDescent="0.3">
      <c r="A98" s="69" t="s">
        <v>332</v>
      </c>
      <c r="B98" s="11" t="s">
        <v>333</v>
      </c>
      <c r="C98">
        <v>2011</v>
      </c>
      <c r="D98" s="42">
        <v>32000</v>
      </c>
      <c r="E98" s="94">
        <v>37000</v>
      </c>
      <c r="F98" s="308">
        <f t="shared" si="37"/>
        <v>0.86486486486486491</v>
      </c>
      <c r="H98">
        <v>167712</v>
      </c>
      <c r="J98">
        <v>200</v>
      </c>
      <c r="K98" s="9">
        <f t="shared" si="38"/>
        <v>0.80940000000000001</v>
      </c>
      <c r="L98" s="9">
        <f t="shared" si="39"/>
        <v>80.94</v>
      </c>
      <c r="M98" s="9">
        <f t="shared" si="40"/>
        <v>2.5293749999999999</v>
      </c>
      <c r="N98" s="9">
        <f t="shared" si="41"/>
        <v>39.53545836422041</v>
      </c>
      <c r="O98">
        <v>195</v>
      </c>
      <c r="P98" s="1">
        <f t="shared" si="45"/>
        <v>0.78916500000000001</v>
      </c>
      <c r="Q98" s="1">
        <f t="shared" si="46"/>
        <v>78.916499999999999</v>
      </c>
      <c r="R98" s="1">
        <f t="shared" si="47"/>
        <v>2.466140625</v>
      </c>
      <c r="S98" s="1">
        <f t="shared" si="48"/>
        <v>40.549188065867085</v>
      </c>
      <c r="T98" s="1">
        <f>18.5/29</f>
        <v>0.63793103448275867</v>
      </c>
      <c r="U98" s="1">
        <f>1/T98</f>
        <v>1.5675675675675675</v>
      </c>
      <c r="V98" s="1"/>
      <c r="W98" s="53">
        <v>40.864069999999998</v>
      </c>
      <c r="X98" s="54">
        <v>-72.855490000000003</v>
      </c>
      <c r="Y98" t="s">
        <v>91</v>
      </c>
      <c r="AA98" s="11" t="s">
        <v>95</v>
      </c>
      <c r="AB98" s="15">
        <v>0.13200000000000001</v>
      </c>
      <c r="AC98" s="15" t="s">
        <v>399</v>
      </c>
      <c r="AD98" s="15" t="s">
        <v>335</v>
      </c>
      <c r="AE98" t="s">
        <v>109</v>
      </c>
      <c r="AF98" t="s">
        <v>334</v>
      </c>
      <c r="AG98" s="15" t="s">
        <v>353</v>
      </c>
      <c r="AH98">
        <v>1</v>
      </c>
      <c r="AI98">
        <v>1</v>
      </c>
      <c r="AK98">
        <v>1569.82</v>
      </c>
      <c r="AL98">
        <f t="shared" si="42"/>
        <v>1.6112516084646646</v>
      </c>
      <c r="AM98">
        <v>1974.88</v>
      </c>
      <c r="AN98">
        <f t="shared" si="43"/>
        <v>1.2807740217127117</v>
      </c>
      <c r="AO98">
        <v>1288.43</v>
      </c>
      <c r="AP98">
        <f t="shared" si="44"/>
        <v>1.9631450680285305</v>
      </c>
    </row>
    <row r="99" spans="1:42" x14ac:dyDescent="0.3">
      <c r="A99" s="11" t="s">
        <v>26</v>
      </c>
      <c r="B99" s="11" t="s">
        <v>401</v>
      </c>
      <c r="C99">
        <v>2011</v>
      </c>
      <c r="D99" s="42">
        <v>45000</v>
      </c>
      <c r="E99" s="94">
        <v>57715</v>
      </c>
      <c r="F99" s="308">
        <f t="shared" si="37"/>
        <v>0.77969332062721997</v>
      </c>
      <c r="H99">
        <v>450900</v>
      </c>
      <c r="I99" t="s">
        <v>404</v>
      </c>
      <c r="J99" s="74">
        <v>500</v>
      </c>
      <c r="K99" s="9">
        <f t="shared" si="38"/>
        <v>2.0235000000000003</v>
      </c>
      <c r="L99" s="9">
        <f t="shared" si="39"/>
        <v>202.35</v>
      </c>
      <c r="M99" s="1">
        <f t="shared" si="40"/>
        <v>4.4966666666666661</v>
      </c>
      <c r="N99" s="1">
        <f t="shared" si="41"/>
        <v>22.238695329873977</v>
      </c>
      <c r="O99">
        <v>345</v>
      </c>
      <c r="P99" s="1">
        <f t="shared" si="45"/>
        <v>1.396215</v>
      </c>
      <c r="Q99" s="1">
        <f t="shared" si="46"/>
        <v>139.6215</v>
      </c>
      <c r="R99" s="1">
        <f t="shared" si="47"/>
        <v>3.1027</v>
      </c>
      <c r="S99" s="1">
        <f t="shared" si="48"/>
        <v>32.229993231701421</v>
      </c>
      <c r="T99" s="1"/>
      <c r="U99" s="1"/>
      <c r="V99" s="1"/>
      <c r="W99">
        <v>35.984084000000003</v>
      </c>
      <c r="X99">
        <v>-120.10288199999999</v>
      </c>
      <c r="Y99" t="s">
        <v>91</v>
      </c>
      <c r="AA99" s="11" t="s">
        <v>96</v>
      </c>
      <c r="AB99" s="15">
        <v>0.09</v>
      </c>
      <c r="AC99" t="s">
        <v>366</v>
      </c>
      <c r="AD99" t="s">
        <v>402</v>
      </c>
      <c r="AE99" t="s">
        <v>60</v>
      </c>
      <c r="AF99" t="s">
        <v>405</v>
      </c>
      <c r="AG99" s="15" t="s">
        <v>252</v>
      </c>
      <c r="AI99">
        <v>1</v>
      </c>
      <c r="AK99">
        <v>1878.08</v>
      </c>
      <c r="AL99">
        <f t="shared" si="42"/>
        <v>2.3942892031578347</v>
      </c>
      <c r="AM99">
        <v>1971.67</v>
      </c>
      <c r="AN99">
        <f t="shared" si="43"/>
        <v>2.2806385788020642</v>
      </c>
      <c r="AO99">
        <v>1289.95</v>
      </c>
      <c r="AP99">
        <f t="shared" si="44"/>
        <v>3.4859232269984619</v>
      </c>
    </row>
    <row r="100" spans="1:42" x14ac:dyDescent="0.3">
      <c r="A100" s="69" t="s">
        <v>26</v>
      </c>
      <c r="B100" s="11" t="s">
        <v>187</v>
      </c>
      <c r="C100">
        <v>2010</v>
      </c>
      <c r="D100" s="42">
        <v>48000</v>
      </c>
      <c r="E100" s="94">
        <v>58000</v>
      </c>
      <c r="F100" s="308">
        <f t="shared" si="37"/>
        <v>0.82758620689655171</v>
      </c>
      <c r="G100">
        <v>141</v>
      </c>
      <c r="H100">
        <v>775000</v>
      </c>
      <c r="I100" t="s">
        <v>375</v>
      </c>
      <c r="J100">
        <v>380</v>
      </c>
      <c r="K100" s="9">
        <f t="shared" si="38"/>
        <v>1.53786</v>
      </c>
      <c r="L100" s="9">
        <f t="shared" si="39"/>
        <v>153.786</v>
      </c>
      <c r="M100" s="9">
        <f t="shared" si="40"/>
        <v>3.203875</v>
      </c>
      <c r="N100" s="9">
        <f t="shared" si="41"/>
        <v>31.212203971752956</v>
      </c>
      <c r="O100">
        <v>326</v>
      </c>
      <c r="P100" s="1">
        <f t="shared" si="45"/>
        <v>1.3193220000000001</v>
      </c>
      <c r="Q100" s="1">
        <f t="shared" si="46"/>
        <v>131.93219999999999</v>
      </c>
      <c r="R100" s="1">
        <f t="shared" si="47"/>
        <v>2.7485874999999997</v>
      </c>
      <c r="S100" s="1">
        <f t="shared" si="48"/>
        <v>36.382323648055589</v>
      </c>
      <c r="T100" s="1"/>
      <c r="U100" s="1"/>
      <c r="V100" s="1"/>
      <c r="W100">
        <v>35.783332999999999</v>
      </c>
      <c r="X100">
        <v>-114.99166700000001</v>
      </c>
      <c r="Y100" t="s">
        <v>91</v>
      </c>
      <c r="AA100" s="10" t="s">
        <v>96</v>
      </c>
      <c r="AB100" s="15">
        <v>0.1</v>
      </c>
      <c r="AC100" s="15" t="s">
        <v>366</v>
      </c>
      <c r="AD100" s="15" t="s">
        <v>102</v>
      </c>
      <c r="AE100" t="s">
        <v>24</v>
      </c>
      <c r="AF100" t="s">
        <v>110</v>
      </c>
      <c r="AG100" s="15" t="s">
        <v>252</v>
      </c>
      <c r="AI100">
        <v>1</v>
      </c>
      <c r="AK100">
        <v>2124.58</v>
      </c>
      <c r="AL100">
        <f t="shared" si="42"/>
        <v>1.5080039348953678</v>
      </c>
      <c r="AM100">
        <v>1973.65</v>
      </c>
      <c r="AN100">
        <f t="shared" si="43"/>
        <v>1.623324804296608</v>
      </c>
      <c r="AO100">
        <v>1292.92</v>
      </c>
      <c r="AP100">
        <f t="shared" si="44"/>
        <v>2.4780148810444573</v>
      </c>
    </row>
    <row r="101" spans="1:42" x14ac:dyDescent="0.3">
      <c r="A101" s="69" t="s">
        <v>107</v>
      </c>
      <c r="B101" s="11" t="s">
        <v>368</v>
      </c>
      <c r="C101">
        <v>2012</v>
      </c>
      <c r="D101" s="42">
        <v>50400</v>
      </c>
      <c r="E101" s="94">
        <v>65100</v>
      </c>
      <c r="F101" s="308">
        <f t="shared" si="37"/>
        <v>0.77419354838709675</v>
      </c>
      <c r="H101">
        <v>840000</v>
      </c>
      <c r="I101" t="s">
        <v>102</v>
      </c>
      <c r="J101">
        <v>600</v>
      </c>
      <c r="K101" s="9">
        <f t="shared" si="38"/>
        <v>2.4282000000000004</v>
      </c>
      <c r="L101" s="9">
        <f t="shared" si="39"/>
        <v>242.82</v>
      </c>
      <c r="M101" s="9">
        <f t="shared" si="40"/>
        <v>4.8178571428571431</v>
      </c>
      <c r="N101" s="9">
        <f t="shared" si="41"/>
        <v>20.756115641215711</v>
      </c>
      <c r="P101" s="1"/>
      <c r="Q101" s="1"/>
      <c r="R101" s="1"/>
      <c r="S101" s="1"/>
      <c r="T101" s="1"/>
      <c r="U101" s="1"/>
      <c r="V101" s="1"/>
      <c r="W101">
        <v>34.59751</v>
      </c>
      <c r="X101">
        <f>-115.33087</f>
        <v>-115.33087</v>
      </c>
      <c r="Y101" t="s">
        <v>91</v>
      </c>
      <c r="Z101" t="s">
        <v>370</v>
      </c>
      <c r="AA101" t="s">
        <v>106</v>
      </c>
      <c r="AB101" s="15">
        <v>0.1</v>
      </c>
      <c r="AC101" s="15" t="s">
        <v>366</v>
      </c>
      <c r="AD101" s="15" t="s">
        <v>102</v>
      </c>
      <c r="AE101" s="15" t="s">
        <v>109</v>
      </c>
      <c r="AF101" s="15" t="s">
        <v>34</v>
      </c>
      <c r="AG101" s="15" t="s">
        <v>353</v>
      </c>
      <c r="AH101">
        <v>1</v>
      </c>
      <c r="AI101">
        <v>1</v>
      </c>
      <c r="AK101">
        <v>2104</v>
      </c>
      <c r="AL101">
        <f t="shared" si="42"/>
        <v>2.2898560564910375</v>
      </c>
      <c r="AM101">
        <v>1933.7</v>
      </c>
      <c r="AN101">
        <f t="shared" si="43"/>
        <v>2.4915225437540176</v>
      </c>
      <c r="AO101">
        <v>1277.98</v>
      </c>
      <c r="AP101">
        <f t="shared" si="44"/>
        <v>3.7699002667155539</v>
      </c>
    </row>
    <row r="102" spans="1:42" x14ac:dyDescent="0.3">
      <c r="A102" t="s">
        <v>35</v>
      </c>
      <c r="B102" t="s">
        <v>658</v>
      </c>
      <c r="C102">
        <v>2014</v>
      </c>
      <c r="D102" s="98">
        <v>290000</v>
      </c>
      <c r="E102" s="18">
        <f>D102/$I$186</f>
        <v>340612.37273835606</v>
      </c>
      <c r="F102" s="308">
        <f t="shared" si="37"/>
        <v>0.85140770920487274</v>
      </c>
      <c r="G102">
        <v>1800</v>
      </c>
      <c r="I102" t="s">
        <v>659</v>
      </c>
      <c r="J102">
        <v>2400</v>
      </c>
      <c r="K102" s="9">
        <f t="shared" si="38"/>
        <v>9.7128000000000014</v>
      </c>
      <c r="L102" s="9">
        <f t="shared" si="39"/>
        <v>971.28</v>
      </c>
      <c r="M102" s="9">
        <f t="shared" si="40"/>
        <v>3.3492413793103446</v>
      </c>
      <c r="N102" s="9">
        <f t="shared" si="41"/>
        <v>29.857507618812285</v>
      </c>
      <c r="W102">
        <v>32.965800000000002</v>
      </c>
      <c r="X102">
        <v>-113.52719999999999</v>
      </c>
      <c r="Y102" t="s">
        <v>91</v>
      </c>
      <c r="AB102" s="15">
        <v>0.107</v>
      </c>
      <c r="AC102" t="s">
        <v>366</v>
      </c>
      <c r="AD102" t="s">
        <v>660</v>
      </c>
      <c r="AE102" t="s">
        <v>109</v>
      </c>
      <c r="AF102" t="s">
        <v>475</v>
      </c>
      <c r="AG102" t="s">
        <v>252</v>
      </c>
      <c r="AI102">
        <v>1</v>
      </c>
      <c r="AK102">
        <v>2092.1</v>
      </c>
      <c r="AL102">
        <f t="shared" si="42"/>
        <v>1.6008992779075306</v>
      </c>
      <c r="AM102">
        <v>1968.84</v>
      </c>
      <c r="AN102">
        <f t="shared" si="43"/>
        <v>1.7011242047654176</v>
      </c>
      <c r="AO102">
        <v>1294.04</v>
      </c>
      <c r="AP102">
        <f t="shared" si="44"/>
        <v>2.5882054490667556</v>
      </c>
    </row>
    <row r="103" spans="1:42" x14ac:dyDescent="0.3">
      <c r="A103" s="69" t="s">
        <v>26</v>
      </c>
      <c r="B103" s="11" t="s">
        <v>101</v>
      </c>
      <c r="C103">
        <v>2013</v>
      </c>
      <c r="D103" s="94">
        <v>550000</v>
      </c>
      <c r="E103" s="18">
        <f>D103/$I$186</f>
        <v>645988.98277964082</v>
      </c>
      <c r="F103" s="308">
        <f t="shared" si="37"/>
        <v>0.85140770920487274</v>
      </c>
      <c r="G103">
        <v>254</v>
      </c>
      <c r="I103" t="s">
        <v>102</v>
      </c>
      <c r="J103">
        <v>4144</v>
      </c>
      <c r="K103" s="9">
        <f t="shared" si="38"/>
        <v>16.770768</v>
      </c>
      <c r="L103" s="9">
        <f t="shared" si="39"/>
        <v>1677.0768</v>
      </c>
      <c r="M103" s="9">
        <f t="shared" si="40"/>
        <v>3.0492305454545456</v>
      </c>
      <c r="N103" s="9">
        <f t="shared" si="41"/>
        <v>32.795158814432348</v>
      </c>
      <c r="O103">
        <v>4410</v>
      </c>
      <c r="P103" s="1">
        <f>O103*0.004047</f>
        <v>17.847270000000002</v>
      </c>
      <c r="Q103" s="1">
        <f>O103*0.4047</f>
        <v>1784.7270000000001</v>
      </c>
      <c r="R103" s="1">
        <f>Q103/(D103/1000)</f>
        <v>3.2449581818181819</v>
      </c>
      <c r="S103" s="1">
        <f>D103/1000/P103</f>
        <v>30.817038124038014</v>
      </c>
      <c r="T103" s="1">
        <f>0.51594/1.15094</f>
        <v>0.44827706048968663</v>
      </c>
      <c r="U103" s="1">
        <f>1/T103</f>
        <v>2.230763267046556</v>
      </c>
      <c r="V103" s="1">
        <f>T103*R103</f>
        <v>1.4546403151574125</v>
      </c>
      <c r="W103">
        <v>33.812399999999997</v>
      </c>
      <c r="X103">
        <v>-115.39709999999999</v>
      </c>
      <c r="Y103" t="s">
        <v>91</v>
      </c>
      <c r="AA103" s="11" t="s">
        <v>95</v>
      </c>
      <c r="AB103" s="15">
        <v>0.1</v>
      </c>
      <c r="AC103" s="15" t="s">
        <v>366</v>
      </c>
      <c r="AD103" s="15" t="s">
        <v>102</v>
      </c>
      <c r="AE103" t="s">
        <v>24</v>
      </c>
      <c r="AF103" s="15" t="s">
        <v>53</v>
      </c>
      <c r="AG103" s="15" t="s">
        <v>353</v>
      </c>
      <c r="AI103">
        <v>1</v>
      </c>
      <c r="AK103">
        <v>2144.5300000000002</v>
      </c>
      <c r="AL103">
        <f t="shared" si="42"/>
        <v>1.4218642525189882</v>
      </c>
      <c r="AM103">
        <v>1971.2</v>
      </c>
      <c r="AN103">
        <f t="shared" si="43"/>
        <v>1.5468904958677687</v>
      </c>
      <c r="AO103">
        <v>1294.4000000000001</v>
      </c>
      <c r="AP103">
        <f t="shared" si="44"/>
        <v>2.3557096302955389</v>
      </c>
    </row>
    <row r="104" spans="1:42" x14ac:dyDescent="0.3">
      <c r="A104" s="11" t="s">
        <v>26</v>
      </c>
      <c r="B104" s="11" t="s">
        <v>570</v>
      </c>
      <c r="C104">
        <v>2014</v>
      </c>
      <c r="D104" s="94">
        <v>550000</v>
      </c>
      <c r="E104" s="18">
        <f>D104/$I$186</f>
        <v>645988.98277964082</v>
      </c>
      <c r="F104" s="308">
        <f t="shared" si="37"/>
        <v>0.85140770920487274</v>
      </c>
      <c r="G104">
        <v>1200</v>
      </c>
      <c r="H104">
        <v>9000000</v>
      </c>
      <c r="I104" t="s">
        <v>571</v>
      </c>
      <c r="J104" s="74">
        <v>3500</v>
      </c>
      <c r="K104" s="9">
        <f t="shared" si="38"/>
        <v>14.1645</v>
      </c>
      <c r="L104" s="9">
        <f t="shared" si="39"/>
        <v>1416.45</v>
      </c>
      <c r="M104" s="1">
        <f t="shared" si="40"/>
        <v>2.5753636363636363</v>
      </c>
      <c r="N104" s="1">
        <f t="shared" si="41"/>
        <v>38.829468036287899</v>
      </c>
      <c r="O104" t="s">
        <v>598</v>
      </c>
      <c r="P104" s="1"/>
      <c r="Q104" s="1"/>
      <c r="R104" s="1"/>
      <c r="S104" s="1"/>
      <c r="T104" s="11"/>
      <c r="U104" s="11"/>
      <c r="V104" s="11"/>
      <c r="W104" s="11">
        <v>35.365969911217697</v>
      </c>
      <c r="X104" s="11">
        <v>-120.040639713407</v>
      </c>
      <c r="Y104" t="s">
        <v>91</v>
      </c>
      <c r="AA104" s="11"/>
      <c r="AB104" s="15">
        <v>0.107</v>
      </c>
      <c r="AC104" s="11" t="s">
        <v>366</v>
      </c>
      <c r="AD104" t="s">
        <v>102</v>
      </c>
      <c r="AE104" s="11" t="s">
        <v>109</v>
      </c>
      <c r="AF104" t="s">
        <v>475</v>
      </c>
      <c r="AG104" s="15" t="s">
        <v>444</v>
      </c>
      <c r="AI104">
        <v>1</v>
      </c>
      <c r="AK104">
        <v>2019.15</v>
      </c>
      <c r="AL104">
        <f t="shared" si="42"/>
        <v>1.2754692005862052</v>
      </c>
      <c r="AM104">
        <v>1974.38</v>
      </c>
      <c r="AN104">
        <f t="shared" si="43"/>
        <v>1.3043910677598214</v>
      </c>
      <c r="AO104">
        <v>1294.1400000000001</v>
      </c>
      <c r="AP104">
        <f t="shared" si="44"/>
        <v>1.9900193459468343</v>
      </c>
    </row>
    <row r="105" spans="1:42" x14ac:dyDescent="0.3">
      <c r="A105" t="s">
        <v>26</v>
      </c>
      <c r="B105" t="s">
        <v>673</v>
      </c>
      <c r="C105">
        <v>2013</v>
      </c>
      <c r="D105" s="98">
        <v>20000</v>
      </c>
      <c r="E105" s="18">
        <f>D105/$I$186</f>
        <v>23490.50846471421</v>
      </c>
      <c r="F105" s="308">
        <f t="shared" si="37"/>
        <v>0.85140770920487285</v>
      </c>
      <c r="I105" t="s">
        <v>8</v>
      </c>
      <c r="J105">
        <v>160</v>
      </c>
      <c r="K105" s="9">
        <f t="shared" si="38"/>
        <v>0.6475200000000001</v>
      </c>
      <c r="L105" s="9">
        <f t="shared" si="39"/>
        <v>64.751999999999995</v>
      </c>
      <c r="M105" s="9">
        <f t="shared" si="40"/>
        <v>3.2375999999999996</v>
      </c>
      <c r="N105" s="9">
        <f t="shared" si="41"/>
        <v>30.88707684704719</v>
      </c>
      <c r="W105">
        <v>35.097700000000003</v>
      </c>
      <c r="X105">
        <v>-118.9539</v>
      </c>
      <c r="Y105" t="s">
        <v>203</v>
      </c>
      <c r="AB105" s="111"/>
      <c r="AE105" t="s">
        <v>24</v>
      </c>
      <c r="AF105" t="s">
        <v>475</v>
      </c>
      <c r="AG105" t="s">
        <v>385</v>
      </c>
      <c r="AI105">
        <v>1</v>
      </c>
    </row>
    <row r="106" spans="1:42" x14ac:dyDescent="0.3">
      <c r="A106" t="s">
        <v>26</v>
      </c>
      <c r="B106" t="s">
        <v>675</v>
      </c>
      <c r="C106">
        <v>2013</v>
      </c>
      <c r="D106" s="98">
        <v>20000</v>
      </c>
      <c r="E106" s="18">
        <f>D106/$I$186</f>
        <v>23490.50846471421</v>
      </c>
      <c r="F106" s="308">
        <f t="shared" si="37"/>
        <v>0.85140770920487285</v>
      </c>
      <c r="I106" t="s">
        <v>8</v>
      </c>
      <c r="J106">
        <v>265</v>
      </c>
      <c r="K106" s="9">
        <f t="shared" si="38"/>
        <v>1.0724550000000002</v>
      </c>
      <c r="L106" s="9">
        <f t="shared" si="39"/>
        <v>107.24550000000001</v>
      </c>
      <c r="M106" s="9">
        <f t="shared" si="40"/>
        <v>5.3622750000000003</v>
      </c>
      <c r="N106" s="9">
        <f t="shared" si="41"/>
        <v>18.648801115198303</v>
      </c>
      <c r="W106">
        <v>35.147072999999999</v>
      </c>
      <c r="X106">
        <v>-118.886833</v>
      </c>
      <c r="Y106" t="s">
        <v>203</v>
      </c>
      <c r="AB106" s="111"/>
      <c r="AE106" t="s">
        <v>24</v>
      </c>
      <c r="AF106" t="s">
        <v>475</v>
      </c>
      <c r="AG106" t="s">
        <v>385</v>
      </c>
      <c r="AI106">
        <v>1</v>
      </c>
    </row>
    <row r="107" spans="1:42" x14ac:dyDescent="0.3">
      <c r="A107" t="s">
        <v>26</v>
      </c>
      <c r="B107" t="s">
        <v>656</v>
      </c>
      <c r="C107">
        <v>2012</v>
      </c>
      <c r="D107" s="108">
        <v>20000</v>
      </c>
      <c r="E107" s="98">
        <v>23500</v>
      </c>
      <c r="F107" s="308">
        <f t="shared" si="37"/>
        <v>0.85106382978723405</v>
      </c>
      <c r="H107">
        <v>187500</v>
      </c>
      <c r="I107" t="s">
        <v>657</v>
      </c>
      <c r="J107">
        <v>160</v>
      </c>
      <c r="K107" s="9">
        <f t="shared" si="38"/>
        <v>0.6475200000000001</v>
      </c>
      <c r="L107" s="9">
        <f t="shared" si="39"/>
        <v>64.751999999999995</v>
      </c>
      <c r="M107" s="9">
        <f t="shared" si="40"/>
        <v>3.2375999999999996</v>
      </c>
      <c r="N107" s="9">
        <f t="shared" si="41"/>
        <v>30.88707684704719</v>
      </c>
      <c r="W107">
        <v>35.856999999999999</v>
      </c>
      <c r="X107">
        <v>-119.44029999999999</v>
      </c>
      <c r="Y107" t="s">
        <v>203</v>
      </c>
      <c r="AB107" s="111"/>
      <c r="AD107" t="s">
        <v>174</v>
      </c>
      <c r="AE107" t="s">
        <v>109</v>
      </c>
      <c r="AF107" t="s">
        <v>611</v>
      </c>
      <c r="AG107" t="s">
        <v>380</v>
      </c>
      <c r="AI107">
        <v>1</v>
      </c>
    </row>
    <row r="108" spans="1:42" x14ac:dyDescent="0.3">
      <c r="A108" t="s">
        <v>107</v>
      </c>
      <c r="B108" t="s">
        <v>696</v>
      </c>
      <c r="C108">
        <v>2012</v>
      </c>
      <c r="D108" s="108">
        <v>20500</v>
      </c>
      <c r="E108" s="98">
        <v>24900</v>
      </c>
      <c r="F108" s="308">
        <f t="shared" si="37"/>
        <v>0.82329317269076308</v>
      </c>
      <c r="I108" t="s">
        <v>8</v>
      </c>
      <c r="J108">
        <v>154</v>
      </c>
      <c r="K108" s="9">
        <f t="shared" si="38"/>
        <v>0.62323800000000007</v>
      </c>
      <c r="L108" s="9">
        <f t="shared" si="39"/>
        <v>62.323799999999999</v>
      </c>
      <c r="M108" s="9">
        <f t="shared" si="40"/>
        <v>3.0401853658536586</v>
      </c>
      <c r="N108" s="9">
        <f t="shared" si="41"/>
        <v>32.892731187764539</v>
      </c>
      <c r="W108">
        <v>36.392789999999998</v>
      </c>
      <c r="X108">
        <v>-114.9251</v>
      </c>
      <c r="Y108" t="s">
        <v>203</v>
      </c>
      <c r="AB108" s="111"/>
      <c r="AE108" t="s">
        <v>24</v>
      </c>
      <c r="AI108">
        <v>1</v>
      </c>
    </row>
    <row r="109" spans="1:42" x14ac:dyDescent="0.3">
      <c r="A109" t="s">
        <v>26</v>
      </c>
      <c r="B109" t="s">
        <v>690</v>
      </c>
      <c r="C109">
        <v>2015</v>
      </c>
      <c r="D109" s="108">
        <v>23000</v>
      </c>
      <c r="E109" s="98">
        <v>28700</v>
      </c>
      <c r="F109" s="308">
        <f t="shared" si="37"/>
        <v>0.80139372822299648</v>
      </c>
      <c r="H109">
        <v>100000</v>
      </c>
      <c r="I109" t="s">
        <v>682</v>
      </c>
      <c r="J109">
        <v>123</v>
      </c>
      <c r="K109" s="9">
        <f t="shared" si="38"/>
        <v>0.49778100000000003</v>
      </c>
      <c r="L109" s="9">
        <f t="shared" si="39"/>
        <v>49.778100000000002</v>
      </c>
      <c r="M109" s="9">
        <f t="shared" si="40"/>
        <v>2.1642652173913044</v>
      </c>
      <c r="N109" s="9">
        <f t="shared" si="41"/>
        <v>46.205058047615317</v>
      </c>
      <c r="W109">
        <v>33.245399999999997</v>
      </c>
      <c r="X109">
        <v>-115.4982</v>
      </c>
      <c r="Y109" t="s">
        <v>203</v>
      </c>
      <c r="AB109" s="15">
        <v>0.14899999999999999</v>
      </c>
      <c r="AC109" t="s">
        <v>399</v>
      </c>
      <c r="AD109" s="107" t="s">
        <v>689</v>
      </c>
      <c r="AE109" t="s">
        <v>24</v>
      </c>
      <c r="AI109">
        <v>1</v>
      </c>
    </row>
    <row r="110" spans="1:42" x14ac:dyDescent="0.3">
      <c r="A110" s="11" t="s">
        <v>190</v>
      </c>
      <c r="B110" s="11" t="s">
        <v>551</v>
      </c>
      <c r="C110">
        <v>2012</v>
      </c>
      <c r="D110" s="42">
        <v>30000</v>
      </c>
      <c r="E110" s="94">
        <v>34290</v>
      </c>
      <c r="F110" s="308">
        <f t="shared" si="37"/>
        <v>0.87489063867016625</v>
      </c>
      <c r="H110">
        <v>127000</v>
      </c>
      <c r="I110" t="s">
        <v>552</v>
      </c>
      <c r="J110" s="74">
        <v>380</v>
      </c>
      <c r="K110" s="9">
        <f t="shared" si="38"/>
        <v>1.53786</v>
      </c>
      <c r="L110" s="9">
        <f t="shared" si="39"/>
        <v>153.786</v>
      </c>
      <c r="M110" s="1">
        <f t="shared" si="40"/>
        <v>5.1261999999999999</v>
      </c>
      <c r="N110" s="1">
        <f t="shared" si="41"/>
        <v>19.507627482345598</v>
      </c>
      <c r="O110" t="s">
        <v>598</v>
      </c>
      <c r="P110" s="25"/>
      <c r="Q110" s="25"/>
      <c r="R110" s="25"/>
      <c r="S110" s="25"/>
      <c r="T110" s="11"/>
      <c r="U110" s="11"/>
      <c r="V110" s="11"/>
      <c r="W110" s="11">
        <v>30.27187</v>
      </c>
      <c r="X110" s="11">
        <v>-97.499300000000005</v>
      </c>
      <c r="Y110" t="s">
        <v>203</v>
      </c>
      <c r="AA110" s="11"/>
      <c r="AB110" s="15">
        <v>0.14699999999999999</v>
      </c>
      <c r="AC110" s="11" t="s">
        <v>399</v>
      </c>
      <c r="AD110" t="s">
        <v>550</v>
      </c>
      <c r="AE110" t="s">
        <v>60</v>
      </c>
      <c r="AF110" t="s">
        <v>157</v>
      </c>
      <c r="AG110" s="15" t="s">
        <v>385</v>
      </c>
      <c r="AI110">
        <v>1</v>
      </c>
    </row>
    <row r="111" spans="1:42" x14ac:dyDescent="0.3">
      <c r="A111" t="s">
        <v>196</v>
      </c>
      <c r="B111" t="s">
        <v>712</v>
      </c>
      <c r="C111">
        <v>2014</v>
      </c>
      <c r="D111" s="98">
        <v>49900</v>
      </c>
      <c r="E111" s="18">
        <f>D111/$I$186</f>
        <v>58608.818619461956</v>
      </c>
      <c r="F111" s="308">
        <f t="shared" si="37"/>
        <v>0.85140770920487285</v>
      </c>
      <c r="H111">
        <v>250000</v>
      </c>
      <c r="I111" t="s">
        <v>713</v>
      </c>
      <c r="J111">
        <v>422.6</v>
      </c>
      <c r="K111" s="9">
        <f t="shared" si="38"/>
        <v>1.7102622000000003</v>
      </c>
      <c r="L111" s="9">
        <f t="shared" si="39"/>
        <v>171.02622000000002</v>
      </c>
      <c r="M111" s="9">
        <f t="shared" si="40"/>
        <v>3.4273791583166338</v>
      </c>
      <c r="N111" s="9">
        <f t="shared" si="41"/>
        <v>29.176812771749262</v>
      </c>
      <c r="W111">
        <v>39.814500000000002</v>
      </c>
      <c r="X111">
        <v>-82.649500000000003</v>
      </c>
      <c r="Y111" t="s">
        <v>203</v>
      </c>
      <c r="AB111" s="111"/>
      <c r="AC111" t="s">
        <v>391</v>
      </c>
      <c r="AD111" t="s">
        <v>714</v>
      </c>
      <c r="AE111" t="s">
        <v>24</v>
      </c>
      <c r="AF111" t="s">
        <v>702</v>
      </c>
      <c r="AG111" t="s">
        <v>709</v>
      </c>
      <c r="AI111">
        <v>1</v>
      </c>
    </row>
    <row r="112" spans="1:42" x14ac:dyDescent="0.3">
      <c r="A112" t="s">
        <v>26</v>
      </c>
      <c r="B112" t="s">
        <v>686</v>
      </c>
      <c r="C112">
        <v>2013</v>
      </c>
      <c r="D112" s="98">
        <v>50000</v>
      </c>
      <c r="E112" s="18">
        <f>D112/$I$186</f>
        <v>58726.271161785524</v>
      </c>
      <c r="F112" s="308">
        <f t="shared" si="37"/>
        <v>0.85140770920487285</v>
      </c>
      <c r="I112" t="s">
        <v>677</v>
      </c>
      <c r="J112">
        <v>300</v>
      </c>
      <c r="K112" s="9">
        <f t="shared" si="38"/>
        <v>1.2141000000000002</v>
      </c>
      <c r="L112" s="9">
        <f t="shared" si="39"/>
        <v>121.41</v>
      </c>
      <c r="M112" s="9">
        <f t="shared" si="40"/>
        <v>2.4281999999999999</v>
      </c>
      <c r="N112" s="9">
        <f t="shared" si="41"/>
        <v>41.182769129396256</v>
      </c>
      <c r="O112">
        <v>277</v>
      </c>
      <c r="P112" s="1">
        <f>O112*0.004047</f>
        <v>1.121019</v>
      </c>
      <c r="Q112" s="1">
        <f>O112*0.4047</f>
        <v>112.1019</v>
      </c>
      <c r="R112" s="1">
        <f>Q112/(D112/1000)</f>
        <v>2.242038</v>
      </c>
      <c r="S112" s="1">
        <f>D112/1000/P112</f>
        <v>44.602277035447216</v>
      </c>
      <c r="W112">
        <v>33.169400000000003</v>
      </c>
      <c r="X112">
        <v>-115.5492</v>
      </c>
      <c r="Y112" t="s">
        <v>203</v>
      </c>
      <c r="AB112" s="111"/>
      <c r="AE112" t="s">
        <v>24</v>
      </c>
      <c r="AF112" t="s">
        <v>475</v>
      </c>
      <c r="AG112" t="s">
        <v>385</v>
      </c>
      <c r="AI112">
        <v>1</v>
      </c>
    </row>
    <row r="113" spans="1:35" x14ac:dyDescent="0.3">
      <c r="A113" t="s">
        <v>26</v>
      </c>
      <c r="B113" t="s">
        <v>683</v>
      </c>
      <c r="C113">
        <v>2013</v>
      </c>
      <c r="D113" s="98">
        <v>70000</v>
      </c>
      <c r="E113" s="18">
        <f>D113/$I$186</f>
        <v>82216.779626499731</v>
      </c>
      <c r="F113" s="308">
        <f t="shared" si="37"/>
        <v>0.85140770920487285</v>
      </c>
      <c r="I113" t="s">
        <v>677</v>
      </c>
      <c r="J113">
        <v>300</v>
      </c>
      <c r="K113" s="9">
        <f t="shared" si="38"/>
        <v>1.2141000000000002</v>
      </c>
      <c r="L113" s="9">
        <f t="shared" si="39"/>
        <v>121.41</v>
      </c>
      <c r="M113" s="9">
        <f t="shared" si="40"/>
        <v>1.7344285714285714</v>
      </c>
      <c r="N113" s="9">
        <f t="shared" si="41"/>
        <v>57.65587678115476</v>
      </c>
      <c r="O113">
        <v>246</v>
      </c>
      <c r="P113" s="1">
        <f>O113*0.004047</f>
        <v>0.99556200000000006</v>
      </c>
      <c r="Q113" s="1">
        <f>O113*0.4047</f>
        <v>99.556200000000004</v>
      </c>
      <c r="R113" s="1">
        <f>Q113/(D113/1000)</f>
        <v>1.4222314285714286</v>
      </c>
      <c r="S113" s="1">
        <f>D113/1000/P113</f>
        <v>70.312044855066787</v>
      </c>
      <c r="W113">
        <v>33.1539</v>
      </c>
      <c r="X113">
        <v>-115.501</v>
      </c>
      <c r="Y113" t="s">
        <v>203</v>
      </c>
      <c r="AB113" s="111"/>
      <c r="AE113" t="s">
        <v>24</v>
      </c>
      <c r="AF113" t="s">
        <v>475</v>
      </c>
      <c r="AG113" t="s">
        <v>385</v>
      </c>
      <c r="AI113">
        <v>1</v>
      </c>
    </row>
    <row r="114" spans="1:35" x14ac:dyDescent="0.3">
      <c r="A114" s="11" t="s">
        <v>35</v>
      </c>
      <c r="B114" s="11" t="s">
        <v>395</v>
      </c>
      <c r="C114">
        <v>2013</v>
      </c>
      <c r="D114" s="42">
        <v>150000</v>
      </c>
      <c r="E114" s="94">
        <v>170000</v>
      </c>
      <c r="F114" s="308">
        <f t="shared" si="37"/>
        <v>0.88235294117647056</v>
      </c>
      <c r="G114">
        <v>337</v>
      </c>
      <c r="H114">
        <v>800000</v>
      </c>
      <c r="I114" t="s">
        <v>186</v>
      </c>
      <c r="J114" s="74">
        <v>900</v>
      </c>
      <c r="K114" s="9">
        <f t="shared" si="38"/>
        <v>3.6423000000000001</v>
      </c>
      <c r="L114" s="9">
        <f t="shared" si="39"/>
        <v>364.23</v>
      </c>
      <c r="M114" s="1">
        <f t="shared" si="40"/>
        <v>2.4281999999999999</v>
      </c>
      <c r="N114" s="1">
        <f t="shared" si="41"/>
        <v>41.182769129396263</v>
      </c>
      <c r="Q114" s="1"/>
      <c r="R114" s="1"/>
      <c r="S114" s="1"/>
      <c r="T114" s="1"/>
      <c r="U114" s="1"/>
      <c r="V114" s="1"/>
      <c r="Y114" t="s">
        <v>203</v>
      </c>
      <c r="AA114" s="11"/>
      <c r="AB114" s="15">
        <v>0.14499999999999999</v>
      </c>
      <c r="AC114" t="s">
        <v>399</v>
      </c>
      <c r="AD114" t="s">
        <v>400</v>
      </c>
      <c r="AE114" t="s">
        <v>342</v>
      </c>
      <c r="AF114" t="s">
        <v>397</v>
      </c>
      <c r="AG114" s="15" t="s">
        <v>398</v>
      </c>
      <c r="AH114">
        <v>1</v>
      </c>
      <c r="AI114">
        <v>1</v>
      </c>
    </row>
    <row r="115" spans="1:35" x14ac:dyDescent="0.3">
      <c r="A115" t="s">
        <v>26</v>
      </c>
      <c r="B115" t="s">
        <v>685</v>
      </c>
      <c r="C115">
        <v>2013</v>
      </c>
      <c r="D115" s="98">
        <v>155000</v>
      </c>
      <c r="E115" s="18">
        <f>D115/$I$186</f>
        <v>182051.44060153511</v>
      </c>
      <c r="F115" s="308">
        <f t="shared" si="37"/>
        <v>0.85140770920487285</v>
      </c>
      <c r="I115" t="s">
        <v>677</v>
      </c>
      <c r="J115">
        <v>934.4</v>
      </c>
      <c r="K115" s="9">
        <f t="shared" si="38"/>
        <v>3.7815168000000003</v>
      </c>
      <c r="L115" s="9">
        <f t="shared" si="39"/>
        <v>378.15168</v>
      </c>
      <c r="M115" s="9">
        <f t="shared" si="40"/>
        <v>2.4396882580645163</v>
      </c>
      <c r="N115" s="9">
        <f t="shared" si="41"/>
        <v>40.988843418598584</v>
      </c>
      <c r="W115">
        <v>33.159599999999998</v>
      </c>
      <c r="X115">
        <v>-115.5369</v>
      </c>
      <c r="Y115" t="s">
        <v>203</v>
      </c>
      <c r="AB115" s="111"/>
      <c r="AE115" t="s">
        <v>24</v>
      </c>
      <c r="AI115">
        <v>1</v>
      </c>
    </row>
    <row r="116" spans="1:35" x14ac:dyDescent="0.3">
      <c r="A116" t="s">
        <v>26</v>
      </c>
      <c r="B116" t="s">
        <v>678</v>
      </c>
      <c r="C116">
        <v>2014</v>
      </c>
      <c r="D116" s="98">
        <v>200000</v>
      </c>
      <c r="E116" s="18">
        <f>D116/$I$186</f>
        <v>234905.0846471421</v>
      </c>
      <c r="F116" s="308">
        <f t="shared" si="37"/>
        <v>0.85140770920487285</v>
      </c>
      <c r="I116" t="s">
        <v>677</v>
      </c>
      <c r="J116">
        <f>2500/2</f>
        <v>1250</v>
      </c>
      <c r="K116" s="9">
        <f t="shared" si="38"/>
        <v>5.0587500000000007</v>
      </c>
      <c r="L116" s="9">
        <f t="shared" si="39"/>
        <v>505.875</v>
      </c>
      <c r="M116" s="9">
        <f t="shared" si="40"/>
        <v>2.5293749999999999</v>
      </c>
      <c r="N116" s="9">
        <f t="shared" si="41"/>
        <v>39.535458364220403</v>
      </c>
      <c r="W116">
        <v>32.6706</v>
      </c>
      <c r="X116">
        <v>-115.6</v>
      </c>
      <c r="Y116" t="s">
        <v>203</v>
      </c>
      <c r="AB116" s="111"/>
      <c r="AE116" t="s">
        <v>24</v>
      </c>
      <c r="AF116" t="s">
        <v>475</v>
      </c>
      <c r="AG116" t="s">
        <v>385</v>
      </c>
      <c r="AI116">
        <v>1</v>
      </c>
    </row>
    <row r="117" spans="1:35" x14ac:dyDescent="0.3">
      <c r="A117" t="s">
        <v>26</v>
      </c>
      <c r="B117" t="s">
        <v>679</v>
      </c>
      <c r="C117">
        <v>2014</v>
      </c>
      <c r="D117" s="98">
        <v>200000</v>
      </c>
      <c r="E117" s="18">
        <f>D117/$I$186</f>
        <v>234905.0846471421</v>
      </c>
      <c r="F117" s="308">
        <f t="shared" si="37"/>
        <v>0.85140770920487285</v>
      </c>
      <c r="I117" t="s">
        <v>677</v>
      </c>
      <c r="J117">
        <v>1250</v>
      </c>
      <c r="K117" s="9">
        <f t="shared" si="38"/>
        <v>5.0587500000000007</v>
      </c>
      <c r="L117" s="9">
        <f t="shared" si="39"/>
        <v>505.875</v>
      </c>
      <c r="M117" s="9">
        <f t="shared" si="40"/>
        <v>2.5293749999999999</v>
      </c>
      <c r="N117" s="9">
        <f t="shared" si="41"/>
        <v>39.535458364220403</v>
      </c>
      <c r="W117">
        <v>32.6706</v>
      </c>
      <c r="X117">
        <v>-115.6</v>
      </c>
      <c r="Y117" t="s">
        <v>203</v>
      </c>
      <c r="AB117" s="111"/>
      <c r="AE117" t="s">
        <v>24</v>
      </c>
      <c r="AF117" t="s">
        <v>475</v>
      </c>
      <c r="AG117" t="s">
        <v>385</v>
      </c>
      <c r="AI117">
        <v>1</v>
      </c>
    </row>
    <row r="118" spans="1:35" x14ac:dyDescent="0.3">
      <c r="A118" t="s">
        <v>26</v>
      </c>
      <c r="B118" t="s">
        <v>680</v>
      </c>
      <c r="C118">
        <v>2014</v>
      </c>
      <c r="D118" s="98">
        <v>200000</v>
      </c>
      <c r="E118" s="18">
        <f>D118/$I$186</f>
        <v>234905.0846471421</v>
      </c>
      <c r="F118" s="308">
        <f t="shared" si="37"/>
        <v>0.85140770920487285</v>
      </c>
      <c r="I118" t="s">
        <v>677</v>
      </c>
      <c r="J118">
        <v>1400</v>
      </c>
      <c r="K118" s="9">
        <f t="shared" si="38"/>
        <v>5.6657999999999999</v>
      </c>
      <c r="L118" s="9">
        <f t="shared" si="39"/>
        <v>566.58000000000004</v>
      </c>
      <c r="M118" s="9">
        <f t="shared" si="40"/>
        <v>2.8329000000000004</v>
      </c>
      <c r="N118" s="9">
        <f t="shared" si="41"/>
        <v>35.299516396625364</v>
      </c>
      <c r="W118">
        <v>32.6706</v>
      </c>
      <c r="X118">
        <v>-115.6</v>
      </c>
      <c r="Y118" t="s">
        <v>203</v>
      </c>
      <c r="AB118" s="111"/>
      <c r="AE118" t="s">
        <v>24</v>
      </c>
      <c r="AF118" t="s">
        <v>475</v>
      </c>
      <c r="AG118" t="s">
        <v>385</v>
      </c>
      <c r="AI118">
        <v>1</v>
      </c>
    </row>
    <row r="119" spans="1:35" x14ac:dyDescent="0.3">
      <c r="A119" s="69" t="s">
        <v>26</v>
      </c>
      <c r="B119" s="11" t="s">
        <v>205</v>
      </c>
      <c r="C119">
        <v>2014</v>
      </c>
      <c r="D119" s="94">
        <v>275000</v>
      </c>
      <c r="E119" s="18">
        <f>D119/$I$186</f>
        <v>322994.49138982041</v>
      </c>
      <c r="F119" s="308">
        <f t="shared" si="37"/>
        <v>0.85140770920487274</v>
      </c>
      <c r="G119">
        <v>600</v>
      </c>
      <c r="I119" t="s">
        <v>206</v>
      </c>
      <c r="J119">
        <v>2067</v>
      </c>
      <c r="K119" s="9">
        <f t="shared" si="38"/>
        <v>8.3651490000000006</v>
      </c>
      <c r="L119" s="9">
        <f t="shared" si="39"/>
        <v>836.51490000000001</v>
      </c>
      <c r="M119" s="9">
        <f t="shared" si="40"/>
        <v>3.0418723636363638</v>
      </c>
      <c r="N119" s="9">
        <f t="shared" si="41"/>
        <v>32.874489145381631</v>
      </c>
      <c r="Q119" s="1"/>
      <c r="R119" s="1"/>
      <c r="S119" s="1"/>
      <c r="T119" s="1"/>
      <c r="U119" s="1"/>
      <c r="V119" s="1"/>
      <c r="W119">
        <v>32.784460000000003</v>
      </c>
      <c r="X119">
        <v>-115.857739</v>
      </c>
      <c r="Y119" t="s">
        <v>203</v>
      </c>
      <c r="AB119" s="15"/>
      <c r="AC119" s="15"/>
      <c r="AD119" s="15"/>
      <c r="AE119" t="s">
        <v>24</v>
      </c>
      <c r="AF119" t="s">
        <v>110</v>
      </c>
      <c r="AG119" s="15" t="s">
        <v>252</v>
      </c>
      <c r="AI119">
        <v>1</v>
      </c>
    </row>
    <row r="120" spans="1:35" x14ac:dyDescent="0.3">
      <c r="A120" s="69" t="s">
        <v>26</v>
      </c>
      <c r="B120" s="11" t="s">
        <v>193</v>
      </c>
      <c r="C120">
        <v>2013</v>
      </c>
      <c r="D120" s="42">
        <v>440000</v>
      </c>
      <c r="E120" s="94">
        <v>500000</v>
      </c>
      <c r="F120" s="308">
        <f t="shared" si="37"/>
        <v>0.88</v>
      </c>
      <c r="I120" t="s">
        <v>194</v>
      </c>
      <c r="J120">
        <v>3288</v>
      </c>
      <c r="K120" s="9">
        <f t="shared" si="38"/>
        <v>13.306536000000001</v>
      </c>
      <c r="L120" s="9">
        <f t="shared" si="39"/>
        <v>1330.6536000000001</v>
      </c>
      <c r="M120" s="9">
        <f t="shared" si="40"/>
        <v>3.0242127272727273</v>
      </c>
      <c r="N120" s="9">
        <f t="shared" si="41"/>
        <v>33.066456965208673</v>
      </c>
      <c r="Q120" s="1"/>
      <c r="R120" s="1"/>
      <c r="S120" s="1"/>
      <c r="T120" s="1"/>
      <c r="U120" s="1"/>
      <c r="V120" s="1"/>
      <c r="Y120" t="s">
        <v>203</v>
      </c>
      <c r="AB120" s="15"/>
      <c r="AC120" s="15"/>
      <c r="AD120" s="15"/>
      <c r="AE120" t="s">
        <v>24</v>
      </c>
      <c r="AF120" t="s">
        <v>110</v>
      </c>
      <c r="AG120" s="15" t="s">
        <v>252</v>
      </c>
      <c r="AI120">
        <v>1</v>
      </c>
    </row>
    <row r="121" spans="1:35" x14ac:dyDescent="0.3">
      <c r="F121" s="244">
        <f>MIN(F82:F120)</f>
        <v>0.77419354838709675</v>
      </c>
    </row>
    <row r="122" spans="1:35" x14ac:dyDescent="0.3">
      <c r="F122" s="244">
        <f>MAX(F82:F120)</f>
        <v>0.9</v>
      </c>
    </row>
    <row r="123" spans="1:35" x14ac:dyDescent="0.3">
      <c r="A123" s="69"/>
      <c r="B123" s="11"/>
      <c r="D123" s="18"/>
      <c r="E123" s="18"/>
      <c r="F123" s="18"/>
      <c r="K123" s="9"/>
      <c r="L123" s="9"/>
      <c r="M123" s="9"/>
      <c r="N123" s="9"/>
      <c r="P123" s="1"/>
      <c r="Q123" s="1"/>
      <c r="R123" s="1"/>
      <c r="S123" s="1"/>
      <c r="T123" s="1"/>
      <c r="U123" s="1"/>
      <c r="V123" s="1"/>
      <c r="AB123" s="15"/>
      <c r="AC123" s="15"/>
      <c r="AD123" s="15"/>
      <c r="AG123" s="15"/>
    </row>
    <row r="124" spans="1:35" x14ac:dyDescent="0.3">
      <c r="A124" s="69"/>
      <c r="B124" s="11"/>
      <c r="D124" s="18"/>
      <c r="E124" s="18"/>
      <c r="F124" s="18"/>
      <c r="K124" s="9"/>
      <c r="L124" s="9"/>
      <c r="M124" s="9"/>
      <c r="N124" s="9"/>
      <c r="P124" s="1"/>
      <c r="Q124" s="1"/>
      <c r="R124" s="1"/>
      <c r="S124" s="1"/>
      <c r="T124" s="1"/>
      <c r="U124" s="1"/>
      <c r="V124" s="1"/>
      <c r="AB124" s="15"/>
      <c r="AC124" s="15"/>
      <c r="AD124" s="15"/>
      <c r="AG124" s="15"/>
    </row>
    <row r="125" spans="1:35" x14ac:dyDescent="0.3">
      <c r="B125" s="11"/>
      <c r="D125" s="18"/>
      <c r="E125" s="18"/>
      <c r="F125" s="18"/>
      <c r="K125" s="9"/>
      <c r="L125" s="9"/>
      <c r="M125" s="9"/>
      <c r="N125" s="9"/>
      <c r="P125" s="1"/>
      <c r="Q125" s="1"/>
      <c r="R125" s="1"/>
      <c r="S125" s="1"/>
      <c r="T125" s="1"/>
      <c r="U125" s="1"/>
      <c r="V125" s="1"/>
      <c r="AB125" s="15"/>
      <c r="AC125" s="15"/>
      <c r="AD125" s="15"/>
    </row>
    <row r="126" spans="1:35" x14ac:dyDescent="0.3">
      <c r="B126" s="11"/>
      <c r="D126" s="18"/>
      <c r="E126" s="18"/>
      <c r="F126" s="18"/>
      <c r="U126" s="1"/>
      <c r="V126" s="1"/>
      <c r="AD126" s="15"/>
    </row>
    <row r="127" spans="1:35" ht="15" thickBot="1" x14ac:dyDescent="0.35">
      <c r="B127" s="11"/>
      <c r="D127" s="18"/>
      <c r="E127" s="18"/>
      <c r="F127" s="18"/>
      <c r="I127" t="s">
        <v>131</v>
      </c>
      <c r="U127" s="1"/>
      <c r="V127" s="11" t="s">
        <v>760</v>
      </c>
      <c r="W127" s="11"/>
      <c r="X127" s="11"/>
      <c r="Y127" s="11"/>
      <c r="Z127" s="11"/>
      <c r="AD127" s="15"/>
    </row>
    <row r="128" spans="1:35" ht="15" thickBot="1" x14ac:dyDescent="0.35">
      <c r="B128" s="11"/>
      <c r="D128" s="18"/>
      <c r="E128" s="18"/>
      <c r="F128" s="18"/>
      <c r="I128" t="s">
        <v>134</v>
      </c>
      <c r="J128">
        <f>MAX(J82:J93)</f>
        <v>2100</v>
      </c>
      <c r="K128">
        <f t="shared" ref="K128:S128" si="49">MAX(K82:K93)</f>
        <v>8.4987000000000013</v>
      </c>
      <c r="L128">
        <f t="shared" si="49"/>
        <v>849.87</v>
      </c>
      <c r="M128">
        <f t="shared" si="49"/>
        <v>4.7611764705882349</v>
      </c>
      <c r="N128">
        <f t="shared" si="49"/>
        <v>40.113086814347</v>
      </c>
      <c r="O128">
        <f t="shared" si="49"/>
        <v>1955</v>
      </c>
      <c r="P128">
        <f t="shared" si="49"/>
        <v>7.9118850000000007</v>
      </c>
      <c r="Q128">
        <f t="shared" si="49"/>
        <v>791.18849999999998</v>
      </c>
      <c r="R128">
        <f t="shared" si="49"/>
        <v>3.4399500000000001</v>
      </c>
      <c r="S128">
        <f t="shared" si="49"/>
        <v>41.739293036550258</v>
      </c>
      <c r="U128" s="1"/>
      <c r="V128" s="231" t="s">
        <v>765</v>
      </c>
      <c r="W128" s="185" t="s">
        <v>13</v>
      </c>
      <c r="X128" s="185"/>
      <c r="Y128" s="185" t="s">
        <v>9</v>
      </c>
      <c r="Z128" s="229"/>
      <c r="AC128" s="65" t="s">
        <v>756</v>
      </c>
      <c r="AD128" s="8" t="s">
        <v>336</v>
      </c>
      <c r="AF128" s="15"/>
    </row>
    <row r="129" spans="2:32" ht="15" thickBot="1" x14ac:dyDescent="0.35">
      <c r="B129" s="11"/>
      <c r="D129" s="18"/>
      <c r="E129" s="11" t="s">
        <v>878</v>
      </c>
      <c r="F129" s="11"/>
      <c r="G129" t="s">
        <v>882</v>
      </c>
      <c r="I129" t="s">
        <v>135</v>
      </c>
      <c r="J129">
        <f>MIN(J82:J93)</f>
        <v>144</v>
      </c>
      <c r="K129">
        <f t="shared" ref="K129:S129" si="50">MIN(K82:K93)</f>
        <v>0.58276800000000006</v>
      </c>
      <c r="L129">
        <f t="shared" si="50"/>
        <v>58.276800000000001</v>
      </c>
      <c r="M129">
        <f t="shared" si="50"/>
        <v>2.4929519999999998</v>
      </c>
      <c r="N129">
        <f t="shared" si="50"/>
        <v>21.003212255992093</v>
      </c>
      <c r="O129">
        <f t="shared" si="50"/>
        <v>118.4</v>
      </c>
      <c r="P129">
        <f t="shared" si="50"/>
        <v>0.47916480000000006</v>
      </c>
      <c r="Q129">
        <f t="shared" si="50"/>
        <v>47.91648</v>
      </c>
      <c r="R129">
        <f t="shared" si="50"/>
        <v>2.3958240000000002</v>
      </c>
      <c r="S129">
        <f t="shared" si="50"/>
        <v>29.070189973691477</v>
      </c>
      <c r="U129" s="1"/>
      <c r="V129" s="45" t="str">
        <f t="shared" ref="V129:V148" si="51">I127</f>
        <v>1 Axis Tracking</v>
      </c>
      <c r="W129" s="165" t="s">
        <v>761</v>
      </c>
      <c r="X129" s="165" t="s">
        <v>762</v>
      </c>
      <c r="Y129" s="165" t="s">
        <v>761</v>
      </c>
      <c r="Z129" s="228" t="s">
        <v>762</v>
      </c>
      <c r="AC129" s="8" t="s">
        <v>241</v>
      </c>
      <c r="AD129" s="101">
        <f>SUM(O3:O47)/SUMIF(O3:O47,"&gt;0",J3:J47)</f>
        <v>0.72893211402400437</v>
      </c>
      <c r="AF129" s="15"/>
    </row>
    <row r="130" spans="2:32" x14ac:dyDescent="0.3">
      <c r="B130" s="11"/>
      <c r="D130" s="18"/>
      <c r="E130" s="11"/>
      <c r="F130" s="11"/>
      <c r="I130" t="s">
        <v>137</v>
      </c>
      <c r="J130">
        <f>wtavg($D82:$D93,J82:J93)</f>
        <v>1549.8247978436657</v>
      </c>
      <c r="K130">
        <f t="shared" ref="K130:S130" si="52">wtavg($D82:$D93,K82:K93)</f>
        <v>6.272140956873316</v>
      </c>
      <c r="L130">
        <f t="shared" si="52"/>
        <v>627.21409568733156</v>
      </c>
      <c r="M130">
        <f t="shared" si="52"/>
        <v>3.1201533692722374</v>
      </c>
      <c r="N130">
        <f t="shared" si="52"/>
        <v>32.831433779946032</v>
      </c>
      <c r="O130">
        <f t="shared" si="52"/>
        <v>1468.9015873015874</v>
      </c>
      <c r="P130">
        <f t="shared" si="52"/>
        <v>5.9446447238095246</v>
      </c>
      <c r="Q130">
        <f t="shared" si="52"/>
        <v>594.46447238095243</v>
      </c>
      <c r="R130">
        <f t="shared" si="52"/>
        <v>3.292459333333333</v>
      </c>
      <c r="S130">
        <f t="shared" si="52"/>
        <v>30.694291914487557</v>
      </c>
      <c r="U130" s="1"/>
      <c r="V130" s="232" t="str">
        <f t="shared" si="51"/>
        <v>Max</v>
      </c>
      <c r="W130" s="30">
        <f t="shared" ref="W130:X133" si="53">M128</f>
        <v>4.7611764705882349</v>
      </c>
      <c r="X130" s="30">
        <f t="shared" si="53"/>
        <v>40.113086814347</v>
      </c>
      <c r="Y130" s="30">
        <f t="shared" ref="Y130:Z133" si="54">R128</f>
        <v>3.4399500000000001</v>
      </c>
      <c r="Z130" s="122">
        <f t="shared" si="54"/>
        <v>41.739293036550258</v>
      </c>
      <c r="AC130" s="8" t="s">
        <v>244</v>
      </c>
      <c r="AD130" s="101">
        <f>SUM(O82:O120)/SUMIF(O82:O120,"&gt;0",J82:J120)</f>
        <v>0.94773341782847476</v>
      </c>
      <c r="AF130" s="15"/>
    </row>
    <row r="131" spans="2:32" x14ac:dyDescent="0.3">
      <c r="B131" s="11"/>
      <c r="D131" s="18"/>
      <c r="E131" s="11"/>
      <c r="F131" s="11"/>
      <c r="I131" t="s">
        <v>136</v>
      </c>
      <c r="J131">
        <f>wtstd($D$82:$D$93,J82:J93)</f>
        <v>405.06398397674428</v>
      </c>
      <c r="K131">
        <f t="shared" ref="K131:S131" si="55">wtstd($D$82:$D$93,K82:K93)</f>
        <v>1.6392939431538842</v>
      </c>
      <c r="L131">
        <f t="shared" si="55"/>
        <v>163.92939431538841</v>
      </c>
      <c r="M131">
        <f t="shared" si="55"/>
        <v>0.31764305859509301</v>
      </c>
      <c r="N131">
        <f t="shared" si="55"/>
        <v>2.825935406877301</v>
      </c>
      <c r="O131">
        <f t="shared" si="55"/>
        <v>799.71171581400426</v>
      </c>
      <c r="P131">
        <f t="shared" si="55"/>
        <v>3.2364333138992762</v>
      </c>
      <c r="Q131">
        <f t="shared" si="55"/>
        <v>323.64333138992754</v>
      </c>
      <c r="R131">
        <f t="shared" si="55"/>
        <v>0.30470193926162276</v>
      </c>
      <c r="S131">
        <f t="shared" si="55"/>
        <v>3.4934715608504612</v>
      </c>
      <c r="U131" s="1"/>
      <c r="V131" s="232" t="str">
        <f t="shared" si="51"/>
        <v>Min</v>
      </c>
      <c r="W131" s="30">
        <f t="shared" si="53"/>
        <v>2.4929519999999998</v>
      </c>
      <c r="X131" s="30">
        <f t="shared" si="53"/>
        <v>21.003212255992093</v>
      </c>
      <c r="Y131" s="30">
        <f t="shared" si="54"/>
        <v>2.3958240000000002</v>
      </c>
      <c r="Z131" s="122">
        <f t="shared" si="54"/>
        <v>29.070189973691477</v>
      </c>
      <c r="AF131" s="15"/>
    </row>
    <row r="132" spans="2:32" x14ac:dyDescent="0.3">
      <c r="B132" s="11"/>
      <c r="D132" s="18"/>
      <c r="E132" s="11"/>
      <c r="F132" s="11"/>
      <c r="I132" t="s">
        <v>139</v>
      </c>
      <c r="U132" s="1"/>
      <c r="V132" s="233" t="str">
        <f t="shared" si="51"/>
        <v>W. Average</v>
      </c>
      <c r="W132" s="184">
        <f t="shared" si="53"/>
        <v>3.1201533692722374</v>
      </c>
      <c r="X132" s="184">
        <f t="shared" si="53"/>
        <v>32.831433779946032</v>
      </c>
      <c r="Y132" s="184">
        <f t="shared" si="54"/>
        <v>3.292459333333333</v>
      </c>
      <c r="Z132" s="230">
        <f t="shared" si="54"/>
        <v>30.694291914487557</v>
      </c>
      <c r="AC132" s="36" t="s">
        <v>65</v>
      </c>
      <c r="AD132" s="128" t="s">
        <v>55</v>
      </c>
      <c r="AE132" s="129" t="s">
        <v>605</v>
      </c>
      <c r="AF132" s="130" t="s">
        <v>755</v>
      </c>
    </row>
    <row r="133" spans="2:32" ht="15" thickBot="1" x14ac:dyDescent="0.35">
      <c r="B133" s="11"/>
      <c r="D133" s="18"/>
      <c r="I133" t="s">
        <v>134</v>
      </c>
      <c r="J133">
        <f>MAX(J94:J94)</f>
        <v>225</v>
      </c>
      <c r="K133">
        <f t="shared" ref="K133:S133" si="56">MAX(K94:K94)</f>
        <v>0.91057500000000002</v>
      </c>
      <c r="L133">
        <f t="shared" si="56"/>
        <v>91.057500000000005</v>
      </c>
      <c r="M133">
        <f t="shared" si="56"/>
        <v>2.9641113281250004</v>
      </c>
      <c r="N133">
        <f t="shared" si="56"/>
        <v>33.736924470801412</v>
      </c>
      <c r="O133">
        <f t="shared" si="56"/>
        <v>178.24</v>
      </c>
      <c r="P133">
        <f t="shared" si="56"/>
        <v>0.72133728000000008</v>
      </c>
      <c r="Q133">
        <f t="shared" si="56"/>
        <v>72.133728000000005</v>
      </c>
      <c r="R133">
        <f t="shared" si="56"/>
        <v>2.3481031250000002</v>
      </c>
      <c r="S133">
        <f t="shared" si="56"/>
        <v>42.58756735822665</v>
      </c>
      <c r="U133" s="1"/>
      <c r="V133" s="232" t="str">
        <f t="shared" si="51"/>
        <v>SD</v>
      </c>
      <c r="W133" s="30">
        <f t="shared" si="53"/>
        <v>0.31764305859509301</v>
      </c>
      <c r="X133" s="30">
        <f t="shared" si="53"/>
        <v>2.825935406877301</v>
      </c>
      <c r="Y133" s="30">
        <f t="shared" si="54"/>
        <v>0.30470193926162276</v>
      </c>
      <c r="Z133" s="122">
        <f t="shared" si="54"/>
        <v>3.4934715608504612</v>
      </c>
      <c r="AC133" s="116" t="s">
        <v>330</v>
      </c>
      <c r="AD133" s="102">
        <f>SUMIF($AC$3:$AC$47:$AC$82:$AC$120,"=thin film",$D$3:$D$47:$D$82:$D$120)/1000</f>
        <v>1899.3664699999999</v>
      </c>
      <c r="AE133" s="127">
        <f t="shared" ref="AE133:AE139" si="57">AD133/$AD$140</f>
        <v>0.38058463500524137</v>
      </c>
      <c r="AF133" s="131">
        <f>$AD133/($AD$140-$AD$138)</f>
        <v>0.76531346683109003</v>
      </c>
    </row>
    <row r="134" spans="2:32" ht="15" thickBot="1" x14ac:dyDescent="0.35">
      <c r="B134" s="11"/>
      <c r="D134" s="18"/>
      <c r="E134" s="11" t="s">
        <v>876</v>
      </c>
      <c r="F134" s="11"/>
      <c r="G134">
        <v>94</v>
      </c>
      <c r="I134" t="s">
        <v>135</v>
      </c>
      <c r="J134">
        <f>MIN(J94:J94)</f>
        <v>225</v>
      </c>
      <c r="K134">
        <f t="shared" ref="K134:S134" si="58">MIN(K94:K94)</f>
        <v>0.91057500000000002</v>
      </c>
      <c r="L134">
        <f t="shared" si="58"/>
        <v>91.057500000000005</v>
      </c>
      <c r="M134">
        <f t="shared" si="58"/>
        <v>2.9641113281250004</v>
      </c>
      <c r="N134">
        <f t="shared" si="58"/>
        <v>33.736924470801412</v>
      </c>
      <c r="O134">
        <f t="shared" si="58"/>
        <v>178.24</v>
      </c>
      <c r="P134">
        <f t="shared" si="58"/>
        <v>0.72133728000000008</v>
      </c>
      <c r="Q134">
        <f t="shared" si="58"/>
        <v>72.133728000000005</v>
      </c>
      <c r="R134">
        <f t="shared" si="58"/>
        <v>2.3481031250000002</v>
      </c>
      <c r="S134">
        <f t="shared" si="58"/>
        <v>42.58756735822665</v>
      </c>
      <c r="U134" s="1"/>
      <c r="V134" s="45" t="str">
        <f t="shared" si="51"/>
        <v>2 axis</v>
      </c>
      <c r="W134" s="165"/>
      <c r="X134" s="165"/>
      <c r="Y134" s="165"/>
      <c r="Z134" s="228"/>
      <c r="AC134" s="116" t="s">
        <v>399</v>
      </c>
      <c r="AD134" s="102">
        <f>SUMIF($AC$3:$AC$47:$AC$82:$AC$120,"=poly",$D$3:$D$47:$D$82:$D$120)/1000</f>
        <v>337.26506299999994</v>
      </c>
      <c r="AE134" s="127">
        <f t="shared" si="57"/>
        <v>6.7579323384536066E-2</v>
      </c>
      <c r="AF134" s="131">
        <f>$AD134/($AD$140-$AD$138)</f>
        <v>0.13589451992670795</v>
      </c>
    </row>
    <row r="135" spans="2:32" x14ac:dyDescent="0.3">
      <c r="B135" s="11"/>
      <c r="D135" s="18"/>
      <c r="E135" s="11"/>
      <c r="F135" s="11"/>
      <c r="I135" t="s">
        <v>137</v>
      </c>
      <c r="J135">
        <f>wtavg($D94:$D94,J94:J94)</f>
        <v>225</v>
      </c>
      <c r="K135">
        <f t="shared" ref="K135:S135" si="59">wtavg($D94:$D94,K94:K94)</f>
        <v>0.91057500000000002</v>
      </c>
      <c r="L135">
        <f t="shared" si="59"/>
        <v>91.057500000000019</v>
      </c>
      <c r="M135">
        <f t="shared" si="59"/>
        <v>2.9641113281250004</v>
      </c>
      <c r="N135">
        <f t="shared" si="59"/>
        <v>33.736924470801412</v>
      </c>
      <c r="O135">
        <f t="shared" si="59"/>
        <v>178.24000000000004</v>
      </c>
      <c r="P135">
        <f t="shared" si="59"/>
        <v>0.72133728000000008</v>
      </c>
      <c r="Q135">
        <f t="shared" si="59"/>
        <v>72.133728000000005</v>
      </c>
      <c r="R135">
        <f t="shared" si="59"/>
        <v>2.3481031250000002</v>
      </c>
      <c r="S135">
        <f t="shared" si="59"/>
        <v>42.58756735822665</v>
      </c>
      <c r="U135" s="1"/>
      <c r="V135" s="232" t="str">
        <f t="shared" si="51"/>
        <v>Max</v>
      </c>
      <c r="W135" s="30">
        <f t="shared" ref="W135:X138" si="60">M133</f>
        <v>2.9641113281250004</v>
      </c>
      <c r="X135" s="30">
        <f t="shared" si="60"/>
        <v>33.736924470801412</v>
      </c>
      <c r="Y135" s="30">
        <f t="shared" ref="Y135:Z138" si="61">R133</f>
        <v>2.3481031250000002</v>
      </c>
      <c r="Z135" s="148">
        <f t="shared" si="61"/>
        <v>42.58756735822665</v>
      </c>
      <c r="AC135" s="116" t="s">
        <v>391</v>
      </c>
      <c r="AD135" s="102">
        <f>SUMIF($AC$3:$AC$47:$AC$82:$AC$120,"=mono",$D$3:$D$47:$D$82:$D$120)/1000</f>
        <v>198.67295000000001</v>
      </c>
      <c r="AE135" s="127">
        <f t="shared" si="57"/>
        <v>3.9808995975992231E-2</v>
      </c>
      <c r="AF135" s="131">
        <f>$AD135/($AD$140-$AD$138)</f>
        <v>8.0051473231524312E-2</v>
      </c>
    </row>
    <row r="136" spans="2:32" x14ac:dyDescent="0.3">
      <c r="B136" s="11"/>
      <c r="D136" s="18"/>
      <c r="I136" t="s">
        <v>136</v>
      </c>
      <c r="J136" t="e">
        <f>wtstd($D$94:$D$94,J94:J94)</f>
        <v>#VALUE!</v>
      </c>
      <c r="K136" t="e">
        <f t="shared" ref="K136:S136" si="62">wtstd($D$94:$D$94,K94:K94)</f>
        <v>#VALUE!</v>
      </c>
      <c r="L136" t="e">
        <f t="shared" si="62"/>
        <v>#VALUE!</v>
      </c>
      <c r="M136" t="e">
        <f t="shared" si="62"/>
        <v>#VALUE!</v>
      </c>
      <c r="N136" t="e">
        <f t="shared" si="62"/>
        <v>#VALUE!</v>
      </c>
      <c r="O136" t="e">
        <f t="shared" si="62"/>
        <v>#VALUE!</v>
      </c>
      <c r="P136" t="e">
        <f t="shared" si="62"/>
        <v>#VALUE!</v>
      </c>
      <c r="Q136" t="e">
        <f t="shared" si="62"/>
        <v>#VALUE!</v>
      </c>
      <c r="R136" t="e">
        <f t="shared" si="62"/>
        <v>#VALUE!</v>
      </c>
      <c r="S136" t="e">
        <f t="shared" si="62"/>
        <v>#VALUE!</v>
      </c>
      <c r="U136" s="1"/>
      <c r="V136" s="232" t="str">
        <f t="shared" si="51"/>
        <v>Min</v>
      </c>
      <c r="W136" s="30">
        <f t="shared" si="60"/>
        <v>2.9641113281250004</v>
      </c>
      <c r="X136" s="30">
        <f t="shared" si="60"/>
        <v>33.736924470801412</v>
      </c>
      <c r="Y136" s="30">
        <f t="shared" si="61"/>
        <v>2.3481031250000002</v>
      </c>
      <c r="Z136" s="122">
        <f t="shared" si="61"/>
        <v>42.58756735822665</v>
      </c>
      <c r="AC136" s="116" t="s">
        <v>67</v>
      </c>
      <c r="AD136" s="102">
        <f>SUMIF($AC$3:$AC$47:$AC$82:$AC$120,"=HIT",$D$3:$D$47:$D$82:$D$120)/1000</f>
        <v>1.5795599999999999</v>
      </c>
      <c r="AE136" s="127">
        <f t="shared" si="57"/>
        <v>3.1650356872356443E-4</v>
      </c>
      <c r="AF136" s="131">
        <f>$AD136/($AD$140-$AD$138)</f>
        <v>6.3645355373032173E-4</v>
      </c>
    </row>
    <row r="137" spans="2:32" x14ac:dyDescent="0.3">
      <c r="B137" s="11"/>
      <c r="D137" s="18"/>
      <c r="I137" t="s">
        <v>138</v>
      </c>
      <c r="U137" s="1"/>
      <c r="V137" s="233" t="str">
        <f t="shared" si="51"/>
        <v>W. Average</v>
      </c>
      <c r="W137" s="184">
        <f t="shared" si="60"/>
        <v>2.9641113281250004</v>
      </c>
      <c r="X137" s="184">
        <f t="shared" si="60"/>
        <v>33.736924470801412</v>
      </c>
      <c r="Y137" s="184">
        <f t="shared" si="61"/>
        <v>2.3481031250000002</v>
      </c>
      <c r="Z137" s="230">
        <f t="shared" si="61"/>
        <v>42.58756735822665</v>
      </c>
      <c r="AC137" s="116" t="s">
        <v>66</v>
      </c>
      <c r="AD137" s="102">
        <f>SUMIF($AC$3:$AC$47:$AC$82:$AC$120,"=ribbon",$D$3:$D$47:$D$82:$D$120)/1000</f>
        <v>2.8869940000000001</v>
      </c>
      <c r="AE137" s="127">
        <f t="shared" si="57"/>
        <v>5.7848002221094373E-4</v>
      </c>
      <c r="AF137" s="131">
        <f>$AD137/($AD$140-$AD$138)</f>
        <v>1.163259129693153E-3</v>
      </c>
    </row>
    <row r="138" spans="2:32" ht="15" thickBot="1" x14ac:dyDescent="0.35">
      <c r="B138" s="11"/>
      <c r="D138" s="18"/>
      <c r="I138" t="s">
        <v>134</v>
      </c>
      <c r="J138">
        <f>MAX(J95:J104)</f>
        <v>4144</v>
      </c>
      <c r="K138">
        <f t="shared" ref="K138:S138" si="63">MAX(K95:K104)</f>
        <v>16.770768</v>
      </c>
      <c r="L138">
        <f t="shared" si="63"/>
        <v>1677.0768</v>
      </c>
      <c r="M138">
        <f t="shared" si="63"/>
        <v>4.8178571428571431</v>
      </c>
      <c r="N138">
        <f t="shared" si="63"/>
        <v>39.53545836422041</v>
      </c>
      <c r="O138">
        <f t="shared" si="63"/>
        <v>4410</v>
      </c>
      <c r="P138">
        <f t="shared" si="63"/>
        <v>17.847270000000002</v>
      </c>
      <c r="Q138">
        <f t="shared" si="63"/>
        <v>1784.7270000000001</v>
      </c>
      <c r="R138">
        <f t="shared" si="63"/>
        <v>3.2449581818181819</v>
      </c>
      <c r="S138">
        <f t="shared" si="63"/>
        <v>57.91326908821349</v>
      </c>
      <c r="U138" s="1"/>
      <c r="V138" s="232" t="str">
        <f t="shared" si="51"/>
        <v>SD</v>
      </c>
      <c r="W138" s="30" t="e">
        <f t="shared" si="60"/>
        <v>#VALUE!</v>
      </c>
      <c r="X138" s="30" t="e">
        <f t="shared" si="60"/>
        <v>#VALUE!</v>
      </c>
      <c r="Y138" s="30" t="e">
        <f t="shared" si="61"/>
        <v>#VALUE!</v>
      </c>
      <c r="Z138" s="122" t="e">
        <f t="shared" si="61"/>
        <v>#VALUE!</v>
      </c>
      <c r="AC138" s="116" t="s">
        <v>203</v>
      </c>
      <c r="AD138" s="102">
        <f>SUMIF($AC$3:$AC$48:$AC$82:$AC$120,"=",$D$3:$D$48:$D$82:$D$120)/1000</f>
        <v>2508.8395909090909</v>
      </c>
      <c r="AE138" s="127">
        <f t="shared" si="57"/>
        <v>0.50270751593968876</v>
      </c>
      <c r="AF138" s="131" t="s">
        <v>759</v>
      </c>
    </row>
    <row r="139" spans="2:32" ht="15" thickBot="1" x14ac:dyDescent="0.35">
      <c r="B139" s="11"/>
      <c r="D139" s="18"/>
      <c r="E139" s="11" t="s">
        <v>877</v>
      </c>
      <c r="F139" s="11"/>
      <c r="G139" t="s">
        <v>883</v>
      </c>
      <c r="I139" t="s">
        <v>135</v>
      </c>
      <c r="J139">
        <f>MIN(J95:J104)</f>
        <v>134</v>
      </c>
      <c r="K139">
        <f t="shared" ref="K139:S139" si="64">MIN(K95:K104)</f>
        <v>0.54229800000000006</v>
      </c>
      <c r="L139">
        <f t="shared" si="64"/>
        <v>54.229799999999997</v>
      </c>
      <c r="M139">
        <f t="shared" si="64"/>
        <v>2.5293749999999999</v>
      </c>
      <c r="N139">
        <f t="shared" si="64"/>
        <v>20.756115641215711</v>
      </c>
      <c r="O139">
        <f t="shared" si="64"/>
        <v>76.8</v>
      </c>
      <c r="P139">
        <f t="shared" si="64"/>
        <v>0.31080960000000002</v>
      </c>
      <c r="Q139">
        <f t="shared" si="64"/>
        <v>31.080959999999997</v>
      </c>
      <c r="R139">
        <f t="shared" si="64"/>
        <v>1.7267199999999998</v>
      </c>
      <c r="S139">
        <f t="shared" si="64"/>
        <v>30.817038124038014</v>
      </c>
      <c r="U139" s="1"/>
      <c r="V139" s="45" t="str">
        <f t="shared" si="51"/>
        <v>Fixed</v>
      </c>
      <c r="W139" s="165"/>
      <c r="X139" s="165"/>
      <c r="Y139" s="165"/>
      <c r="Z139" s="228"/>
      <c r="AC139" s="116" t="s">
        <v>604</v>
      </c>
      <c r="AD139" s="102">
        <f>$AD$140-SUM(AD133:AD138)</f>
        <v>42.043999999999869</v>
      </c>
      <c r="AE139" s="127">
        <f t="shared" si="57"/>
        <v>8.4245461036070186E-3</v>
      </c>
      <c r="AF139" s="131">
        <f>$AD139/($AD$140-$AD$138)</f>
        <v>1.6940827327254149E-2</v>
      </c>
    </row>
    <row r="140" spans="2:32" x14ac:dyDescent="0.3">
      <c r="B140" s="11"/>
      <c r="D140" s="18"/>
      <c r="E140" s="18"/>
      <c r="F140" s="18"/>
      <c r="I140" t="s">
        <v>137</v>
      </c>
      <c r="J140">
        <f>wtavg($D$95:$D$104,J95:J104)</f>
        <v>3053.9635340186001</v>
      </c>
      <c r="K140">
        <f t="shared" ref="K140:S140" si="65">wtavg($D$95:$D$104,K95:K104)</f>
        <v>12.359390422173275</v>
      </c>
      <c r="L140">
        <f t="shared" si="65"/>
        <v>1235.9390422173274</v>
      </c>
      <c r="M140">
        <f t="shared" si="65"/>
        <v>3.0441640969162993</v>
      </c>
      <c r="N140">
        <f t="shared" si="65"/>
        <v>33.611879194969362</v>
      </c>
      <c r="O140">
        <f t="shared" si="65"/>
        <v>3324.9701612903227</v>
      </c>
      <c r="P140">
        <f t="shared" si="65"/>
        <v>13.456154242741938</v>
      </c>
      <c r="Q140">
        <f t="shared" si="65"/>
        <v>1345.6154242741934</v>
      </c>
      <c r="R140">
        <f t="shared" si="65"/>
        <v>3.1055285483870971</v>
      </c>
      <c r="S140">
        <f t="shared" si="65"/>
        <v>32.659427231938075</v>
      </c>
      <c r="U140" s="1"/>
      <c r="V140" s="232" t="str">
        <f t="shared" si="51"/>
        <v>Max</v>
      </c>
      <c r="W140" s="30">
        <f t="shared" ref="W140:X143" si="66">M138</f>
        <v>4.8178571428571431</v>
      </c>
      <c r="X140" s="30">
        <f t="shared" si="66"/>
        <v>39.53545836422041</v>
      </c>
      <c r="Y140" s="30">
        <f t="shared" ref="Y140:Z143" si="67">R138</f>
        <v>3.2449581818181819</v>
      </c>
      <c r="Z140" s="122">
        <f t="shared" si="67"/>
        <v>57.91326908821349</v>
      </c>
      <c r="AC140" s="117" t="s">
        <v>331</v>
      </c>
      <c r="AD140" s="132">
        <f>SUM(D3:D47:D82:D120)/1000</f>
        <v>4990.6546279090908</v>
      </c>
      <c r="AE140" s="133">
        <f>SUM(AE133:AE139)</f>
        <v>1</v>
      </c>
      <c r="AF140" s="134">
        <f>SUM(AF133:AF139)</f>
        <v>0.99999999999999989</v>
      </c>
    </row>
    <row r="141" spans="2:32" x14ac:dyDescent="0.3">
      <c r="B141" s="11"/>
      <c r="D141" s="18"/>
      <c r="E141" s="18"/>
      <c r="F141" s="18"/>
      <c r="I141" t="s">
        <v>136</v>
      </c>
      <c r="J141">
        <f>wtstd($D$95:$D$104,J95:J104)</f>
        <v>848.87405843376109</v>
      </c>
      <c r="K141">
        <f t="shared" ref="K141:S141" si="68">wtstd($D$95:$D$104,K95:K104)</f>
        <v>3.435393314481431</v>
      </c>
      <c r="L141">
        <f t="shared" si="68"/>
        <v>343.53933144814312</v>
      </c>
      <c r="M141">
        <f t="shared" si="68"/>
        <v>0.33813846596857072</v>
      </c>
      <c r="N141">
        <f t="shared" si="68"/>
        <v>3.1347345708626433</v>
      </c>
      <c r="O141">
        <f t="shared" si="68"/>
        <v>1492.1706727124779</v>
      </c>
      <c r="P141">
        <f t="shared" si="68"/>
        <v>6.0388147124673983</v>
      </c>
      <c r="Q141">
        <f t="shared" si="68"/>
        <v>603.88147124673981</v>
      </c>
      <c r="R141">
        <f t="shared" si="68"/>
        <v>0.2505510028336238</v>
      </c>
      <c r="S141">
        <f t="shared" si="68"/>
        <v>3.8766188118619533</v>
      </c>
      <c r="U141" s="1"/>
      <c r="V141" s="232" t="str">
        <f t="shared" si="51"/>
        <v>Min</v>
      </c>
      <c r="W141" s="30">
        <f t="shared" si="66"/>
        <v>2.5293749999999999</v>
      </c>
      <c r="X141" s="30">
        <f t="shared" si="66"/>
        <v>20.756115641215711</v>
      </c>
      <c r="Y141" s="30">
        <f t="shared" si="67"/>
        <v>1.7267199999999998</v>
      </c>
      <c r="Z141" s="122">
        <f t="shared" si="67"/>
        <v>30.817038124038014</v>
      </c>
      <c r="AD141" s="15"/>
      <c r="AE141" s="15"/>
      <c r="AF141" s="15"/>
    </row>
    <row r="142" spans="2:32" x14ac:dyDescent="0.3">
      <c r="B142" s="11"/>
      <c r="D142" s="18"/>
      <c r="E142" s="18"/>
      <c r="F142" s="18"/>
      <c r="I142" t="s">
        <v>248</v>
      </c>
      <c r="U142" s="1"/>
      <c r="V142" s="233" t="str">
        <f t="shared" si="51"/>
        <v>W. Average</v>
      </c>
      <c r="W142" s="184">
        <f t="shared" si="66"/>
        <v>3.0441640969162993</v>
      </c>
      <c r="X142" s="184">
        <f t="shared" si="66"/>
        <v>33.611879194969362</v>
      </c>
      <c r="Y142" s="184">
        <f t="shared" si="67"/>
        <v>3.1055285483870971</v>
      </c>
      <c r="Z142" s="230">
        <f t="shared" si="67"/>
        <v>32.659427231938075</v>
      </c>
      <c r="AC142" s="135" t="s">
        <v>757</v>
      </c>
      <c r="AD142" s="135" t="s">
        <v>55</v>
      </c>
      <c r="AE142" s="136" t="s">
        <v>605</v>
      </c>
      <c r="AF142" s="15" t="s">
        <v>758</v>
      </c>
    </row>
    <row r="143" spans="2:32" ht="15" thickBot="1" x14ac:dyDescent="0.35">
      <c r="B143" s="11"/>
      <c r="D143" s="18"/>
      <c r="E143" s="18"/>
      <c r="F143" s="18"/>
      <c r="G143" t="s">
        <v>884</v>
      </c>
      <c r="I143" t="s">
        <v>134</v>
      </c>
      <c r="J143">
        <f>MAX(J105:J120)</f>
        <v>3288</v>
      </c>
      <c r="K143">
        <f t="shared" ref="K143:S143" si="69">MAX(K105:K120)</f>
        <v>13.306536000000001</v>
      </c>
      <c r="L143">
        <f t="shared" si="69"/>
        <v>1330.6536000000001</v>
      </c>
      <c r="M143">
        <f t="shared" si="69"/>
        <v>5.3622750000000003</v>
      </c>
      <c r="N143">
        <f t="shared" si="69"/>
        <v>57.65587678115476</v>
      </c>
      <c r="O143">
        <f t="shared" si="69"/>
        <v>277</v>
      </c>
      <c r="P143">
        <f t="shared" si="69"/>
        <v>1.121019</v>
      </c>
      <c r="Q143">
        <f t="shared" si="69"/>
        <v>112.1019</v>
      </c>
      <c r="R143">
        <f t="shared" si="69"/>
        <v>2.242038</v>
      </c>
      <c r="S143">
        <f t="shared" si="69"/>
        <v>70.312044855066787</v>
      </c>
      <c r="U143" s="1"/>
      <c r="V143" s="232" t="str">
        <f t="shared" si="51"/>
        <v>SD</v>
      </c>
      <c r="W143" s="30">
        <f t="shared" si="66"/>
        <v>0.33813846596857072</v>
      </c>
      <c r="X143" s="30">
        <f t="shared" si="66"/>
        <v>3.1347345708626433</v>
      </c>
      <c r="Y143" s="30">
        <f t="shared" si="67"/>
        <v>0.2505510028336238</v>
      </c>
      <c r="Z143" s="122">
        <f t="shared" si="67"/>
        <v>3.8766188118619533</v>
      </c>
      <c r="AC143" s="135" t="s">
        <v>21</v>
      </c>
      <c r="AD143" s="137">
        <f t="array" ref="AD143">SUMIF($Y$3:$Y$47:$Y$82:$Y$120,"=1 axis",$D$3:$D$47:$D$82:$D$120)/1000</f>
        <v>1273.803171</v>
      </c>
      <c r="AE143" s="127">
        <f>AD143/$AD$147</f>
        <v>0.25534051061007568</v>
      </c>
      <c r="AF143" s="131">
        <f>$AD143/($AD$147-$AD$146)</f>
        <v>0.4155632439247629</v>
      </c>
    </row>
    <row r="144" spans="2:32" ht="15" thickBot="1" x14ac:dyDescent="0.35">
      <c r="B144" s="11"/>
      <c r="D144" s="18"/>
      <c r="E144" s="18"/>
      <c r="F144" s="18"/>
      <c r="I144" t="s">
        <v>135</v>
      </c>
      <c r="J144">
        <f>MIN(J105:J120)</f>
        <v>123</v>
      </c>
      <c r="K144">
        <f t="shared" ref="K144:S144" si="70">MIN(K105:K120)</f>
        <v>0.49778100000000003</v>
      </c>
      <c r="L144">
        <f t="shared" si="70"/>
        <v>49.778100000000002</v>
      </c>
      <c r="M144">
        <f t="shared" si="70"/>
        <v>1.7344285714285714</v>
      </c>
      <c r="N144">
        <f t="shared" si="70"/>
        <v>18.648801115198303</v>
      </c>
      <c r="O144">
        <f t="shared" si="70"/>
        <v>246</v>
      </c>
      <c r="P144">
        <f t="shared" si="70"/>
        <v>0.99556200000000006</v>
      </c>
      <c r="Q144">
        <f t="shared" si="70"/>
        <v>99.556200000000004</v>
      </c>
      <c r="R144">
        <f t="shared" si="70"/>
        <v>1.4222314285714286</v>
      </c>
      <c r="S144">
        <f t="shared" si="70"/>
        <v>44.602277035447216</v>
      </c>
      <c r="U144" s="1"/>
      <c r="V144" s="45" t="str">
        <f t="shared" si="51"/>
        <v>Unknown</v>
      </c>
      <c r="W144" s="165"/>
      <c r="X144" s="165"/>
      <c r="Y144" s="165"/>
      <c r="Z144" s="228"/>
      <c r="AC144" s="135" t="s">
        <v>139</v>
      </c>
      <c r="AD144" s="137">
        <f t="array" ref="AD144">SUMIF($Y$3:$Y$47:$Y$82:$Y$120,"=2 axis",$D$3:$D$47:$D$82:$D$120)/1000</f>
        <v>36.76</v>
      </c>
      <c r="AE144" s="127">
        <f>AD144/$AD$147</f>
        <v>7.3687343411601401E-3</v>
      </c>
      <c r="AF144" s="131">
        <f>$AD144/($AD$147-$AD$146)</f>
        <v>1.1992515951017588E-2</v>
      </c>
    </row>
    <row r="145" spans="1:32" x14ac:dyDescent="0.3">
      <c r="B145" s="11"/>
      <c r="D145" s="18"/>
      <c r="E145" s="18"/>
      <c r="F145" s="18"/>
      <c r="I145" t="s">
        <v>137</v>
      </c>
      <c r="J145">
        <f>wtavg($D105:$D120,J105:J120)</f>
        <v>1643.5222730581263</v>
      </c>
      <c r="K145">
        <f t="shared" ref="K145:S145" si="71">wtavg($D105:$D120,K105:K120)</f>
        <v>6.6513346390662376</v>
      </c>
      <c r="L145">
        <f t="shared" si="71"/>
        <v>665.13346390662377</v>
      </c>
      <c r="M145">
        <f t="shared" si="71"/>
        <v>2.8097971300821465</v>
      </c>
      <c r="N145">
        <f t="shared" si="71"/>
        <v>36.641455930923733</v>
      </c>
      <c r="O145">
        <f t="shared" si="71"/>
        <v>258.91666666666669</v>
      </c>
      <c r="P145">
        <f t="shared" si="71"/>
        <v>1.0478357500000002</v>
      </c>
      <c r="Q145">
        <f t="shared" si="71"/>
        <v>104.783575</v>
      </c>
      <c r="R145">
        <f t="shared" si="71"/>
        <v>1.7638174999999998</v>
      </c>
      <c r="S145">
        <f t="shared" si="71"/>
        <v>59.599641596891964</v>
      </c>
      <c r="U145" s="1"/>
      <c r="V145" s="232" t="str">
        <f t="shared" si="51"/>
        <v>Max</v>
      </c>
      <c r="W145" s="30">
        <f t="shared" ref="W145:X148" si="72">M143</f>
        <v>5.3622750000000003</v>
      </c>
      <c r="X145" s="30">
        <f t="shared" si="72"/>
        <v>57.65587678115476</v>
      </c>
      <c r="Y145" s="30">
        <f t="shared" ref="Y145:Z148" si="73">R143</f>
        <v>2.242038</v>
      </c>
      <c r="Z145" s="122">
        <f t="shared" si="73"/>
        <v>70.312044855066787</v>
      </c>
      <c r="AC145" s="135" t="s">
        <v>91</v>
      </c>
      <c r="AD145" s="137">
        <f t="array" ref="AD145">SUMIF($Y$3:$Y$47:$Y$82:$Y$120,"=fixed",$D$3:$D$47:$D$82:$D$120)/1000</f>
        <v>1754.6818659999999</v>
      </c>
      <c r="AE145" s="127">
        <f>AD145/$AD$147</f>
        <v>0.3517351611481272</v>
      </c>
      <c r="AF145" s="131">
        <f>$AD145/($AD$147-$AD$146)</f>
        <v>0.57244424012421946</v>
      </c>
    </row>
    <row r="146" spans="1:32" x14ac:dyDescent="0.3">
      <c r="B146" s="11"/>
      <c r="D146" s="18"/>
      <c r="E146" s="18"/>
      <c r="F146" s="18"/>
      <c r="I146" t="s">
        <v>136</v>
      </c>
      <c r="J146">
        <f>wtstd($D$105:$D$120,J105:J120)</f>
        <v>531.4895075865694</v>
      </c>
      <c r="K146">
        <f t="shared" ref="K146:S146" si="74">wtstd($D$105:$D$120,K105:K120)</f>
        <v>2.1509380372028466</v>
      </c>
      <c r="L146">
        <f t="shared" si="74"/>
        <v>215.09380372028465</v>
      </c>
      <c r="M146">
        <f t="shared" si="74"/>
        <v>0.27010166175529943</v>
      </c>
      <c r="N146">
        <f t="shared" si="74"/>
        <v>3.1809334694199074</v>
      </c>
      <c r="O146">
        <f t="shared" si="74"/>
        <v>30.56641221268135</v>
      </c>
      <c r="P146">
        <f t="shared" si="74"/>
        <v>0.12370227022472136</v>
      </c>
      <c r="Q146">
        <f t="shared" si="74"/>
        <v>12.370227022472138</v>
      </c>
      <c r="R146">
        <f t="shared" si="74"/>
        <v>0.80834018054679713</v>
      </c>
      <c r="S146">
        <f t="shared" si="74"/>
        <v>25.350172937639407</v>
      </c>
      <c r="U146" s="1"/>
      <c r="V146" s="232" t="str">
        <f t="shared" si="51"/>
        <v>Min</v>
      </c>
      <c r="W146" s="30">
        <f t="shared" si="72"/>
        <v>1.7344285714285714</v>
      </c>
      <c r="X146" s="30">
        <f t="shared" si="72"/>
        <v>18.648801115198303</v>
      </c>
      <c r="Y146" s="30">
        <f t="shared" si="73"/>
        <v>1.4222314285714286</v>
      </c>
      <c r="Z146" s="122">
        <f t="shared" si="73"/>
        <v>44.602277035447216</v>
      </c>
      <c r="AC146" s="135" t="s">
        <v>203</v>
      </c>
      <c r="AD146" s="137">
        <f t="array" ref="AD146">SUMIF($Y$3:$Y$47:$Y$82:$Y$120,"=unknown",$D$3:$D$47:$D$82:$D$120)/1000</f>
        <v>1923.4</v>
      </c>
      <c r="AE146" s="127">
        <f>AD146/$AD$147</f>
        <v>0.38555559390063693</v>
      </c>
      <c r="AF146" s="15" t="s">
        <v>759</v>
      </c>
    </row>
    <row r="147" spans="1:32" x14ac:dyDescent="0.3">
      <c r="B147" s="11"/>
      <c r="E147" s="18"/>
      <c r="F147" s="18"/>
      <c r="I147" t="s">
        <v>229</v>
      </c>
      <c r="U147" s="1"/>
      <c r="V147" s="233" t="str">
        <f t="shared" si="51"/>
        <v>W. Average</v>
      </c>
      <c r="W147" s="184">
        <f t="shared" si="72"/>
        <v>2.8097971300821465</v>
      </c>
      <c r="X147" s="184">
        <f t="shared" si="72"/>
        <v>36.641455930923733</v>
      </c>
      <c r="Y147" s="184">
        <f t="shared" si="73"/>
        <v>1.7638174999999998</v>
      </c>
      <c r="Z147" s="230">
        <f t="shared" si="73"/>
        <v>59.599641596891964</v>
      </c>
      <c r="AC147" s="135" t="s">
        <v>246</v>
      </c>
      <c r="AD147" s="137">
        <f>SUM(AD143:AD146)</f>
        <v>4988.6450370000002</v>
      </c>
      <c r="AE147" s="127"/>
      <c r="AF147" s="15"/>
    </row>
    <row r="148" spans="1:32" ht="15" thickBot="1" x14ac:dyDescent="0.35">
      <c r="B148" s="11"/>
      <c r="D148" s="11" t="s">
        <v>217</v>
      </c>
      <c r="E148" s="18"/>
      <c r="F148" s="18"/>
      <c r="I148" t="s">
        <v>134</v>
      </c>
      <c r="J148">
        <f t="shared" ref="J148:S148" si="75">MAX(J82:J120)</f>
        <v>4144</v>
      </c>
      <c r="K148">
        <f t="shared" si="75"/>
        <v>16.770768</v>
      </c>
      <c r="L148">
        <f t="shared" si="75"/>
        <v>1677.0768</v>
      </c>
      <c r="M148">
        <f t="shared" si="75"/>
        <v>5.3622750000000003</v>
      </c>
      <c r="N148">
        <f t="shared" si="75"/>
        <v>57.65587678115476</v>
      </c>
      <c r="O148">
        <f t="shared" si="75"/>
        <v>4410</v>
      </c>
      <c r="P148">
        <f t="shared" si="75"/>
        <v>17.847270000000002</v>
      </c>
      <c r="Q148">
        <f t="shared" si="75"/>
        <v>1784.7270000000001</v>
      </c>
      <c r="R148">
        <f t="shared" si="75"/>
        <v>3.4399500000000001</v>
      </c>
      <c r="S148">
        <f t="shared" si="75"/>
        <v>70.312044855066787</v>
      </c>
      <c r="U148" s="1"/>
      <c r="V148" s="234" t="str">
        <f t="shared" si="51"/>
        <v>SD</v>
      </c>
      <c r="W148" s="114">
        <f t="shared" si="72"/>
        <v>0.27010166175529943</v>
      </c>
      <c r="X148" s="114">
        <f t="shared" si="72"/>
        <v>3.1809334694199074</v>
      </c>
      <c r="Y148" s="114">
        <f t="shared" si="73"/>
        <v>0.80834018054679713</v>
      </c>
      <c r="Z148" s="115">
        <f t="shared" si="73"/>
        <v>25.350172937639407</v>
      </c>
      <c r="AD148" s="102"/>
      <c r="AE148" s="15"/>
      <c r="AF148" s="15"/>
    </row>
    <row r="149" spans="1:32" ht="15" thickBot="1" x14ac:dyDescent="0.35">
      <c r="B149" s="11"/>
      <c r="D149" s="11">
        <f>SUMIF(AE82:AE120,"=proposed",E82:E120)/1000</f>
        <v>3350.2406820203114</v>
      </c>
      <c r="E149" s="18"/>
      <c r="F149" s="18"/>
      <c r="I149" t="s">
        <v>135</v>
      </c>
      <c r="J149">
        <f t="shared" ref="J149:S149" si="76">MIN(J82:J120)</f>
        <v>123</v>
      </c>
      <c r="K149">
        <f t="shared" si="76"/>
        <v>0.49778100000000003</v>
      </c>
      <c r="L149">
        <f t="shared" si="76"/>
        <v>49.778100000000002</v>
      </c>
      <c r="M149">
        <f t="shared" si="76"/>
        <v>1.7344285714285714</v>
      </c>
      <c r="N149">
        <f t="shared" si="76"/>
        <v>18.648801115198303</v>
      </c>
      <c r="O149">
        <f t="shared" si="76"/>
        <v>76.8</v>
      </c>
      <c r="P149">
        <f t="shared" si="76"/>
        <v>0.31080960000000002</v>
      </c>
      <c r="Q149">
        <f t="shared" si="76"/>
        <v>31.080959999999997</v>
      </c>
      <c r="R149">
        <f t="shared" si="76"/>
        <v>1.4222314285714286</v>
      </c>
      <c r="S149">
        <f t="shared" si="76"/>
        <v>29.070189973691477</v>
      </c>
      <c r="U149" s="1"/>
      <c r="V149" s="45" t="str">
        <f>I147</f>
        <v>All large scale</v>
      </c>
      <c r="W149" s="165"/>
      <c r="X149" s="165"/>
      <c r="Y149" s="165"/>
      <c r="Z149" s="228"/>
      <c r="AB149" s="102"/>
      <c r="AC149" s="15"/>
      <c r="AD149" s="15"/>
    </row>
    <row r="150" spans="1:32" x14ac:dyDescent="0.3">
      <c r="B150" s="11"/>
      <c r="D150" s="11" t="s">
        <v>218</v>
      </c>
      <c r="E150" s="18"/>
      <c r="F150" s="18"/>
      <c r="I150" t="s">
        <v>137</v>
      </c>
      <c r="J150">
        <f>wtavg($D82:$D120,J82:J120)</f>
        <v>2102.3872577379229</v>
      </c>
      <c r="K150">
        <f t="shared" ref="K150:S150" si="77">wtavg($D82:$D120,K82:K120)</f>
        <v>8.5083612320653756</v>
      </c>
      <c r="L150">
        <f t="shared" si="77"/>
        <v>850.83612320653754</v>
      </c>
      <c r="M150">
        <f t="shared" si="77"/>
        <v>2.9657501829195665</v>
      </c>
      <c r="N150">
        <f t="shared" si="77"/>
        <v>34.667344988561062</v>
      </c>
      <c r="O150">
        <f t="shared" si="77"/>
        <v>2457.6160870284034</v>
      </c>
      <c r="P150">
        <f t="shared" si="77"/>
        <v>9.9459723042039485</v>
      </c>
      <c r="Q150">
        <f t="shared" si="77"/>
        <v>994.59723042039491</v>
      </c>
      <c r="R150">
        <f t="shared" si="77"/>
        <v>3.0018762672353931</v>
      </c>
      <c r="S150">
        <f t="shared" si="77"/>
        <v>35.072217434197391</v>
      </c>
      <c r="U150" s="1"/>
      <c r="V150" s="232" t="str">
        <f>I148</f>
        <v>Max</v>
      </c>
      <c r="W150" s="30">
        <f t="shared" ref="W150:X153" si="78">M148</f>
        <v>5.3622750000000003</v>
      </c>
      <c r="X150" s="30">
        <f t="shared" si="78"/>
        <v>57.65587678115476</v>
      </c>
      <c r="Y150" s="30">
        <f t="shared" ref="Y150:Z153" si="79">R148</f>
        <v>3.4399500000000001</v>
      </c>
      <c r="Z150" s="122">
        <f t="shared" si="79"/>
        <v>70.312044855066787</v>
      </c>
      <c r="AB150" s="102"/>
      <c r="AC150" s="15"/>
      <c r="AD150" s="15"/>
    </row>
    <row r="151" spans="1:32" x14ac:dyDescent="0.3">
      <c r="B151" s="11"/>
      <c r="D151" s="11">
        <f>SUMIF($AE$82:$AE$120,"=construction",$E$82:$E$120)/1000</f>
        <v>1847.9937423991034</v>
      </c>
      <c r="E151" s="18"/>
      <c r="F151" s="18"/>
      <c r="I151" t="s">
        <v>136</v>
      </c>
      <c r="J151">
        <f t="shared" ref="J151:S151" si="80">wtstd($D$82:$D$120,J82:J120)</f>
        <v>410.39547604497062</v>
      </c>
      <c r="K151">
        <f t="shared" si="80"/>
        <v>1.6608704915539962</v>
      </c>
      <c r="L151">
        <f t="shared" si="80"/>
        <v>166.0870491553996</v>
      </c>
      <c r="M151">
        <f t="shared" si="80"/>
        <v>0.17313538715442267</v>
      </c>
      <c r="N151">
        <f t="shared" si="80"/>
        <v>1.8120362834981341</v>
      </c>
      <c r="O151">
        <f t="shared" si="80"/>
        <v>1007.0234003614786</v>
      </c>
      <c r="P151">
        <f t="shared" si="80"/>
        <v>4.0754237012629035</v>
      </c>
      <c r="Q151">
        <f t="shared" si="80"/>
        <v>407.54237012629039</v>
      </c>
      <c r="R151">
        <f t="shared" si="80"/>
        <v>0.28774396866994167</v>
      </c>
      <c r="S151">
        <f t="shared" si="80"/>
        <v>5.4158479783814402</v>
      </c>
      <c r="U151" s="1"/>
      <c r="V151" s="232" t="str">
        <f>I149</f>
        <v>Min</v>
      </c>
      <c r="W151" s="30">
        <f t="shared" si="78"/>
        <v>1.7344285714285714</v>
      </c>
      <c r="X151" s="30">
        <f t="shared" si="78"/>
        <v>18.648801115198303</v>
      </c>
      <c r="Y151" s="30">
        <f t="shared" si="79"/>
        <v>1.4222314285714286</v>
      </c>
      <c r="Z151" s="122">
        <f t="shared" si="79"/>
        <v>29.070189973691477</v>
      </c>
      <c r="AB151" s="102"/>
      <c r="AC151" s="15"/>
      <c r="AD151" s="15"/>
    </row>
    <row r="152" spans="1:32" x14ac:dyDescent="0.3">
      <c r="B152" s="11"/>
      <c r="D152" t="s">
        <v>595</v>
      </c>
      <c r="E152" s="18"/>
      <c r="F152" s="18"/>
      <c r="U152" s="1"/>
      <c r="V152" s="233" t="str">
        <f>I150</f>
        <v>W. Average</v>
      </c>
      <c r="W152" s="184">
        <f t="shared" si="78"/>
        <v>2.9657501829195665</v>
      </c>
      <c r="X152" s="184">
        <f t="shared" si="78"/>
        <v>34.667344988561062</v>
      </c>
      <c r="Y152" s="184">
        <f t="shared" si="79"/>
        <v>3.0018762672353931</v>
      </c>
      <c r="Z152" s="230">
        <f t="shared" si="79"/>
        <v>35.072217434197391</v>
      </c>
      <c r="AB152" s="102"/>
      <c r="AC152" s="15"/>
      <c r="AD152" s="15"/>
    </row>
    <row r="153" spans="1:32" ht="15" thickBot="1" x14ac:dyDescent="0.35">
      <c r="B153" s="11"/>
      <c r="D153" s="11">
        <f>SUMIF($AE$82:$AE$120,"=completed",$E$82:$E$120)/1000</f>
        <v>302.62177962649974</v>
      </c>
      <c r="E153" s="18"/>
      <c r="F153" s="18"/>
      <c r="H153" t="s">
        <v>231</v>
      </c>
      <c r="U153" s="1"/>
      <c r="V153" s="234" t="str">
        <f>I151</f>
        <v>SD</v>
      </c>
      <c r="W153" s="114">
        <f t="shared" si="78"/>
        <v>0.17313538715442267</v>
      </c>
      <c r="X153" s="114">
        <f t="shared" si="78"/>
        <v>1.8120362834981341</v>
      </c>
      <c r="Y153" s="114">
        <f t="shared" si="79"/>
        <v>0.28774396866994167</v>
      </c>
      <c r="Z153" s="115">
        <f t="shared" si="79"/>
        <v>5.4158479783814402</v>
      </c>
      <c r="AB153" s="102"/>
      <c r="AC153" s="15"/>
      <c r="AD153" s="15"/>
    </row>
    <row r="154" spans="1:32" x14ac:dyDescent="0.3">
      <c r="B154" s="11"/>
      <c r="E154" s="18"/>
      <c r="F154" s="18"/>
      <c r="I154" t="s">
        <v>131</v>
      </c>
      <c r="U154" s="1"/>
      <c r="AB154" s="102"/>
      <c r="AC154" s="15"/>
      <c r="AD154" s="15"/>
    </row>
    <row r="155" spans="1:32" x14ac:dyDescent="0.3">
      <c r="B155" s="11"/>
      <c r="E155" s="18"/>
      <c r="F155" s="18"/>
      <c r="I155" t="s">
        <v>134</v>
      </c>
      <c r="J155">
        <f>MAX(J3:J29:J82:J93)</f>
        <v>2100</v>
      </c>
      <c r="K155">
        <f>MAX(K3:K29:K82:K93)</f>
        <v>8.4987000000000013</v>
      </c>
      <c r="L155">
        <f>MAX(L3:L29:L82:L93)</f>
        <v>849.87</v>
      </c>
      <c r="M155">
        <f>MAX(M3:M29:M82:M93)</f>
        <v>6.8799000000000001</v>
      </c>
      <c r="N155">
        <f>MAX(N3:N29:N82:N93)</f>
        <v>82.365538258792512</v>
      </c>
      <c r="O155">
        <f>MAX(O3:O29:O82:O93)</f>
        <v>1955</v>
      </c>
      <c r="P155">
        <f>MAX(P3:P29:P82:P93)</f>
        <v>7.9118850000000007</v>
      </c>
      <c r="Q155">
        <f>MAX(Q3:Q29:Q82:Q93)</f>
        <v>791.18849999999998</v>
      </c>
      <c r="R155">
        <f>MAX(R3:R29:R82:R93)</f>
        <v>4.3302899999999998</v>
      </c>
      <c r="S155">
        <f>MAX(S3:S29:S82:S93)</f>
        <v>110.70636862740929</v>
      </c>
      <c r="U155" s="1"/>
      <c r="AB155" s="102"/>
      <c r="AC155" s="15"/>
      <c r="AD155" s="15"/>
    </row>
    <row r="156" spans="1:32" ht="15" thickBot="1" x14ac:dyDescent="0.35">
      <c r="B156" s="11"/>
      <c r="E156" s="18"/>
      <c r="F156" s="18"/>
      <c r="I156" t="s">
        <v>135</v>
      </c>
      <c r="J156">
        <f>MIN(J3:J29:J82:J93)</f>
        <v>4.42</v>
      </c>
      <c r="K156">
        <f>MIN(K3:K29:K82:K93)</f>
        <v>1.7887739999999999E-2</v>
      </c>
      <c r="L156">
        <f>MIN(L3:L29:L82:L93)</f>
        <v>1.7887740000000001</v>
      </c>
      <c r="M156">
        <f>MIN(M3:M29:M82:M93)</f>
        <v>0.27636353952501386</v>
      </c>
      <c r="N156">
        <f>MIN(N3:N29:N82:N93)</f>
        <v>2.2581843475691437</v>
      </c>
      <c r="O156">
        <f>MIN(O3:O29:O82:O93)</f>
        <v>2.5</v>
      </c>
      <c r="P156">
        <f>MIN(P3:P29:P82:P93)</f>
        <v>1.0117500000000001E-2</v>
      </c>
      <c r="Q156">
        <f>MIN(Q3:Q29:Q82:Q93)</f>
        <v>1.0117499999999999</v>
      </c>
      <c r="R156">
        <f>MIN(R3:R29:R82:R93)</f>
        <v>0.19401819986107324</v>
      </c>
      <c r="S156">
        <f>MIN(S3:S29:S82:S93)</f>
        <v>2.8936451564664663</v>
      </c>
      <c r="U156" s="1"/>
      <c r="V156" s="11" t="s">
        <v>760</v>
      </c>
      <c r="W156" s="11"/>
      <c r="X156" s="11"/>
      <c r="Y156" s="11"/>
      <c r="Z156" s="11"/>
      <c r="AB156" s="15"/>
      <c r="AC156" s="15"/>
      <c r="AD156" s="15"/>
    </row>
    <row r="157" spans="1:32" ht="15" thickBot="1" x14ac:dyDescent="0.35">
      <c r="A157" t="s">
        <v>743</v>
      </c>
      <c r="B157" s="11"/>
      <c r="E157" s="18"/>
      <c r="F157" s="18"/>
      <c r="I157" t="s">
        <v>137</v>
      </c>
      <c r="J157">
        <f>wtavg($D$3:$D$29:$D$82:$D$93,J3:J29:J82:J93)</f>
        <v>1253.155288248784</v>
      </c>
      <c r="K157">
        <f>wtavg($D$3:$D$29:$D$82:$D$93,K3:K29:K82:K93)</f>
        <v>5.0715194515428292</v>
      </c>
      <c r="L157">
        <f>wtavg($D$3:$D$29:$D$82:$D$93,L3:L29:L82:L93)</f>
        <v>507.15194515428288</v>
      </c>
      <c r="M157">
        <f>wtavg($D$3:$D$29:$D$82:$D$93,M3:M29:M82:M93)</f>
        <v>3.2157390474549032</v>
      </c>
      <c r="N157">
        <f>wtavg($D$3:$D$29:$D$82:$D$93,N3:N29:N82:N93)</f>
        <v>32.316586019810508</v>
      </c>
      <c r="O157">
        <f>wtavg($D$3:$D$29:$D$82:$D$93,O3:O29:O82:O93)</f>
        <v>905.22898070607073</v>
      </c>
      <c r="P157">
        <f>wtavg($D$3:$D$29:$D$82:$D$93,P3:P29:P82:P93)</f>
        <v>3.6634616849174693</v>
      </c>
      <c r="Q157">
        <f>wtavg($D$3:$D$29:$D$82:$D$93,Q3:Q29:Q82:Q93)</f>
        <v>366.34616849174682</v>
      </c>
      <c r="R157">
        <f>wtavg($D$3:$D$29:$D$82:$D$93,R3:R29:R82:R93)</f>
        <v>2.9866765361076508</v>
      </c>
      <c r="S157">
        <f>wtavg($D$3:$D$29:$D$82:$D$93,S3:S29:S82:S93)</f>
        <v>35.734069836100325</v>
      </c>
      <c r="U157" s="1"/>
      <c r="V157" s="231" t="s">
        <v>231</v>
      </c>
      <c r="W157" s="185" t="s">
        <v>13</v>
      </c>
      <c r="X157" s="185"/>
      <c r="Y157" s="185" t="s">
        <v>9</v>
      </c>
      <c r="Z157" s="229"/>
      <c r="AB157" s="15"/>
      <c r="AC157" s="15"/>
      <c r="AD157" s="15"/>
    </row>
    <row r="158" spans="1:32" ht="15" thickBot="1" x14ac:dyDescent="0.35">
      <c r="A158">
        <f>COUNTA(A82:A120)</f>
        <v>39</v>
      </c>
      <c r="B158" s="11"/>
      <c r="I158" t="s">
        <v>136</v>
      </c>
      <c r="J158">
        <f>wtstd($D$3:$D$29:$D$82:$D$93,J3:J29:J82:J93)</f>
        <v>196.87131709632826</v>
      </c>
      <c r="K158">
        <f>wtstd($D$3:$D$29:$D$82:$D$93,K3:K29:K82:K93)</f>
        <v>0.79673822028884056</v>
      </c>
      <c r="L158">
        <f>wtstd($D$3:$D$29:$D$82:$D$93,L3:L29:L82:L93)</f>
        <v>79.673822028884047</v>
      </c>
      <c r="M158">
        <f>wtstd($D$3:$D$29:$D$82:$D$93,M3:M29:M82:M93)</f>
        <v>0.15480033905577595</v>
      </c>
      <c r="N158">
        <f>wtstd($D$3:$D$29:$D$82:$D$93,N3:N29:N82:N93)</f>
        <v>1.480495294384319</v>
      </c>
      <c r="O158">
        <f>wtstd($D$3:$D$29:$D$82:$D$93,O3:O29:O82:O93)</f>
        <v>238.57912956872275</v>
      </c>
      <c r="P158">
        <f>wtstd($D$3:$D$29:$D$82:$D$93,P3:P29:P82:P93)</f>
        <v>0.965529737364621</v>
      </c>
      <c r="Q158">
        <f>wtstd($D$3:$D$29:$D$82:$D$93,Q3:Q29:Q82:Q93)</f>
        <v>96.552973736462093</v>
      </c>
      <c r="R158">
        <f>wtstd($D$3:$D$29:$D$82:$D$93,R3:R29:R82:R93)</f>
        <v>0.15208450663129791</v>
      </c>
      <c r="S158">
        <f>wtstd($D$3:$D$29:$D$82:$D$93,S3:S29:S82:S93)</f>
        <v>3.1098714627288513</v>
      </c>
      <c r="U158" s="1"/>
      <c r="V158" s="45" t="str">
        <f t="shared" ref="V158:V181" si="81">I154</f>
        <v>1 Axis Tracking</v>
      </c>
      <c r="W158" s="165" t="s">
        <v>761</v>
      </c>
      <c r="X158" s="165" t="s">
        <v>762</v>
      </c>
      <c r="Y158" s="165" t="s">
        <v>761</v>
      </c>
      <c r="Z158" s="228" t="s">
        <v>762</v>
      </c>
      <c r="AB158" s="15"/>
      <c r="AC158" s="15"/>
      <c r="AD158" s="15"/>
    </row>
    <row r="159" spans="1:32" x14ac:dyDescent="0.3">
      <c r="B159" s="11"/>
      <c r="I159" t="s">
        <v>139</v>
      </c>
      <c r="U159" s="1"/>
      <c r="V159" s="232" t="str">
        <f t="shared" si="81"/>
        <v>Max</v>
      </c>
      <c r="W159" s="30">
        <f t="shared" ref="W159:X162" si="82">M155</f>
        <v>6.8799000000000001</v>
      </c>
      <c r="X159" s="30">
        <f t="shared" si="82"/>
        <v>82.365538258792512</v>
      </c>
      <c r="Y159" s="30">
        <f t="shared" ref="Y159:Z162" si="83">R155</f>
        <v>4.3302899999999998</v>
      </c>
      <c r="Z159" s="122">
        <f t="shared" si="83"/>
        <v>110.70636862740929</v>
      </c>
      <c r="AB159" s="15"/>
      <c r="AC159" s="15"/>
      <c r="AD159" s="15"/>
    </row>
    <row r="160" spans="1:32" x14ac:dyDescent="0.3">
      <c r="A160" t="s">
        <v>210</v>
      </c>
      <c r="B160" s="11"/>
      <c r="I160" t="s">
        <v>134</v>
      </c>
      <c r="J160">
        <f>MAX(J30:J31:J94)</f>
        <v>2100</v>
      </c>
      <c r="K160">
        <f>MAX(K30:K31:K94)</f>
        <v>8.4987000000000013</v>
      </c>
      <c r="L160">
        <f>MAX(L30:L31:L94)</f>
        <v>849.87</v>
      </c>
      <c r="M160">
        <f>MAX(M30:M31:M94)</f>
        <v>6.8799000000000001</v>
      </c>
      <c r="N160">
        <f>MAX(N30:N31:N94)</f>
        <v>82.365538258792512</v>
      </c>
      <c r="O160">
        <f>MAX(O30:O31:O94)</f>
        <v>1955</v>
      </c>
      <c r="P160">
        <f>MAX(P30:P31:P94)</f>
        <v>7.9118850000000007</v>
      </c>
      <c r="Q160">
        <f>MAX(Q30:Q31:Q94)</f>
        <v>791.18849999999998</v>
      </c>
      <c r="R160">
        <f>MAX(R30:R31:R94)</f>
        <v>4.3302899999999998</v>
      </c>
      <c r="S160">
        <f>MAX(S30:S31:S94)</f>
        <v>110.70636862740929</v>
      </c>
      <c r="U160" s="1"/>
      <c r="V160" s="232" t="str">
        <f t="shared" si="81"/>
        <v>Min</v>
      </c>
      <c r="W160" s="30">
        <f t="shared" si="82"/>
        <v>0.27636353952501386</v>
      </c>
      <c r="X160" s="30">
        <f t="shared" si="82"/>
        <v>2.2581843475691437</v>
      </c>
      <c r="Y160" s="30">
        <f t="shared" si="83"/>
        <v>0.19401819986107324</v>
      </c>
      <c r="Z160" s="122">
        <f t="shared" si="83"/>
        <v>2.8936451564664663</v>
      </c>
      <c r="AB160" s="15"/>
      <c r="AC160" s="15"/>
      <c r="AD160" s="15"/>
    </row>
    <row r="161" spans="1:26" x14ac:dyDescent="0.3">
      <c r="A161">
        <f>A158+A54</f>
        <v>84</v>
      </c>
      <c r="I161" t="s">
        <v>135</v>
      </c>
      <c r="J161">
        <f>MIN(J30:J31:J94)</f>
        <v>4.42</v>
      </c>
      <c r="K161">
        <f>MIN(K30:K31:K94)</f>
        <v>1.7887739999999999E-2</v>
      </c>
      <c r="L161">
        <f>MIN(L30:L31:L94)</f>
        <v>1.7887740000000001</v>
      </c>
      <c r="M161">
        <f>MIN(M30:M31:M94)</f>
        <v>0.27636353952501386</v>
      </c>
      <c r="N161">
        <f>MIN(N30:N31:N94)</f>
        <v>2.2581843475691437</v>
      </c>
      <c r="O161">
        <f>MIN(O30:O31:O94)</f>
        <v>2.5</v>
      </c>
      <c r="P161">
        <f>MIN(P30:P31:P94)</f>
        <v>1.0117500000000001E-2</v>
      </c>
      <c r="Q161">
        <f>MIN(Q30:Q31:Q94)</f>
        <v>1.0117499999999999</v>
      </c>
      <c r="R161">
        <f>MIN(R30:R31:R94)</f>
        <v>0.19401819986107324</v>
      </c>
      <c r="S161">
        <f>MIN(S30:S31:S94)</f>
        <v>2.8936451564664663</v>
      </c>
      <c r="V161" s="233" t="str">
        <f t="shared" si="81"/>
        <v>W. Average</v>
      </c>
      <c r="W161" s="184">
        <f t="shared" si="82"/>
        <v>3.2157390474549032</v>
      </c>
      <c r="X161" s="184">
        <f t="shared" si="82"/>
        <v>32.316586019810508</v>
      </c>
      <c r="Y161" s="184">
        <f t="shared" si="83"/>
        <v>2.9866765361076508</v>
      </c>
      <c r="Z161" s="230">
        <f t="shared" si="83"/>
        <v>35.734069836100325</v>
      </c>
    </row>
    <row r="162" spans="1:26" ht="15" thickBot="1" x14ac:dyDescent="0.35">
      <c r="I162" t="s">
        <v>137</v>
      </c>
      <c r="J162">
        <f>wtavg($D30:$D31:$D$94,J30:J31:J94)</f>
        <v>1371.5805838998126</v>
      </c>
      <c r="K162">
        <f>wtavg($D30:$D31:$D$94,K30:K31:K94)</f>
        <v>5.5507866230425416</v>
      </c>
      <c r="L162">
        <f>wtavg($D30:$D31:$D$94,L30:L31:L94)</f>
        <v>555.07866230425407</v>
      </c>
      <c r="M162">
        <f>wtavg($D30:$D31:$D$94,M30:M31:M94)</f>
        <v>3.1402673251616693</v>
      </c>
      <c r="N162">
        <f>wtavg($D30:$D31:$D$94,N30:N31:N94)</f>
        <v>32.924043662430137</v>
      </c>
      <c r="O162">
        <f>wtavg($D30:$D31:$D$94,O30:O31:O94)</f>
        <v>1040.6968625171526</v>
      </c>
      <c r="P162">
        <f>wtavg($D30:$D31:$D$94,P30:P31:P94)</f>
        <v>4.2117002026069166</v>
      </c>
      <c r="Q162">
        <f>wtavg($D30:$D31:$D$94,Q30:Q31:Q94)</f>
        <v>421.17002026069162</v>
      </c>
      <c r="R162">
        <f>wtavg($D30:$D31:$D$94,R30:R31:R94)</f>
        <v>3.0133692245087147</v>
      </c>
      <c r="S162">
        <f>wtavg($D30:$D31:$D$94,S30:S31:S94)</f>
        <v>35.569049918382539</v>
      </c>
      <c r="V162" s="232" t="str">
        <f t="shared" si="81"/>
        <v>SD</v>
      </c>
      <c r="W162" s="30">
        <f t="shared" si="82"/>
        <v>0.15480033905577595</v>
      </c>
      <c r="X162" s="30">
        <f t="shared" si="82"/>
        <v>1.480495294384319</v>
      </c>
      <c r="Y162" s="30">
        <f t="shared" si="83"/>
        <v>0.15208450663129791</v>
      </c>
      <c r="Z162" s="122">
        <f t="shared" si="83"/>
        <v>3.1098714627288513</v>
      </c>
    </row>
    <row r="163" spans="1:26" ht="15" thickBot="1" x14ac:dyDescent="0.35">
      <c r="A163" s="11" t="s">
        <v>212</v>
      </c>
      <c r="B163" s="11"/>
      <c r="I163" t="s">
        <v>136</v>
      </c>
      <c r="J163">
        <f>wtstd($D31:$D32:$D$94,J31:J32:J95)</f>
        <v>233.92470660721975</v>
      </c>
      <c r="K163">
        <f>wtstd($D31:$D32:$D$94,K31:K32:K95)</f>
        <v>0.9466932876394184</v>
      </c>
      <c r="L163">
        <f>wtstd($D31:$D32:$D$94,L31:L32:L95)</f>
        <v>94.669328763941834</v>
      </c>
      <c r="M163">
        <f>wtstd($D31:$D32:$D$94,M31:M32:M95)</f>
        <v>0.17034301136203356</v>
      </c>
      <c r="N163">
        <f>wtstd($D31:$D32:$D$94,N31:N32:N95)</f>
        <v>1.7603787921381855</v>
      </c>
      <c r="O163">
        <f>wtstd($D31:$D32:$D$94,O31:O32:O95)</f>
        <v>299.25344140359613</v>
      </c>
      <c r="P163">
        <f>wtstd($D31:$D32:$D$94,P31:P32:P95)</f>
        <v>1.2110786773603535</v>
      </c>
      <c r="Q163">
        <f>wtstd($D31:$D32:$D$94,Q31:Q32:Q95)</f>
        <v>121.10786773603533</v>
      </c>
      <c r="R163">
        <f>wtstd($D31:$D32:$D$94,R31:R32:R95)</f>
        <v>0.20600290828241447</v>
      </c>
      <c r="S163">
        <f>wtstd($D31:$D32:$D$94,S31:S32:S95)</f>
        <v>4.2404035524062458</v>
      </c>
      <c r="V163" s="45" t="str">
        <f t="shared" si="81"/>
        <v>2 axis</v>
      </c>
      <c r="W163" s="165"/>
      <c r="X163" s="165"/>
      <c r="Y163" s="165"/>
      <c r="Z163" s="228"/>
    </row>
    <row r="164" spans="1:26" x14ac:dyDescent="0.3">
      <c r="A164" s="75">
        <f>SUM(E82:E120,E3:E47)/1000</f>
        <v>5862.7285033303333</v>
      </c>
      <c r="B164" s="11"/>
      <c r="I164" t="s">
        <v>138</v>
      </c>
      <c r="V164" s="232" t="str">
        <f t="shared" si="81"/>
        <v>Max</v>
      </c>
      <c r="W164" s="30">
        <f t="shared" ref="W164:X167" si="84">M160</f>
        <v>6.8799000000000001</v>
      </c>
      <c r="X164" s="30">
        <f t="shared" si="84"/>
        <v>82.365538258792512</v>
      </c>
      <c r="Y164" s="30">
        <f t="shared" ref="Y164:Z167" si="85">R160</f>
        <v>4.3302899999999998</v>
      </c>
      <c r="Z164" s="148">
        <f t="shared" si="85"/>
        <v>110.70636862740929</v>
      </c>
    </row>
    <row r="165" spans="1:26" x14ac:dyDescent="0.3">
      <c r="B165" s="11"/>
      <c r="I165" t="s">
        <v>134</v>
      </c>
      <c r="J165">
        <f>MAX(J32:J47:J95:J104)</f>
        <v>4144</v>
      </c>
      <c r="K165">
        <f>MAX(K32:K47:K95:K104)</f>
        <v>16.770768</v>
      </c>
      <c r="L165">
        <f>MAX(L32:L47:L95:L104)</f>
        <v>1677.0768</v>
      </c>
      <c r="M165">
        <f>MAX(M32:M47:M95:M104)</f>
        <v>6.8799000000000001</v>
      </c>
      <c r="N165">
        <f>MAX(N32:N47:N95:N104)</f>
        <v>82.365538258792512</v>
      </c>
      <c r="O165">
        <f>MAX(O32:O47:O95:O104)</f>
        <v>4410</v>
      </c>
      <c r="P165">
        <f>MAX(P32:P47:P95:P104)</f>
        <v>17.847270000000002</v>
      </c>
      <c r="Q165">
        <f>MAX(Q32:Q47:Q95:Q104)</f>
        <v>1784.7270000000001</v>
      </c>
      <c r="R165">
        <f>MAX(R32:R47:R95:R104)</f>
        <v>4.3302899999999998</v>
      </c>
      <c r="S165">
        <f>MAX(S32:S47:S95:S104)</f>
        <v>110.70636862740929</v>
      </c>
      <c r="V165" s="232" t="str">
        <f t="shared" si="81"/>
        <v>Min</v>
      </c>
      <c r="W165" s="30">
        <f t="shared" si="84"/>
        <v>0.27636353952501386</v>
      </c>
      <c r="X165" s="30">
        <f t="shared" si="84"/>
        <v>2.2581843475691437</v>
      </c>
      <c r="Y165" s="30">
        <f t="shared" si="85"/>
        <v>0.19401819986107324</v>
      </c>
      <c r="Z165" s="122">
        <f t="shared" si="85"/>
        <v>2.8936451564664663</v>
      </c>
    </row>
    <row r="166" spans="1:26" x14ac:dyDescent="0.3">
      <c r="B166" s="11"/>
      <c r="I166" t="s">
        <v>135</v>
      </c>
      <c r="J166">
        <f>MIN(J32:J47:J95:J104)</f>
        <v>4.42</v>
      </c>
      <c r="K166">
        <f>MIN(K32:K47:K95:K104)</f>
        <v>1.7887739999999999E-2</v>
      </c>
      <c r="L166">
        <f>MIN(L32:L47:L95:L104)</f>
        <v>1.7887740000000001</v>
      </c>
      <c r="M166">
        <f>MIN(M32:M47:M95:M104)</f>
        <v>0.27636353952501386</v>
      </c>
      <c r="N166">
        <f>MIN(N32:N47:N95:N104)</f>
        <v>2.2581843475691437</v>
      </c>
      <c r="O166">
        <f>MIN(O32:O47:O95:O104)</f>
        <v>2.5</v>
      </c>
      <c r="P166">
        <f>MIN(P32:P47:P95:P104)</f>
        <v>1.0117500000000001E-2</v>
      </c>
      <c r="Q166">
        <f>MIN(Q32:Q47:Q95:Q104)</f>
        <v>1.0117499999999999</v>
      </c>
      <c r="R166">
        <f>MIN(R32:R47:R95:R104)</f>
        <v>0.19401819986107324</v>
      </c>
      <c r="S166">
        <f>MIN(S32:S47:S95:S104)</f>
        <v>2.8936451564664663</v>
      </c>
      <c r="V166" s="233" t="str">
        <f t="shared" si="81"/>
        <v>W. Average</v>
      </c>
      <c r="W166" s="184">
        <f t="shared" si="84"/>
        <v>3.1402673251616693</v>
      </c>
      <c r="X166" s="184">
        <f t="shared" si="84"/>
        <v>32.924043662430137</v>
      </c>
      <c r="Y166" s="184">
        <f t="shared" si="85"/>
        <v>3.0133692245087147</v>
      </c>
      <c r="Z166" s="230">
        <f t="shared" si="85"/>
        <v>35.569049918382539</v>
      </c>
    </row>
    <row r="167" spans="1:26" ht="15" thickBot="1" x14ac:dyDescent="0.35">
      <c r="B167" s="11"/>
      <c r="I167" t="s">
        <v>137</v>
      </c>
      <c r="J167">
        <f>wtavg($D$32:$D$147:$D$95:$D$104,J32:J47:J95:J104)</f>
        <v>2322.3965358336759</v>
      </c>
      <c r="K167">
        <f>wtavg($D$32:$D$147:$D$95:$D$104,K32:K47:K95:K104)</f>
        <v>9.3987387805188884</v>
      </c>
      <c r="L167">
        <f>wtavg($D$32:$D$147:$D$95:$D$104,L32:L47:L95:L104)</f>
        <v>939.8738780518886</v>
      </c>
      <c r="M167">
        <f>wtavg($D$32:$D$147:$D$95:$D$104,M32:M47:M95:M104)</f>
        <v>3.0848382579452607</v>
      </c>
      <c r="N167">
        <f>wtavg($D$32:$D$147:$D$95:$D$104,N32:N47:N95:N104)</f>
        <v>33.319706420191359</v>
      </c>
      <c r="O167">
        <f>wtavg($D$32:$D$147:$D$95:$D$104,O32:O47:O95:O104)</f>
        <v>2468.3162846670339</v>
      </c>
      <c r="P167">
        <f>wtavg($D$32:$D$147:$D$95:$D$104,P32:P47:P95:P104)</f>
        <v>9.9892760040474862</v>
      </c>
      <c r="Q167">
        <f>wtavg($D$32:$D$147:$D$95:$D$104,Q32:Q47:Q95:Q104)</f>
        <v>998.92760040474855</v>
      </c>
      <c r="R167">
        <f>wtavg($D$32:$D$147:$D$95:$D$104,R32:R47:R95:R104)</f>
        <v>3.0721127025310637</v>
      </c>
      <c r="S167">
        <f>wtavg($D$32:$D$147:$D$95:$D$104,S32:S47:S95:S104)</f>
        <v>33.744119040846094</v>
      </c>
      <c r="V167" s="232" t="str">
        <f t="shared" si="81"/>
        <v>SD</v>
      </c>
      <c r="W167" s="30">
        <f t="shared" si="84"/>
        <v>0.17034301136203356</v>
      </c>
      <c r="X167" s="30">
        <f t="shared" si="84"/>
        <v>1.7603787921381855</v>
      </c>
      <c r="Y167" s="30">
        <f t="shared" si="85"/>
        <v>0.20600290828241447</v>
      </c>
      <c r="Z167" s="122">
        <f t="shared" si="85"/>
        <v>4.2404035524062458</v>
      </c>
    </row>
    <row r="168" spans="1:26" ht="15" thickBot="1" x14ac:dyDescent="0.35">
      <c r="B168" s="11"/>
      <c r="I168" t="s">
        <v>136</v>
      </c>
      <c r="J168">
        <f>wtstd($D$32:$D$147:$D$95:$D$104,J33:J48:J96:J105)</f>
        <v>411.05704972745281</v>
      </c>
      <c r="K168">
        <f>wtstd($D$32:$D$147:$D$95:$D$104,K33:K48:K96:K105)</f>
        <v>1.6635478802470016</v>
      </c>
      <c r="L168">
        <f>wtstd($D$32:$D$147:$D$95:$D$104,L33:L48:L96:L105)</f>
        <v>166.35478802470018</v>
      </c>
      <c r="M168">
        <f>wtstd($D$32:$D$147:$D$95:$D$104,M33:M48:M96:M105)</f>
        <v>0.13378428026370609</v>
      </c>
      <c r="N168">
        <f>wtstd($D$32:$D$147:$D$95:$D$104,N33:N48:N96:N105)</f>
        <v>1.3021909853582285</v>
      </c>
      <c r="O168">
        <f>wtstd($D$32:$D$147:$D$95:$D$104,O33:O48:O96:O105)</f>
        <v>562.03159094836121</v>
      </c>
      <c r="P168">
        <f>wtstd($D$32:$D$147:$D$95:$D$104,P33:P48:P96:P105)</f>
        <v>2.2745418485680182</v>
      </c>
      <c r="Q168">
        <f>wtstd($D$32:$D$147:$D$95:$D$104,Q33:Q48:Q96:Q105)</f>
        <v>227.45418485680179</v>
      </c>
      <c r="R168">
        <f>wtstd($D$32:$D$147:$D$95:$D$104,R33:R48:R96:R105)</f>
        <v>0.16454427570973093</v>
      </c>
      <c r="S168">
        <f>wtstd($D$32:$D$147:$D$95:$D$104,S33:S48:S96:S105)</f>
        <v>2.8735237576990924</v>
      </c>
      <c r="V168" s="45" t="str">
        <f t="shared" si="81"/>
        <v>Fixed</v>
      </c>
      <c r="W168" s="165"/>
      <c r="X168" s="165"/>
      <c r="Y168" s="165"/>
      <c r="Z168" s="228"/>
    </row>
    <row r="169" spans="1:26" x14ac:dyDescent="0.3">
      <c r="B169" s="11"/>
      <c r="I169" t="s">
        <v>248</v>
      </c>
      <c r="V169" s="232" t="str">
        <f t="shared" si="81"/>
        <v>Max</v>
      </c>
      <c r="W169" s="30">
        <f t="shared" ref="W169:X172" si="86">M165</f>
        <v>6.8799000000000001</v>
      </c>
      <c r="X169" s="30">
        <f t="shared" si="86"/>
        <v>82.365538258792512</v>
      </c>
      <c r="Y169" s="30">
        <f t="shared" ref="Y169:Z172" si="87">R165</f>
        <v>4.3302899999999998</v>
      </c>
      <c r="Z169" s="122">
        <f t="shared" si="87"/>
        <v>110.70636862740929</v>
      </c>
    </row>
    <row r="170" spans="1:26" x14ac:dyDescent="0.3">
      <c r="B170" s="11"/>
      <c r="I170" t="s">
        <v>134</v>
      </c>
      <c r="J170">
        <f>MAX(J105:J120)</f>
        <v>3288</v>
      </c>
      <c r="K170">
        <f t="shared" ref="K170:S170" si="88">MAX(K105:K120)</f>
        <v>13.306536000000001</v>
      </c>
      <c r="L170">
        <f t="shared" si="88"/>
        <v>1330.6536000000001</v>
      </c>
      <c r="M170">
        <f t="shared" si="88"/>
        <v>5.3622750000000003</v>
      </c>
      <c r="N170">
        <f t="shared" si="88"/>
        <v>57.65587678115476</v>
      </c>
      <c r="O170">
        <f t="shared" si="88"/>
        <v>277</v>
      </c>
      <c r="P170">
        <f t="shared" si="88"/>
        <v>1.121019</v>
      </c>
      <c r="Q170">
        <f t="shared" si="88"/>
        <v>112.1019</v>
      </c>
      <c r="R170">
        <f t="shared" si="88"/>
        <v>2.242038</v>
      </c>
      <c r="S170">
        <f t="shared" si="88"/>
        <v>70.312044855066787</v>
      </c>
      <c r="V170" s="232" t="str">
        <f t="shared" si="81"/>
        <v>Min</v>
      </c>
      <c r="W170" s="30">
        <f t="shared" si="86"/>
        <v>0.27636353952501386</v>
      </c>
      <c r="X170" s="30">
        <f t="shared" si="86"/>
        <v>2.2581843475691437</v>
      </c>
      <c r="Y170" s="30">
        <f t="shared" si="87"/>
        <v>0.19401819986107324</v>
      </c>
      <c r="Z170" s="122">
        <f t="shared" si="87"/>
        <v>2.8936451564664663</v>
      </c>
    </row>
    <row r="171" spans="1:26" x14ac:dyDescent="0.3">
      <c r="I171" t="s">
        <v>135</v>
      </c>
      <c r="J171">
        <f>MIN(J105:J120)</f>
        <v>123</v>
      </c>
      <c r="K171">
        <f t="shared" ref="K171:S171" si="89">MIN(K105:K120)</f>
        <v>0.49778100000000003</v>
      </c>
      <c r="L171">
        <f t="shared" si="89"/>
        <v>49.778100000000002</v>
      </c>
      <c r="M171">
        <f t="shared" si="89"/>
        <v>1.7344285714285714</v>
      </c>
      <c r="N171">
        <f t="shared" si="89"/>
        <v>18.648801115198303</v>
      </c>
      <c r="O171">
        <f t="shared" si="89"/>
        <v>246</v>
      </c>
      <c r="P171">
        <f t="shared" si="89"/>
        <v>0.99556200000000006</v>
      </c>
      <c r="Q171">
        <f t="shared" si="89"/>
        <v>99.556200000000004</v>
      </c>
      <c r="R171">
        <f t="shared" si="89"/>
        <v>1.4222314285714286</v>
      </c>
      <c r="S171">
        <f t="shared" si="89"/>
        <v>44.602277035447216</v>
      </c>
      <c r="V171" s="233" t="str">
        <f t="shared" si="81"/>
        <v>W. Average</v>
      </c>
      <c r="W171" s="184">
        <f t="shared" si="86"/>
        <v>3.0848382579452607</v>
      </c>
      <c r="X171" s="184">
        <f t="shared" si="86"/>
        <v>33.319706420191359</v>
      </c>
      <c r="Y171" s="184">
        <f t="shared" si="87"/>
        <v>3.0721127025310637</v>
      </c>
      <c r="Z171" s="230">
        <f t="shared" si="87"/>
        <v>33.744119040846094</v>
      </c>
    </row>
    <row r="172" spans="1:26" ht="15" thickBot="1" x14ac:dyDescent="0.35">
      <c r="I172" t="s">
        <v>137</v>
      </c>
      <c r="J172">
        <f>wtavg($D105:$D120,J105:J120)</f>
        <v>1643.5222730581263</v>
      </c>
      <c r="K172">
        <f t="shared" ref="K172:S172" si="90">wtavg($D105:$D120,K105:K120)</f>
        <v>6.6513346390662376</v>
      </c>
      <c r="L172">
        <f t="shared" si="90"/>
        <v>665.13346390662377</v>
      </c>
      <c r="M172">
        <f t="shared" si="90"/>
        <v>2.8097971300821465</v>
      </c>
      <c r="N172">
        <f t="shared" si="90"/>
        <v>36.641455930923733</v>
      </c>
      <c r="O172">
        <f t="shared" si="90"/>
        <v>258.91666666666669</v>
      </c>
      <c r="P172">
        <f t="shared" si="90"/>
        <v>1.0478357500000002</v>
      </c>
      <c r="Q172">
        <f t="shared" si="90"/>
        <v>104.783575</v>
      </c>
      <c r="R172">
        <f t="shared" si="90"/>
        <v>1.7638174999999998</v>
      </c>
      <c r="S172">
        <f t="shared" si="90"/>
        <v>59.599641596891964</v>
      </c>
      <c r="V172" s="232" t="str">
        <f t="shared" si="81"/>
        <v>SD</v>
      </c>
      <c r="W172" s="30">
        <f t="shared" si="86"/>
        <v>0.13378428026370609</v>
      </c>
      <c r="X172" s="30">
        <f t="shared" si="86"/>
        <v>1.3021909853582285</v>
      </c>
      <c r="Y172" s="30">
        <f t="shared" si="87"/>
        <v>0.16454427570973093</v>
      </c>
      <c r="Z172" s="122">
        <f t="shared" si="87"/>
        <v>2.8735237576990924</v>
      </c>
    </row>
    <row r="173" spans="1:26" ht="15" thickBot="1" x14ac:dyDescent="0.35">
      <c r="I173" t="s">
        <v>136</v>
      </c>
      <c r="J173">
        <f>wtstd($D106:$D121,J106:J121)</f>
        <v>546.95688971402194</v>
      </c>
      <c r="K173">
        <f t="shared" ref="K173:S173" si="91">wtstd($D106:$D121,K106:K121)</f>
        <v>2.213534532672647</v>
      </c>
      <c r="L173">
        <f t="shared" si="91"/>
        <v>221.35345326726471</v>
      </c>
      <c r="M173">
        <f t="shared" si="91"/>
        <v>0.28005729861944456</v>
      </c>
      <c r="N173">
        <f t="shared" si="91"/>
        <v>3.2946220771266543</v>
      </c>
      <c r="O173">
        <f t="shared" si="91"/>
        <v>30.56641221268135</v>
      </c>
      <c r="P173">
        <f t="shared" si="91"/>
        <v>0.12370227022472136</v>
      </c>
      <c r="Q173">
        <f t="shared" si="91"/>
        <v>12.370227022472138</v>
      </c>
      <c r="R173">
        <f t="shared" si="91"/>
        <v>0.80834018054679713</v>
      </c>
      <c r="S173">
        <f t="shared" si="91"/>
        <v>25.350172937639407</v>
      </c>
      <c r="V173" s="45" t="str">
        <f t="shared" si="81"/>
        <v>Unknown</v>
      </c>
      <c r="W173" s="165"/>
      <c r="X173" s="165"/>
      <c r="Y173" s="165"/>
      <c r="Z173" s="228"/>
    </row>
    <row r="174" spans="1:26" x14ac:dyDescent="0.3">
      <c r="I174" t="s">
        <v>231</v>
      </c>
      <c r="V174" s="232" t="str">
        <f t="shared" si="81"/>
        <v>Max</v>
      </c>
      <c r="W174" s="30">
        <f t="shared" ref="W174:X181" si="92">M170</f>
        <v>5.3622750000000003</v>
      </c>
      <c r="X174" s="30">
        <f t="shared" si="92"/>
        <v>57.65587678115476</v>
      </c>
      <c r="Y174" s="30">
        <f t="shared" ref="Y174:Z181" si="93">R170</f>
        <v>2.242038</v>
      </c>
      <c r="Z174" s="122">
        <f t="shared" si="93"/>
        <v>70.312044855066787</v>
      </c>
    </row>
    <row r="175" spans="1:26" x14ac:dyDescent="0.3">
      <c r="I175" t="s">
        <v>134</v>
      </c>
      <c r="J175">
        <f t="shared" ref="J175:S175" si="94">MAX(J82:J120,J3:J47)</f>
        <v>4144</v>
      </c>
      <c r="K175">
        <f t="shared" si="94"/>
        <v>16.770768</v>
      </c>
      <c r="L175">
        <f t="shared" si="94"/>
        <v>1677.0768</v>
      </c>
      <c r="M175">
        <f t="shared" si="94"/>
        <v>6.8799000000000001</v>
      </c>
      <c r="N175">
        <f t="shared" si="94"/>
        <v>82.365538258792512</v>
      </c>
      <c r="O175">
        <f t="shared" si="94"/>
        <v>4410</v>
      </c>
      <c r="P175">
        <f t="shared" si="94"/>
        <v>17.847270000000002</v>
      </c>
      <c r="Q175">
        <f t="shared" si="94"/>
        <v>1784.7270000000001</v>
      </c>
      <c r="R175">
        <f t="shared" si="94"/>
        <v>4.3302899999999998</v>
      </c>
      <c r="S175">
        <f t="shared" si="94"/>
        <v>110.70636862740929</v>
      </c>
      <c r="V175" s="232" t="str">
        <f t="shared" si="81"/>
        <v>Min</v>
      </c>
      <c r="W175" s="30">
        <f t="shared" si="92"/>
        <v>1.7344285714285714</v>
      </c>
      <c r="X175" s="30">
        <f t="shared" si="92"/>
        <v>18.648801115198303</v>
      </c>
      <c r="Y175" s="30">
        <f t="shared" si="93"/>
        <v>1.4222314285714286</v>
      </c>
      <c r="Z175" s="122">
        <f t="shared" si="93"/>
        <v>44.602277035447216</v>
      </c>
    </row>
    <row r="176" spans="1:26" x14ac:dyDescent="0.3">
      <c r="I176" t="s">
        <v>135</v>
      </c>
      <c r="J176">
        <f t="shared" ref="J176:S176" si="95">MIN(J82:J120,J3:J47)</f>
        <v>4.42</v>
      </c>
      <c r="K176">
        <f t="shared" si="95"/>
        <v>1.7887739999999999E-2</v>
      </c>
      <c r="L176">
        <f t="shared" si="95"/>
        <v>1.7887740000000001</v>
      </c>
      <c r="M176">
        <f t="shared" si="95"/>
        <v>1.2141</v>
      </c>
      <c r="N176">
        <f t="shared" si="95"/>
        <v>14.535094986845738</v>
      </c>
      <c r="O176">
        <f t="shared" si="95"/>
        <v>2.5</v>
      </c>
      <c r="P176">
        <f t="shared" si="95"/>
        <v>1.0117500000000001E-2</v>
      </c>
      <c r="Q176">
        <f t="shared" si="95"/>
        <v>1.0117499999999999</v>
      </c>
      <c r="R176">
        <f t="shared" si="95"/>
        <v>0.90329040000000005</v>
      </c>
      <c r="S176">
        <f t="shared" si="95"/>
        <v>23.093141567885755</v>
      </c>
      <c r="V176" s="233" t="str">
        <f t="shared" si="81"/>
        <v>W. Average</v>
      </c>
      <c r="W176" s="184">
        <f t="shared" si="92"/>
        <v>2.8097971300821465</v>
      </c>
      <c r="X176" s="184">
        <f t="shared" si="92"/>
        <v>36.641455930923733</v>
      </c>
      <c r="Y176" s="184">
        <f t="shared" si="93"/>
        <v>1.7638174999999998</v>
      </c>
      <c r="Z176" s="230">
        <f t="shared" si="93"/>
        <v>59.599641596891964</v>
      </c>
    </row>
    <row r="177" spans="4:32" ht="15" thickBot="1" x14ac:dyDescent="0.35">
      <c r="D177" t="s">
        <v>749</v>
      </c>
      <c r="I177" t="s">
        <v>137</v>
      </c>
      <c r="J177">
        <f>wtavg($D3:$D47:$D82:$D120, J3:J47:J82:J120)</f>
        <v>1987.0245294765482</v>
      </c>
      <c r="K177">
        <f>wtavg($D3:$D47:$D82:$D120, K3:K47:K82:K120)</f>
        <v>8.0414882707915911</v>
      </c>
      <c r="L177">
        <f>wtavg($D3:$D47:$D82:$D120, L3:L47:L82:L120)</f>
        <v>804.1488270791591</v>
      </c>
      <c r="M177">
        <f>wtavg($D3:$D47:$D82:$D120, M3:M47:M82:M120)</f>
        <v>3.0015505559101143</v>
      </c>
      <c r="N177">
        <f>wtavg($D3:$D47:$D82:$D120, N3:N47:N82:N120)</f>
        <v>34.416333554157454</v>
      </c>
      <c r="O177">
        <f>wtavg($D3:$D47:$D82:$D120, O3:O47:O82:O120)</f>
        <v>2100.9446104004119</v>
      </c>
      <c r="P177">
        <f>wtavg($D3:$D47:$D82:$D120, P3:P47:P82:P120)</f>
        <v>8.5025228382904672</v>
      </c>
      <c r="Q177">
        <f>wtavg($D3:$D47:$D82:$D120, Q3:Q47:Q82:Q120)</f>
        <v>850.25228382904663</v>
      </c>
      <c r="R177">
        <f>wtavg($D3:$D47:$D82:$D120, R3:R47:R82:R120)</f>
        <v>2.9318733908600447</v>
      </c>
      <c r="S177">
        <f>wtavg($D3:$D47:$D82:$D120, S3:S47:S82:S120)</f>
        <v>36.287398010469744</v>
      </c>
      <c r="V177" s="234" t="str">
        <f t="shared" si="81"/>
        <v>SD</v>
      </c>
      <c r="W177" s="114">
        <f t="shared" si="92"/>
        <v>0.28005729861944456</v>
      </c>
      <c r="X177" s="114">
        <f t="shared" si="92"/>
        <v>3.2946220771266543</v>
      </c>
      <c r="Y177" s="114">
        <f t="shared" si="93"/>
        <v>0.80834018054679713</v>
      </c>
      <c r="Z177" s="115">
        <f t="shared" si="93"/>
        <v>25.350172937639407</v>
      </c>
    </row>
    <row r="178" spans="4:32" ht="15" thickBot="1" x14ac:dyDescent="0.35">
      <c r="I178" t="s">
        <v>136</v>
      </c>
      <c r="J178">
        <f>wtstd($D$3:$D$47:$D$82:$D$120,J3:J47:J82:J120)</f>
        <v>263.9201278748248</v>
      </c>
      <c r="K178">
        <f>wtstd($D$3:$D$47:$D$82:$D$120,K3:K47:K82:K120)</f>
        <v>1.0680847575094159</v>
      </c>
      <c r="L178">
        <f>wtstd($D$3:$D$47:$D$82:$D$120,L3:L47:L82:L120)</f>
        <v>106.80847575094158</v>
      </c>
      <c r="M178">
        <f>wtstd($D$3:$D$47:$D$82:$D$120,M3:M47:M82:M120)</f>
        <v>0.11695410355912557</v>
      </c>
      <c r="N178">
        <f>wtstd($D$3:$D$47:$D$82:$D$120,N3:N47:N82:N120)</f>
        <v>1.2112359640706478</v>
      </c>
      <c r="O178">
        <f>wtstd($D$3:$D$47:$D$82:$D$120,O3:O47:O82:O120)</f>
        <v>462.55228550450784</v>
      </c>
      <c r="P178">
        <f>wtstd($D$3:$D$47:$D$82:$D$120,P3:P47:P82:P120)</f>
        <v>1.8719490994367434</v>
      </c>
      <c r="Q178">
        <f>wtstd($D$3:$D$47:$D$82:$D$120,Q3:Q47:Q82:Q120)</f>
        <v>187.19490994367433</v>
      </c>
      <c r="R178">
        <f>wtstd($D$3:$D$47:$D$82:$D$120,R3:R47:R82:R120)</f>
        <v>0.13754796658607535</v>
      </c>
      <c r="S178">
        <f>wtstd($D$3:$D$47:$D$82:$D$120,S3:S47:S82:S120)</f>
        <v>2.7553975317791175</v>
      </c>
      <c r="V178" s="45" t="str">
        <f t="shared" si="81"/>
        <v>All PV</v>
      </c>
      <c r="W178" s="165">
        <f t="shared" si="92"/>
        <v>0</v>
      </c>
      <c r="X178" s="165">
        <f t="shared" si="92"/>
        <v>0</v>
      </c>
      <c r="Y178" s="165">
        <f t="shared" si="93"/>
        <v>0</v>
      </c>
      <c r="Z178" s="228">
        <f t="shared" si="93"/>
        <v>0</v>
      </c>
    </row>
    <row r="179" spans="4:32" x14ac:dyDescent="0.3">
      <c r="V179" s="232" t="str">
        <f t="shared" si="81"/>
        <v>Max</v>
      </c>
      <c r="W179" s="30">
        <f t="shared" si="92"/>
        <v>6.8799000000000001</v>
      </c>
      <c r="X179" s="30">
        <f t="shared" si="92"/>
        <v>82.365538258792512</v>
      </c>
      <c r="Y179" s="30">
        <f t="shared" si="93"/>
        <v>4.3302899999999998</v>
      </c>
      <c r="Z179" s="122">
        <f t="shared" si="93"/>
        <v>110.70636862740929</v>
      </c>
    </row>
    <row r="180" spans="4:32" x14ac:dyDescent="0.3">
      <c r="V180" s="233" t="str">
        <f t="shared" si="81"/>
        <v>Min</v>
      </c>
      <c r="W180" s="184">
        <f t="shared" si="92"/>
        <v>1.2141</v>
      </c>
      <c r="X180" s="184">
        <f t="shared" si="92"/>
        <v>14.535094986845738</v>
      </c>
      <c r="Y180" s="184">
        <f t="shared" si="93"/>
        <v>0.90329040000000005</v>
      </c>
      <c r="Z180" s="230">
        <f t="shared" si="93"/>
        <v>23.093141567885755</v>
      </c>
    </row>
    <row r="181" spans="4:32" ht="15" thickBot="1" x14ac:dyDescent="0.35">
      <c r="H181" s="8" t="s">
        <v>236</v>
      </c>
      <c r="I181" s="8"/>
      <c r="V181" s="234" t="str">
        <f t="shared" si="81"/>
        <v>W. Average</v>
      </c>
      <c r="W181" s="114">
        <f t="shared" si="92"/>
        <v>3.0015505559101143</v>
      </c>
      <c r="X181" s="114">
        <f t="shared" si="92"/>
        <v>34.416333554157454</v>
      </c>
      <c r="Y181" s="114">
        <f t="shared" si="93"/>
        <v>2.9318733908600447</v>
      </c>
      <c r="Z181" s="115">
        <f t="shared" si="93"/>
        <v>36.287398010469744</v>
      </c>
    </row>
    <row r="182" spans="4:32" x14ac:dyDescent="0.3">
      <c r="H182" s="8"/>
      <c r="I182" s="8" t="s">
        <v>232</v>
      </c>
    </row>
    <row r="183" spans="4:32" x14ac:dyDescent="0.3">
      <c r="H183" s="8" t="s">
        <v>233</v>
      </c>
      <c r="I183" s="67"/>
    </row>
    <row r="184" spans="4:32" x14ac:dyDescent="0.3">
      <c r="H184" s="8" t="s">
        <v>234</v>
      </c>
      <c r="I184" s="67"/>
    </row>
    <row r="185" spans="4:32" x14ac:dyDescent="0.3">
      <c r="H185" s="8"/>
      <c r="I185" s="67"/>
    </row>
    <row r="186" spans="4:32" x14ac:dyDescent="0.3">
      <c r="H186" s="8" t="s">
        <v>235</v>
      </c>
      <c r="I186" s="67">
        <f>'DC to AC conversion'!H47</f>
        <v>0.85140770920487285</v>
      </c>
      <c r="AF186" s="11"/>
    </row>
    <row r="207" spans="9:10" x14ac:dyDescent="0.3">
      <c r="I207" s="1"/>
      <c r="J207" s="1"/>
    </row>
    <row r="217" spans="28:30" x14ac:dyDescent="0.3">
      <c r="AB217" s="30"/>
    </row>
    <row r="218" spans="28:30" x14ac:dyDescent="0.3">
      <c r="AB218" s="30"/>
    </row>
    <row r="220" spans="28:30" x14ac:dyDescent="0.3">
      <c r="AC220" s="30"/>
      <c r="AD220" s="30"/>
    </row>
  </sheetData>
  <sortState ref="A82:AI120">
    <sortCondition ref="Y82:Y120"/>
  </sortState>
  <customSheetViews>
    <customSheetView guid="{A817C2B6-B412-4BD4-89EB-C78C16183A0C}" scale="70" topLeftCell="A39">
      <selection activeCell="AC130" sqref="AC130"/>
      <pageMargins left="0.7" right="0.7" top="0.75" bottom="0.75" header="0.3" footer="0.3"/>
      <pageSetup orientation="portrait" r:id="rId1"/>
    </customSheetView>
  </customSheetViews>
  <mergeCells count="2">
    <mergeCell ref="J1:L1"/>
    <mergeCell ref="O1:Q1"/>
  </mergeCell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H141"/>
  <sheetViews>
    <sheetView topLeftCell="A77" zoomScale="70" zoomScaleNormal="70" workbookViewId="0">
      <selection activeCell="B99" sqref="B99"/>
    </sheetView>
  </sheetViews>
  <sheetFormatPr defaultRowHeight="14.4" x14ac:dyDescent="0.3"/>
  <sheetData>
    <row r="1" spans="1:34" ht="15" x14ac:dyDescent="0.25">
      <c r="I1" t="s">
        <v>13</v>
      </c>
      <c r="N1" t="s">
        <v>9</v>
      </c>
    </row>
    <row r="2" spans="1:34" x14ac:dyDescent="0.3">
      <c r="A2" t="s">
        <v>0</v>
      </c>
      <c r="B2" t="s">
        <v>1</v>
      </c>
      <c r="C2" t="s">
        <v>2</v>
      </c>
      <c r="D2" t="s">
        <v>62</v>
      </c>
      <c r="E2" t="s">
        <v>63</v>
      </c>
      <c r="F2" t="s">
        <v>5</v>
      </c>
      <c r="G2" t="s">
        <v>6</v>
      </c>
      <c r="H2" t="s">
        <v>7</v>
      </c>
      <c r="I2" t="s">
        <v>10</v>
      </c>
      <c r="J2" t="s">
        <v>11</v>
      </c>
      <c r="K2" t="s">
        <v>12</v>
      </c>
      <c r="L2" t="s">
        <v>14</v>
      </c>
      <c r="M2" t="s">
        <v>22</v>
      </c>
      <c r="N2" t="s">
        <v>10</v>
      </c>
      <c r="O2" t="s">
        <v>11</v>
      </c>
      <c r="P2" t="s">
        <v>12</v>
      </c>
      <c r="Q2" t="s">
        <v>14</v>
      </c>
      <c r="R2" t="s">
        <v>22</v>
      </c>
      <c r="S2" t="s">
        <v>92</v>
      </c>
      <c r="T2" t="s">
        <v>329</v>
      </c>
      <c r="U2" t="s">
        <v>97</v>
      </c>
      <c r="V2" t="s">
        <v>15</v>
      </c>
      <c r="W2" t="s">
        <v>16</v>
      </c>
      <c r="X2" t="s">
        <v>20</v>
      </c>
      <c r="Y2" t="s">
        <v>86</v>
      </c>
      <c r="Z2" t="s">
        <v>93</v>
      </c>
      <c r="AA2" t="s">
        <v>64</v>
      </c>
      <c r="AB2" t="s">
        <v>65</v>
      </c>
      <c r="AC2" t="s">
        <v>68</v>
      </c>
      <c r="AD2" t="s">
        <v>17</v>
      </c>
      <c r="AE2" t="s">
        <v>18</v>
      </c>
      <c r="AF2" t="s">
        <v>251</v>
      </c>
      <c r="AG2" t="s">
        <v>343</v>
      </c>
      <c r="AH2" t="s">
        <v>58</v>
      </c>
    </row>
    <row r="3" spans="1:34" ht="15" x14ac:dyDescent="0.25">
      <c r="A3" t="s">
        <v>196</v>
      </c>
      <c r="B3" t="s">
        <v>547</v>
      </c>
      <c r="C3">
        <v>2012</v>
      </c>
      <c r="D3">
        <v>936.54848012536013</v>
      </c>
      <c r="E3">
        <v>1100</v>
      </c>
      <c r="F3">
        <v>5</v>
      </c>
      <c r="G3">
        <v>9120</v>
      </c>
      <c r="H3" t="s">
        <v>548</v>
      </c>
      <c r="I3">
        <v>9.75</v>
      </c>
      <c r="J3">
        <v>3.945825E-2</v>
      </c>
      <c r="K3">
        <v>3.9456850095</v>
      </c>
      <c r="L3">
        <v>4.2130066870343503</v>
      </c>
      <c r="M3">
        <v>23.735175283378258</v>
      </c>
      <c r="N3">
        <v>7.18</v>
      </c>
      <c r="O3">
        <v>2.905746E-2</v>
      </c>
      <c r="P3">
        <v>2.9057459999999997</v>
      </c>
      <c r="Q3">
        <v>3.1026114095140658</v>
      </c>
      <c r="R3">
        <v>32.230913511551257</v>
      </c>
      <c r="V3">
        <v>39.600969999999997</v>
      </c>
      <c r="W3">
        <v>-84.205460000000002</v>
      </c>
      <c r="X3" t="s">
        <v>91</v>
      </c>
      <c r="AA3">
        <v>8.5000000000000006E-2</v>
      </c>
      <c r="AB3" t="s">
        <v>216</v>
      </c>
      <c r="AC3" t="s">
        <v>549</v>
      </c>
      <c r="AD3" t="s">
        <v>60</v>
      </c>
      <c r="AE3" t="s">
        <v>506</v>
      </c>
      <c r="AF3" t="s">
        <v>385</v>
      </c>
      <c r="AH3">
        <v>1</v>
      </c>
    </row>
    <row r="4" spans="1:34" x14ac:dyDescent="0.3">
      <c r="A4" t="s">
        <v>26</v>
      </c>
      <c r="B4" t="s">
        <v>173</v>
      </c>
      <c r="C4">
        <v>2010</v>
      </c>
      <c r="D4">
        <v>5000</v>
      </c>
      <c r="E4">
        <v>6200</v>
      </c>
      <c r="G4">
        <v>50000</v>
      </c>
      <c r="I4">
        <v>48.7</v>
      </c>
      <c r="J4">
        <v>0.19708890000000001</v>
      </c>
      <c r="K4">
        <v>19.708190765400001</v>
      </c>
      <c r="L4">
        <v>3.9416381530800004</v>
      </c>
      <c r="M4">
        <v>25.369262297369357</v>
      </c>
      <c r="N4">
        <v>37.5</v>
      </c>
      <c r="O4">
        <v>0.15176250000000002</v>
      </c>
      <c r="P4">
        <v>15.175711575000001</v>
      </c>
      <c r="Q4">
        <v>3.0351423150000003</v>
      </c>
      <c r="R4">
        <v>32.946215303517</v>
      </c>
      <c r="V4">
        <v>36.759613000000002</v>
      </c>
      <c r="W4" t="s">
        <v>255</v>
      </c>
      <c r="X4" t="s">
        <v>91</v>
      </c>
      <c r="Z4" t="s">
        <v>96</v>
      </c>
      <c r="AA4">
        <v>0.09</v>
      </c>
      <c r="AB4" t="s">
        <v>216</v>
      </c>
      <c r="AC4" t="s">
        <v>174</v>
      </c>
      <c r="AD4" t="s">
        <v>29</v>
      </c>
      <c r="AE4" t="s">
        <v>157</v>
      </c>
      <c r="AF4" t="s">
        <v>352</v>
      </c>
      <c r="AH4">
        <v>1</v>
      </c>
    </row>
    <row r="5" spans="1:34" x14ac:dyDescent="0.3">
      <c r="A5" t="s">
        <v>26</v>
      </c>
      <c r="B5" t="s">
        <v>401</v>
      </c>
      <c r="C5">
        <v>2011</v>
      </c>
      <c r="D5">
        <v>45000</v>
      </c>
      <c r="E5">
        <v>57715</v>
      </c>
      <c r="G5">
        <v>450900</v>
      </c>
      <c r="H5" t="s">
        <v>404</v>
      </c>
      <c r="I5">
        <v>500</v>
      </c>
      <c r="J5">
        <v>2.0235000000000003</v>
      </c>
      <c r="K5">
        <v>202.35</v>
      </c>
      <c r="L5">
        <v>4.4966666666666661</v>
      </c>
      <c r="M5">
        <v>22.238695329873977</v>
      </c>
      <c r="N5">
        <v>345</v>
      </c>
      <c r="O5">
        <v>1.396215</v>
      </c>
      <c r="P5">
        <v>139.6215</v>
      </c>
      <c r="Q5">
        <v>3.1027</v>
      </c>
      <c r="R5">
        <v>32.229993231701421</v>
      </c>
      <c r="V5">
        <v>35.984084000000003</v>
      </c>
      <c r="W5">
        <v>-120.10288199999999</v>
      </c>
      <c r="X5" t="s">
        <v>91</v>
      </c>
      <c r="Z5" t="s">
        <v>96</v>
      </c>
      <c r="AA5">
        <v>0.09</v>
      </c>
      <c r="AB5" t="s">
        <v>366</v>
      </c>
      <c r="AC5" t="s">
        <v>402</v>
      </c>
      <c r="AD5" t="s">
        <v>60</v>
      </c>
      <c r="AE5" t="s">
        <v>405</v>
      </c>
      <c r="AF5" t="s">
        <v>252</v>
      </c>
      <c r="AH5">
        <v>1</v>
      </c>
    </row>
    <row r="6" spans="1:34" x14ac:dyDescent="0.3">
      <c r="A6" t="s">
        <v>557</v>
      </c>
      <c r="B6" t="s">
        <v>553</v>
      </c>
      <c r="C6">
        <v>2011</v>
      </c>
      <c r="D6">
        <v>1013.1751739537987</v>
      </c>
      <c r="E6">
        <v>1190</v>
      </c>
      <c r="G6">
        <v>5940</v>
      </c>
      <c r="H6" t="s">
        <v>170</v>
      </c>
      <c r="I6">
        <v>9.4</v>
      </c>
      <c r="J6">
        <v>3.8041800000000001E-2</v>
      </c>
      <c r="K6">
        <v>3.8040450348000001</v>
      </c>
      <c r="L6">
        <v>3.7545778189127508</v>
      </c>
      <c r="M6">
        <v>26.633208048877776</v>
      </c>
      <c r="N6" t="s">
        <v>598</v>
      </c>
      <c r="V6">
        <v>45.113630000000001</v>
      </c>
      <c r="W6">
        <v>-123.2368</v>
      </c>
      <c r="X6" t="s">
        <v>91</v>
      </c>
      <c r="AA6">
        <v>9.9900000000000003E-2</v>
      </c>
      <c r="AB6" t="s">
        <v>554</v>
      </c>
      <c r="AC6" t="s">
        <v>555</v>
      </c>
      <c r="AD6" t="s">
        <v>29</v>
      </c>
      <c r="AE6" t="s">
        <v>475</v>
      </c>
      <c r="AF6" t="s">
        <v>385</v>
      </c>
      <c r="AH6">
        <v>1</v>
      </c>
    </row>
    <row r="7" spans="1:34" x14ac:dyDescent="0.3">
      <c r="A7" t="s">
        <v>557</v>
      </c>
      <c r="B7" t="s">
        <v>556</v>
      </c>
      <c r="C7">
        <v>2011</v>
      </c>
      <c r="D7">
        <v>1413.3367972800888</v>
      </c>
      <c r="E7">
        <v>1660</v>
      </c>
      <c r="G7">
        <v>8316</v>
      </c>
      <c r="H7" t="s">
        <v>170</v>
      </c>
      <c r="I7">
        <v>11.9</v>
      </c>
      <c r="J7">
        <v>4.8159300000000002E-2</v>
      </c>
      <c r="K7">
        <v>4.8157591397999999</v>
      </c>
      <c r="L7">
        <v>3.4073683987197811</v>
      </c>
      <c r="M7">
        <v>29.347120852672042</v>
      </c>
      <c r="N7" t="s">
        <v>598</v>
      </c>
      <c r="V7">
        <v>45.110570000000003</v>
      </c>
      <c r="W7">
        <v>-123.2795</v>
      </c>
      <c r="X7" t="s">
        <v>91</v>
      </c>
      <c r="AA7">
        <v>9.9900000000000003E-2</v>
      </c>
      <c r="AB7" t="s">
        <v>554</v>
      </c>
      <c r="AC7" t="s">
        <v>555</v>
      </c>
      <c r="AD7" t="s">
        <v>29</v>
      </c>
      <c r="AE7" t="s">
        <v>475</v>
      </c>
      <c r="AF7" t="s">
        <v>385</v>
      </c>
      <c r="AH7">
        <v>1</v>
      </c>
    </row>
    <row r="8" spans="1:34" x14ac:dyDescent="0.3">
      <c r="A8" t="s">
        <v>171</v>
      </c>
      <c r="B8" t="s">
        <v>198</v>
      </c>
      <c r="C8">
        <v>2009</v>
      </c>
      <c r="D8">
        <v>2086.4699999999998</v>
      </c>
      <c r="E8">
        <v>2151</v>
      </c>
      <c r="G8">
        <v>28260</v>
      </c>
      <c r="H8" t="s">
        <v>199</v>
      </c>
      <c r="I8">
        <v>14</v>
      </c>
      <c r="J8">
        <v>5.6658E-2</v>
      </c>
      <c r="K8">
        <v>5.6655989880000002</v>
      </c>
      <c r="L8">
        <v>2.7153992091906427</v>
      </c>
      <c r="M8">
        <v>36.825690988033458</v>
      </c>
      <c r="N8">
        <v>11.5</v>
      </c>
      <c r="O8">
        <v>4.6540500000000005E-2</v>
      </c>
      <c r="P8">
        <v>4.6540499999999998</v>
      </c>
      <c r="Q8">
        <v>2.230585630275058</v>
      </c>
      <c r="R8">
        <v>44.831275985432036</v>
      </c>
      <c r="V8">
        <v>40.860551999999998</v>
      </c>
      <c r="W8">
        <v>-74.822644999999994</v>
      </c>
      <c r="X8" t="s">
        <v>91</v>
      </c>
      <c r="Z8" t="s">
        <v>96</v>
      </c>
      <c r="AA8">
        <v>0.1</v>
      </c>
      <c r="AB8" t="s">
        <v>366</v>
      </c>
      <c r="AC8" t="s">
        <v>200</v>
      </c>
      <c r="AD8" t="s">
        <v>29</v>
      </c>
      <c r="AE8" t="s">
        <v>110</v>
      </c>
      <c r="AF8" t="s">
        <v>252</v>
      </c>
      <c r="AH8">
        <v>1</v>
      </c>
    </row>
    <row r="9" spans="1:34" x14ac:dyDescent="0.3">
      <c r="A9" t="s">
        <v>107</v>
      </c>
      <c r="B9" t="s">
        <v>108</v>
      </c>
      <c r="C9">
        <v>2015</v>
      </c>
      <c r="D9">
        <v>150000</v>
      </c>
      <c r="E9">
        <v>176178.81348535657</v>
      </c>
      <c r="H9" t="s">
        <v>102</v>
      </c>
      <c r="I9">
        <v>1110</v>
      </c>
      <c r="J9">
        <v>4.4921700000000007</v>
      </c>
      <c r="K9">
        <v>449.21699999999998</v>
      </c>
      <c r="L9">
        <v>2.99478</v>
      </c>
      <c r="M9">
        <v>33.391434429240206</v>
      </c>
      <c r="X9" t="s">
        <v>21</v>
      </c>
      <c r="AA9">
        <v>0.1</v>
      </c>
      <c r="AC9" t="s">
        <v>102</v>
      </c>
      <c r="AD9" t="s">
        <v>109</v>
      </c>
      <c r="AE9" t="s">
        <v>110</v>
      </c>
      <c r="AF9" t="s">
        <v>252</v>
      </c>
      <c r="AH9">
        <v>1</v>
      </c>
    </row>
    <row r="10" spans="1:34" x14ac:dyDescent="0.3">
      <c r="A10" t="s">
        <v>107</v>
      </c>
      <c r="B10" t="s">
        <v>369</v>
      </c>
      <c r="C10">
        <v>2014</v>
      </c>
      <c r="D10">
        <v>297992.6982217055</v>
      </c>
      <c r="E10">
        <v>350000</v>
      </c>
      <c r="G10">
        <v>1686000</v>
      </c>
      <c r="H10" t="s">
        <v>102</v>
      </c>
      <c r="I10">
        <v>2900</v>
      </c>
      <c r="J10">
        <v>11.7363</v>
      </c>
      <c r="K10">
        <v>1173.6300000000001</v>
      </c>
      <c r="L10">
        <v>3.9384522070632202</v>
      </c>
      <c r="M10">
        <v>25.390685158159343</v>
      </c>
      <c r="N10">
        <v>2967</v>
      </c>
      <c r="O10">
        <v>12.007449000000001</v>
      </c>
      <c r="P10">
        <v>1200.7448999999999</v>
      </c>
      <c r="Q10">
        <v>4.0294440339160591</v>
      </c>
      <c r="R10">
        <v>24.817319500728711</v>
      </c>
      <c r="V10">
        <v>35.59751</v>
      </c>
      <c r="W10">
        <v>-115.33087</v>
      </c>
      <c r="X10" t="s">
        <v>21</v>
      </c>
      <c r="Z10" t="s">
        <v>106</v>
      </c>
      <c r="AA10">
        <v>0.1</v>
      </c>
      <c r="AB10" t="s">
        <v>366</v>
      </c>
      <c r="AC10" t="s">
        <v>102</v>
      </c>
      <c r="AD10" t="s">
        <v>24</v>
      </c>
      <c r="AE10" t="s">
        <v>34</v>
      </c>
      <c r="AF10" t="s">
        <v>353</v>
      </c>
      <c r="AH10">
        <v>1</v>
      </c>
    </row>
    <row r="11" spans="1:34" x14ac:dyDescent="0.3">
      <c r="A11" t="s">
        <v>107</v>
      </c>
      <c r="B11" t="s">
        <v>207</v>
      </c>
      <c r="C11">
        <v>2011</v>
      </c>
      <c r="D11">
        <v>17532.187547946742</v>
      </c>
      <c r="E11">
        <v>20592</v>
      </c>
      <c r="G11">
        <v>52000</v>
      </c>
      <c r="H11" t="s">
        <v>423</v>
      </c>
      <c r="I11">
        <v>180</v>
      </c>
      <c r="J11">
        <v>0.72846</v>
      </c>
      <c r="K11">
        <v>72.846000000000004</v>
      </c>
      <c r="L11">
        <v>4.1549863530025535</v>
      </c>
      <c r="M11">
        <v>24.067467737345552</v>
      </c>
      <c r="N11" t="s">
        <v>598</v>
      </c>
      <c r="V11">
        <v>40.098574999999997</v>
      </c>
      <c r="W11">
        <v>-119.889014</v>
      </c>
      <c r="X11" t="s">
        <v>91</v>
      </c>
      <c r="Y11" t="s">
        <v>209</v>
      </c>
      <c r="Z11" t="s">
        <v>106</v>
      </c>
      <c r="AA11">
        <v>0.1</v>
      </c>
      <c r="AB11" t="s">
        <v>366</v>
      </c>
      <c r="AC11" t="s">
        <v>208</v>
      </c>
      <c r="AD11" t="s">
        <v>109</v>
      </c>
      <c r="AE11" t="s">
        <v>34</v>
      </c>
      <c r="AF11" t="s">
        <v>353</v>
      </c>
      <c r="AG11">
        <v>1</v>
      </c>
      <c r="AH11">
        <v>1</v>
      </c>
    </row>
    <row r="12" spans="1:34" x14ac:dyDescent="0.3">
      <c r="A12" t="s">
        <v>26</v>
      </c>
      <c r="B12" t="s">
        <v>184</v>
      </c>
      <c r="C12">
        <v>2009</v>
      </c>
      <c r="D12">
        <v>21000</v>
      </c>
      <c r="E12">
        <v>25200</v>
      </c>
      <c r="G12">
        <v>351000</v>
      </c>
      <c r="H12" t="s">
        <v>102</v>
      </c>
      <c r="I12">
        <v>186</v>
      </c>
      <c r="J12">
        <v>0.75274200000000002</v>
      </c>
      <c r="K12">
        <v>75.274200000000008</v>
      </c>
      <c r="L12">
        <v>3.5844857142857145</v>
      </c>
      <c r="M12">
        <v>27.898004894107142</v>
      </c>
      <c r="N12">
        <v>134.4</v>
      </c>
      <c r="O12">
        <v>0.54391680000000009</v>
      </c>
      <c r="P12">
        <v>54.391680000000001</v>
      </c>
      <c r="Q12">
        <v>2.5900799999999999</v>
      </c>
      <c r="R12">
        <v>38.608846058808986</v>
      </c>
      <c r="V12">
        <v>33.591261000000003</v>
      </c>
      <c r="W12">
        <v>-114.748228</v>
      </c>
      <c r="X12" t="s">
        <v>91</v>
      </c>
      <c r="Z12" t="s">
        <v>96</v>
      </c>
      <c r="AA12">
        <v>0.1</v>
      </c>
      <c r="AC12" t="s">
        <v>102</v>
      </c>
      <c r="AD12" t="s">
        <v>29</v>
      </c>
      <c r="AE12" t="s">
        <v>110</v>
      </c>
      <c r="AF12" t="s">
        <v>252</v>
      </c>
      <c r="AG12">
        <v>1</v>
      </c>
      <c r="AH12">
        <v>1</v>
      </c>
    </row>
    <row r="13" spans="1:34" x14ac:dyDescent="0.3">
      <c r="A13" t="s">
        <v>160</v>
      </c>
      <c r="B13" t="s">
        <v>204</v>
      </c>
      <c r="C13">
        <v>2010</v>
      </c>
      <c r="D13">
        <v>30000</v>
      </c>
      <c r="E13">
        <v>35235.762697071317</v>
      </c>
      <c r="G13">
        <v>500000</v>
      </c>
      <c r="H13" t="s">
        <v>102</v>
      </c>
      <c r="I13">
        <v>250</v>
      </c>
      <c r="J13">
        <v>1.0117500000000001</v>
      </c>
      <c r="K13">
        <v>101.175</v>
      </c>
      <c r="L13">
        <v>3.3725000000000001</v>
      </c>
      <c r="M13">
        <v>29.651593773165303</v>
      </c>
      <c r="N13">
        <v>222</v>
      </c>
      <c r="O13">
        <v>0.89843400000000007</v>
      </c>
      <c r="P13">
        <v>89.843400000000003</v>
      </c>
      <c r="Q13">
        <v>2.99478</v>
      </c>
      <c r="R13">
        <v>33.391434429240206</v>
      </c>
      <c r="V13">
        <v>36.466596000000003</v>
      </c>
      <c r="W13">
        <v>-104.638834</v>
      </c>
      <c r="X13" t="s">
        <v>91</v>
      </c>
      <c r="Z13" t="s">
        <v>94</v>
      </c>
      <c r="AA13">
        <v>0.1</v>
      </c>
      <c r="AB13" t="s">
        <v>366</v>
      </c>
      <c r="AD13" t="s">
        <v>29</v>
      </c>
      <c r="AE13" t="s">
        <v>110</v>
      </c>
      <c r="AF13" t="s">
        <v>252</v>
      </c>
      <c r="AH13">
        <v>1</v>
      </c>
    </row>
    <row r="14" spans="1:34" x14ac:dyDescent="0.3">
      <c r="A14" t="s">
        <v>26</v>
      </c>
      <c r="B14" t="s">
        <v>103</v>
      </c>
      <c r="C14">
        <v>2013</v>
      </c>
      <c r="D14">
        <v>34482.012222797348</v>
      </c>
      <c r="E14">
        <v>40500</v>
      </c>
      <c r="H14" t="s">
        <v>104</v>
      </c>
      <c r="I14">
        <v>422</v>
      </c>
      <c r="J14">
        <v>1.7078340000000001</v>
      </c>
      <c r="K14">
        <v>170.7834</v>
      </c>
      <c r="L14">
        <v>4.9528258065835464</v>
      </c>
      <c r="M14">
        <v>20.190494054338625</v>
      </c>
      <c r="N14">
        <v>433</v>
      </c>
      <c r="O14">
        <v>1.7523510000000002</v>
      </c>
      <c r="P14">
        <v>175.23509999999999</v>
      </c>
      <c r="Q14">
        <v>5.0819279010679512</v>
      </c>
      <c r="R14">
        <v>19.677571572588679</v>
      </c>
      <c r="V14">
        <v>34.425964999999998</v>
      </c>
      <c r="W14">
        <v>-116.78941</v>
      </c>
      <c r="X14" t="s">
        <v>91</v>
      </c>
      <c r="Y14" t="s">
        <v>105</v>
      </c>
      <c r="Z14" t="s">
        <v>106</v>
      </c>
      <c r="AA14">
        <v>0.1</v>
      </c>
      <c r="AB14" t="s">
        <v>366</v>
      </c>
      <c r="AD14" t="s">
        <v>109</v>
      </c>
      <c r="AE14" t="s">
        <v>34</v>
      </c>
      <c r="AF14" t="s">
        <v>353</v>
      </c>
      <c r="AG14">
        <v>1</v>
      </c>
      <c r="AH14">
        <v>1</v>
      </c>
    </row>
    <row r="15" spans="1:34" x14ac:dyDescent="0.3">
      <c r="A15" t="s">
        <v>26</v>
      </c>
      <c r="B15" t="s">
        <v>187</v>
      </c>
      <c r="C15">
        <v>2010</v>
      </c>
      <c r="D15">
        <v>48000</v>
      </c>
      <c r="E15">
        <v>58000</v>
      </c>
      <c r="F15">
        <v>141</v>
      </c>
      <c r="G15">
        <v>775000</v>
      </c>
      <c r="H15" t="s">
        <v>375</v>
      </c>
      <c r="I15">
        <v>380</v>
      </c>
      <c r="J15">
        <v>1.53786</v>
      </c>
      <c r="K15">
        <v>153.786</v>
      </c>
      <c r="L15">
        <v>3.203875</v>
      </c>
      <c r="M15">
        <v>31.212203971752956</v>
      </c>
      <c r="N15">
        <v>326</v>
      </c>
      <c r="O15">
        <v>1.3193220000000001</v>
      </c>
      <c r="P15">
        <v>131.93219999999999</v>
      </c>
      <c r="Q15">
        <v>2.7485874999999997</v>
      </c>
      <c r="R15">
        <v>36.382323648055589</v>
      </c>
      <c r="V15">
        <v>35.783332999999999</v>
      </c>
      <c r="W15">
        <v>-114.99166700000001</v>
      </c>
      <c r="X15" t="s">
        <v>91</v>
      </c>
      <c r="Z15" t="s">
        <v>96</v>
      </c>
      <c r="AA15">
        <v>0.1</v>
      </c>
      <c r="AB15" t="s">
        <v>366</v>
      </c>
      <c r="AC15" t="s">
        <v>102</v>
      </c>
      <c r="AD15" t="s">
        <v>24</v>
      </c>
      <c r="AE15" t="s">
        <v>110</v>
      </c>
      <c r="AF15" t="s">
        <v>252</v>
      </c>
      <c r="AH15">
        <v>1</v>
      </c>
    </row>
    <row r="16" spans="1:34" x14ac:dyDescent="0.3">
      <c r="A16" t="s">
        <v>107</v>
      </c>
      <c r="B16" t="s">
        <v>368</v>
      </c>
      <c r="C16">
        <v>2012</v>
      </c>
      <c r="D16">
        <v>50400</v>
      </c>
      <c r="E16">
        <v>65100</v>
      </c>
      <c r="G16">
        <v>840000</v>
      </c>
      <c r="H16" t="s">
        <v>102</v>
      </c>
      <c r="I16">
        <v>600</v>
      </c>
      <c r="J16">
        <v>2.4282000000000004</v>
      </c>
      <c r="K16">
        <v>242.82</v>
      </c>
      <c r="L16">
        <v>4.8178571428571431</v>
      </c>
      <c r="M16">
        <v>20.756115641215711</v>
      </c>
      <c r="V16">
        <v>34.59751</v>
      </c>
      <c r="W16">
        <v>-115.33087</v>
      </c>
      <c r="X16" t="s">
        <v>91</v>
      </c>
      <c r="Y16" t="s">
        <v>370</v>
      </c>
      <c r="Z16" t="s">
        <v>106</v>
      </c>
      <c r="AA16">
        <v>0.1</v>
      </c>
      <c r="AB16" t="s">
        <v>366</v>
      </c>
      <c r="AC16" t="s">
        <v>102</v>
      </c>
      <c r="AD16" t="s">
        <v>109</v>
      </c>
      <c r="AE16" t="s">
        <v>34</v>
      </c>
      <c r="AF16" t="s">
        <v>353</v>
      </c>
      <c r="AG16">
        <v>1</v>
      </c>
      <c r="AH16">
        <v>1</v>
      </c>
    </row>
    <row r="17" spans="1:34" x14ac:dyDescent="0.3">
      <c r="A17" t="s">
        <v>26</v>
      </c>
      <c r="B17" t="s">
        <v>101</v>
      </c>
      <c r="C17">
        <v>2013</v>
      </c>
      <c r="D17">
        <v>550000</v>
      </c>
      <c r="E17">
        <v>645988.98277964082</v>
      </c>
      <c r="F17">
        <v>254</v>
      </c>
      <c r="H17" t="s">
        <v>102</v>
      </c>
      <c r="I17">
        <v>4144</v>
      </c>
      <c r="J17">
        <v>16.770768</v>
      </c>
      <c r="K17">
        <v>1677.0768</v>
      </c>
      <c r="L17">
        <v>3.0492305454545456</v>
      </c>
      <c r="M17">
        <v>32.795158814432348</v>
      </c>
      <c r="N17">
        <v>4410</v>
      </c>
      <c r="O17">
        <v>17.847270000000002</v>
      </c>
      <c r="P17">
        <v>1784.7270000000001</v>
      </c>
      <c r="Q17">
        <v>3.2449581818181819</v>
      </c>
      <c r="R17">
        <v>30.817038124038014</v>
      </c>
      <c r="S17">
        <v>0.44827706048968663</v>
      </c>
      <c r="T17">
        <v>2.230763267046556</v>
      </c>
      <c r="U17">
        <v>1.4546403151574125</v>
      </c>
      <c r="V17">
        <v>33.812399999999997</v>
      </c>
      <c r="W17">
        <v>-115.39709999999999</v>
      </c>
      <c r="X17" t="s">
        <v>91</v>
      </c>
      <c r="Z17" t="s">
        <v>95</v>
      </c>
      <c r="AA17">
        <v>0.1</v>
      </c>
      <c r="AB17" t="s">
        <v>366</v>
      </c>
      <c r="AC17" t="s">
        <v>102</v>
      </c>
      <c r="AD17" t="s">
        <v>24</v>
      </c>
      <c r="AE17" t="s">
        <v>53</v>
      </c>
      <c r="AF17" t="s">
        <v>353</v>
      </c>
      <c r="AH17">
        <v>1</v>
      </c>
    </row>
    <row r="18" spans="1:34" x14ac:dyDescent="0.3">
      <c r="A18" t="s">
        <v>35</v>
      </c>
      <c r="B18" t="s">
        <v>642</v>
      </c>
      <c r="C18">
        <v>2011</v>
      </c>
      <c r="D18">
        <v>17280</v>
      </c>
      <c r="E18">
        <v>20295.799313513078</v>
      </c>
      <c r="G18">
        <v>300000</v>
      </c>
      <c r="H18" t="s">
        <v>644</v>
      </c>
      <c r="I18">
        <v>200</v>
      </c>
      <c r="J18">
        <v>0.80940000000000001</v>
      </c>
      <c r="K18">
        <v>80.937128400000006</v>
      </c>
      <c r="L18">
        <v>4.6838615972222222</v>
      </c>
      <c r="M18">
        <v>21.349147516679022</v>
      </c>
      <c r="V18">
        <v>33.031500000000001</v>
      </c>
      <c r="W18">
        <v>-112.6606</v>
      </c>
      <c r="X18" t="s">
        <v>91</v>
      </c>
      <c r="AA18">
        <v>0.106</v>
      </c>
      <c r="AB18" t="s">
        <v>366</v>
      </c>
      <c r="AC18" t="s">
        <v>102</v>
      </c>
      <c r="AD18" t="s">
        <v>29</v>
      </c>
      <c r="AE18" t="s">
        <v>645</v>
      </c>
      <c r="AF18" t="s">
        <v>380</v>
      </c>
      <c r="AH18">
        <v>1</v>
      </c>
    </row>
    <row r="19" spans="1:34" x14ac:dyDescent="0.3">
      <c r="A19" t="s">
        <v>3</v>
      </c>
      <c r="B19" t="s">
        <v>145</v>
      </c>
      <c r="C19">
        <v>2008</v>
      </c>
      <c r="D19">
        <v>1702.8154184097457</v>
      </c>
      <c r="E19">
        <v>2000</v>
      </c>
      <c r="F19">
        <v>13</v>
      </c>
      <c r="G19">
        <v>27588</v>
      </c>
      <c r="I19">
        <v>12.5</v>
      </c>
      <c r="J19">
        <v>5.0587500000000001E-2</v>
      </c>
      <c r="K19">
        <v>5.0585705250000004</v>
      </c>
      <c r="L19">
        <v>2.9707098434216577</v>
      </c>
      <c r="M19">
        <v>33.660794038245527</v>
      </c>
      <c r="N19">
        <v>10.7</v>
      </c>
      <c r="O19">
        <v>4.3302899999999998E-2</v>
      </c>
      <c r="P19">
        <v>4.3302899999999998</v>
      </c>
      <c r="Q19">
        <v>2.543017847491682</v>
      </c>
      <c r="R19">
        <v>39.323357521314875</v>
      </c>
      <c r="V19">
        <v>38.722852000000003</v>
      </c>
      <c r="W19">
        <v>-104.78174</v>
      </c>
      <c r="X19" t="s">
        <v>91</v>
      </c>
      <c r="Z19" t="s">
        <v>95</v>
      </c>
      <c r="AA19">
        <v>0.1069</v>
      </c>
      <c r="AB19" t="s">
        <v>366</v>
      </c>
      <c r="AC19" t="s">
        <v>367</v>
      </c>
      <c r="AD19" t="s">
        <v>29</v>
      </c>
      <c r="AE19" t="s">
        <v>110</v>
      </c>
      <c r="AF19" t="s">
        <v>252</v>
      </c>
      <c r="AH19">
        <v>1</v>
      </c>
    </row>
    <row r="20" spans="1:34" x14ac:dyDescent="0.3">
      <c r="A20" t="s">
        <v>26</v>
      </c>
      <c r="B20" t="s">
        <v>511</v>
      </c>
      <c r="C20">
        <v>2008</v>
      </c>
      <c r="D20">
        <v>1064.2596365060911</v>
      </c>
      <c r="E20">
        <v>1250</v>
      </c>
      <c r="G20">
        <v>17172</v>
      </c>
      <c r="H20" t="s">
        <v>170</v>
      </c>
      <c r="I20">
        <v>8.5</v>
      </c>
      <c r="J20">
        <v>3.43995E-2</v>
      </c>
      <c r="K20">
        <v>3.4398279570000003</v>
      </c>
      <c r="L20">
        <v>3.2321323096427639</v>
      </c>
      <c r="M20">
        <v>30.938229814563904</v>
      </c>
      <c r="N20">
        <v>6.9</v>
      </c>
      <c r="O20">
        <v>2.7924300000000003E-2</v>
      </c>
      <c r="P20">
        <v>2.79243</v>
      </c>
      <c r="Q20">
        <v>2.6238240220848761</v>
      </c>
      <c r="R20">
        <v>38.112312090404806</v>
      </c>
      <c r="V20">
        <v>38.449382999999997</v>
      </c>
      <c r="W20">
        <v>-121.16465700000001</v>
      </c>
      <c r="X20" t="s">
        <v>91</v>
      </c>
      <c r="AA20">
        <v>0.107</v>
      </c>
      <c r="AB20" t="s">
        <v>366</v>
      </c>
      <c r="AC20" t="s">
        <v>146</v>
      </c>
      <c r="AD20" t="s">
        <v>29</v>
      </c>
      <c r="AE20" t="s">
        <v>475</v>
      </c>
      <c r="AF20" t="s">
        <v>385</v>
      </c>
      <c r="AH20">
        <v>1</v>
      </c>
    </row>
    <row r="21" spans="1:34" x14ac:dyDescent="0.3">
      <c r="A21" t="s">
        <v>160</v>
      </c>
      <c r="B21" t="s">
        <v>383</v>
      </c>
      <c r="C21">
        <v>2011</v>
      </c>
      <c r="D21">
        <v>1702.8154184097457</v>
      </c>
      <c r="E21">
        <v>2000</v>
      </c>
      <c r="G21">
        <v>30000</v>
      </c>
      <c r="H21" t="s">
        <v>428</v>
      </c>
      <c r="I21">
        <v>18.5</v>
      </c>
      <c r="J21">
        <v>7.4869500000000005E-2</v>
      </c>
      <c r="K21">
        <v>7.4866843770000004</v>
      </c>
      <c r="L21">
        <v>4.3966505682640538</v>
      </c>
      <c r="M21">
        <v>22.743779755571303</v>
      </c>
      <c r="N21">
        <v>10.87</v>
      </c>
      <c r="O21">
        <v>4.3990889999999998E-2</v>
      </c>
      <c r="P21">
        <v>4.399089</v>
      </c>
      <c r="Q21">
        <v>2.5834209347882791</v>
      </c>
      <c r="R21">
        <v>38.708364809389984</v>
      </c>
      <c r="S21">
        <v>0.44827706048968663</v>
      </c>
      <c r="T21">
        <v>2.230763267046556</v>
      </c>
      <c r="U21">
        <v>1.1580883426544082</v>
      </c>
      <c r="V21">
        <v>35.170215606689503</v>
      </c>
      <c r="W21">
        <v>-106.601098106934</v>
      </c>
      <c r="X21" t="s">
        <v>91</v>
      </c>
      <c r="Z21" t="s">
        <v>94</v>
      </c>
      <c r="AA21">
        <v>0.107</v>
      </c>
      <c r="AB21" t="s">
        <v>366</v>
      </c>
      <c r="AC21" t="s">
        <v>146</v>
      </c>
      <c r="AD21" t="s">
        <v>29</v>
      </c>
      <c r="AE21" t="s">
        <v>157</v>
      </c>
      <c r="AF21" t="s">
        <v>385</v>
      </c>
      <c r="AH21">
        <v>1</v>
      </c>
    </row>
    <row r="22" spans="1:34" x14ac:dyDescent="0.3">
      <c r="A22" t="s">
        <v>160</v>
      </c>
      <c r="B22" t="s">
        <v>461</v>
      </c>
      <c r="C22">
        <v>2011</v>
      </c>
      <c r="D22">
        <v>4257.0385460243642</v>
      </c>
      <c r="E22">
        <v>5000</v>
      </c>
      <c r="G22">
        <v>78000</v>
      </c>
      <c r="H22" t="s">
        <v>462</v>
      </c>
      <c r="I22">
        <v>50</v>
      </c>
      <c r="J22">
        <v>0.20235</v>
      </c>
      <c r="K22">
        <v>20.234282100000001</v>
      </c>
      <c r="L22">
        <v>4.7531357494746524</v>
      </c>
      <c r="M22">
        <v>21.037996273903456</v>
      </c>
      <c r="N22">
        <v>34.08</v>
      </c>
      <c r="O22">
        <v>0.13792176</v>
      </c>
      <c r="P22">
        <v>13.792176</v>
      </c>
      <c r="Q22">
        <v>3.2398522707482815</v>
      </c>
      <c r="R22">
        <v>30.865604861947556</v>
      </c>
      <c r="V22">
        <v>32.166899889707601</v>
      </c>
      <c r="W22">
        <v>-107.751079872251</v>
      </c>
      <c r="X22" t="s">
        <v>91</v>
      </c>
      <c r="Y22" t="s">
        <v>463</v>
      </c>
      <c r="AA22">
        <v>0.107</v>
      </c>
      <c r="AB22" t="s">
        <v>366</v>
      </c>
      <c r="AC22" t="s">
        <v>102</v>
      </c>
      <c r="AD22" t="s">
        <v>29</v>
      </c>
      <c r="AE22" t="s">
        <v>157</v>
      </c>
      <c r="AF22" t="s">
        <v>444</v>
      </c>
      <c r="AG22">
        <v>1</v>
      </c>
      <c r="AH22">
        <v>1</v>
      </c>
    </row>
    <row r="23" spans="1:34" x14ac:dyDescent="0.3">
      <c r="A23" t="s">
        <v>107</v>
      </c>
      <c r="B23" t="s">
        <v>185</v>
      </c>
      <c r="C23">
        <v>2008</v>
      </c>
      <c r="D23">
        <v>10000</v>
      </c>
      <c r="E23">
        <v>12000</v>
      </c>
      <c r="G23">
        <v>167000</v>
      </c>
      <c r="H23" t="s">
        <v>186</v>
      </c>
      <c r="I23">
        <v>80</v>
      </c>
      <c r="J23">
        <v>0.32376000000000005</v>
      </c>
      <c r="K23">
        <v>32.374851360000001</v>
      </c>
      <c r="L23">
        <v>3.2374851360000001</v>
      </c>
      <c r="M23">
        <v>30.88707684704719</v>
      </c>
      <c r="N23">
        <v>70</v>
      </c>
      <c r="O23">
        <v>0.28329000000000004</v>
      </c>
      <c r="P23">
        <v>28.329000000000001</v>
      </c>
      <c r="Q23">
        <v>2.8329</v>
      </c>
      <c r="R23">
        <v>35.299516396625364</v>
      </c>
      <c r="V23">
        <v>35.788820000000001</v>
      </c>
      <c r="W23">
        <v>-114.99776</v>
      </c>
      <c r="X23" t="s">
        <v>91</v>
      </c>
      <c r="Z23" t="s">
        <v>94</v>
      </c>
      <c r="AA23">
        <v>0.107</v>
      </c>
      <c r="AC23" t="s">
        <v>146</v>
      </c>
      <c r="AD23" t="s">
        <v>29</v>
      </c>
      <c r="AE23" t="s">
        <v>110</v>
      </c>
      <c r="AF23" t="s">
        <v>252</v>
      </c>
      <c r="AH23">
        <v>1</v>
      </c>
    </row>
    <row r="24" spans="1:34" x14ac:dyDescent="0.3">
      <c r="A24" t="s">
        <v>196</v>
      </c>
      <c r="B24" t="s">
        <v>197</v>
      </c>
      <c r="C24">
        <v>2010</v>
      </c>
      <c r="D24">
        <v>10000</v>
      </c>
      <c r="E24">
        <v>12600</v>
      </c>
      <c r="G24">
        <v>159200</v>
      </c>
      <c r="H24" t="s">
        <v>199</v>
      </c>
      <c r="I24">
        <v>77</v>
      </c>
      <c r="J24">
        <v>0.31161900000000003</v>
      </c>
      <c r="K24">
        <v>31.160794434</v>
      </c>
      <c r="L24">
        <v>3.1160794433999999</v>
      </c>
      <c r="M24">
        <v>32.090469451477603</v>
      </c>
      <c r="N24">
        <v>83.9</v>
      </c>
      <c r="O24">
        <v>0.33954330000000005</v>
      </c>
      <c r="P24">
        <v>33.954330000000006</v>
      </c>
      <c r="Q24">
        <v>3.3954330000000006</v>
      </c>
      <c r="R24">
        <v>29.451324764764902</v>
      </c>
      <c r="S24">
        <v>0.32301244633615322</v>
      </c>
      <c r="T24">
        <v>3.0958559378833286</v>
      </c>
      <c r="V24">
        <v>40.880769999999998</v>
      </c>
      <c r="W24">
        <v>-83.318020000000004</v>
      </c>
      <c r="X24" t="s">
        <v>91</v>
      </c>
      <c r="Z24" t="s">
        <v>94</v>
      </c>
      <c r="AA24">
        <v>0.107</v>
      </c>
      <c r="AB24" t="s">
        <v>366</v>
      </c>
      <c r="AC24" t="s">
        <v>146</v>
      </c>
      <c r="AD24" t="s">
        <v>29</v>
      </c>
      <c r="AE24" t="s">
        <v>110</v>
      </c>
      <c r="AF24" t="s">
        <v>252</v>
      </c>
      <c r="AH24">
        <v>1</v>
      </c>
    </row>
    <row r="25" spans="1:34" x14ac:dyDescent="0.3">
      <c r="A25" t="s">
        <v>573</v>
      </c>
      <c r="B25" t="s">
        <v>572</v>
      </c>
      <c r="C25">
        <v>2012</v>
      </c>
      <c r="D25">
        <v>14814.494140164788</v>
      </c>
      <c r="E25">
        <v>17400</v>
      </c>
      <c r="F25">
        <v>60</v>
      </c>
      <c r="G25">
        <v>220000</v>
      </c>
      <c r="H25" t="s">
        <v>574</v>
      </c>
      <c r="I25">
        <v>135</v>
      </c>
      <c r="J25">
        <v>0.54634500000000008</v>
      </c>
      <c r="K25">
        <v>54.632561670000001</v>
      </c>
      <c r="L25">
        <v>3.687777736661368</v>
      </c>
      <c r="M25">
        <v>27.115639641920005</v>
      </c>
      <c r="N25">
        <v>90</v>
      </c>
      <c r="O25">
        <v>0.36423</v>
      </c>
      <c r="P25">
        <v>36.423000000000002</v>
      </c>
      <c r="Q25">
        <v>2.4586057178456486</v>
      </c>
      <c r="R25">
        <v>40.673459462880018</v>
      </c>
      <c r="V25">
        <v>39.677639999999997</v>
      </c>
      <c r="W25">
        <v>-77.341440000000006</v>
      </c>
      <c r="X25" t="s">
        <v>91</v>
      </c>
      <c r="Y25" t="s">
        <v>575</v>
      </c>
      <c r="AA25">
        <v>0.107</v>
      </c>
      <c r="AB25" t="s">
        <v>366</v>
      </c>
      <c r="AC25" t="s">
        <v>102</v>
      </c>
      <c r="AD25" t="s">
        <v>342</v>
      </c>
      <c r="AE25" t="s">
        <v>157</v>
      </c>
      <c r="AF25" t="s">
        <v>385</v>
      </c>
      <c r="AH25">
        <v>1</v>
      </c>
    </row>
    <row r="26" spans="1:34" x14ac:dyDescent="0.3">
      <c r="A26" t="s">
        <v>26</v>
      </c>
      <c r="B26" t="s">
        <v>650</v>
      </c>
      <c r="C26">
        <v>2011</v>
      </c>
      <c r="D26">
        <v>18000</v>
      </c>
      <c r="E26">
        <v>21141.457618242788</v>
      </c>
      <c r="G26">
        <v>281880</v>
      </c>
      <c r="H26" t="s">
        <v>167</v>
      </c>
      <c r="I26">
        <v>139.19999999999999</v>
      </c>
      <c r="J26">
        <v>0.56334240000000002</v>
      </c>
      <c r="K26">
        <v>56.332241366399998</v>
      </c>
      <c r="L26">
        <v>3.1295689647999998</v>
      </c>
      <c r="M26">
        <v>31.952148462462613</v>
      </c>
      <c r="N26">
        <v>100.07</v>
      </c>
      <c r="O26">
        <v>0.40498329</v>
      </c>
      <c r="P26">
        <v>40.498328999999998</v>
      </c>
      <c r="Q26">
        <v>2.2499071666666666</v>
      </c>
      <c r="R26">
        <v>44.446278264962487</v>
      </c>
      <c r="V26">
        <v>38.365569999999998</v>
      </c>
      <c r="W26">
        <v>-121.41294000000001</v>
      </c>
      <c r="X26" t="s">
        <v>91</v>
      </c>
      <c r="Y26" t="s">
        <v>653</v>
      </c>
      <c r="Z26" t="s">
        <v>96</v>
      </c>
      <c r="AA26">
        <v>0.107</v>
      </c>
      <c r="AB26" t="s">
        <v>366</v>
      </c>
      <c r="AC26" t="s">
        <v>146</v>
      </c>
      <c r="AD26" t="s">
        <v>29</v>
      </c>
      <c r="AE26" t="s">
        <v>493</v>
      </c>
      <c r="AF26" t="s">
        <v>647</v>
      </c>
      <c r="AH26">
        <v>1</v>
      </c>
    </row>
    <row r="27" spans="1:34" x14ac:dyDescent="0.3">
      <c r="A27" t="s">
        <v>107</v>
      </c>
      <c r="B27" t="s">
        <v>384</v>
      </c>
      <c r="C27">
        <v>2012</v>
      </c>
      <c r="D27">
        <v>4257.0385460243642</v>
      </c>
      <c r="E27">
        <v>5000</v>
      </c>
      <c r="G27">
        <v>78000</v>
      </c>
      <c r="H27" t="s">
        <v>428</v>
      </c>
      <c r="I27">
        <v>50</v>
      </c>
      <c r="J27">
        <v>0.20235</v>
      </c>
      <c r="K27">
        <v>20.234282100000001</v>
      </c>
      <c r="L27">
        <v>4.7531357494746524</v>
      </c>
      <c r="M27">
        <v>21.037996273903456</v>
      </c>
      <c r="N27" t="s">
        <v>598</v>
      </c>
      <c r="X27" t="s">
        <v>203</v>
      </c>
      <c r="AA27">
        <v>0.107</v>
      </c>
      <c r="AB27" t="s">
        <v>366</v>
      </c>
      <c r="AC27" t="s">
        <v>146</v>
      </c>
      <c r="AD27" t="s">
        <v>29</v>
      </c>
      <c r="AE27" t="s">
        <v>157</v>
      </c>
      <c r="AF27" t="s">
        <v>385</v>
      </c>
      <c r="AH27">
        <v>1</v>
      </c>
    </row>
    <row r="28" spans="1:34" x14ac:dyDescent="0.3">
      <c r="A28" t="s">
        <v>160</v>
      </c>
      <c r="B28" t="s">
        <v>386</v>
      </c>
      <c r="C28">
        <v>2011</v>
      </c>
      <c r="D28">
        <v>4257.0385460243642</v>
      </c>
      <c r="E28">
        <v>5000</v>
      </c>
      <c r="G28">
        <v>78000</v>
      </c>
      <c r="H28" t="s">
        <v>387</v>
      </c>
      <c r="I28">
        <v>50</v>
      </c>
      <c r="J28">
        <v>0.20235</v>
      </c>
      <c r="K28">
        <v>20.234282100000001</v>
      </c>
      <c r="L28">
        <v>4.7531357494746524</v>
      </c>
      <c r="M28">
        <v>21.037996273903456</v>
      </c>
      <c r="N28" t="s">
        <v>707</v>
      </c>
      <c r="V28">
        <v>32.865855000000003</v>
      </c>
      <c r="W28">
        <v>-106.000299</v>
      </c>
      <c r="X28" t="s">
        <v>203</v>
      </c>
      <c r="Z28" t="s">
        <v>94</v>
      </c>
      <c r="AA28">
        <v>0.107</v>
      </c>
      <c r="AB28" t="s">
        <v>366</v>
      </c>
      <c r="AC28" t="s">
        <v>146</v>
      </c>
      <c r="AD28" t="s">
        <v>29</v>
      </c>
      <c r="AE28" t="s">
        <v>157</v>
      </c>
      <c r="AF28" t="s">
        <v>385</v>
      </c>
      <c r="AH28">
        <v>1</v>
      </c>
    </row>
    <row r="29" spans="1:34" x14ac:dyDescent="0.3">
      <c r="A29" t="s">
        <v>160</v>
      </c>
      <c r="B29" t="s">
        <v>522</v>
      </c>
      <c r="C29">
        <v>2011</v>
      </c>
      <c r="D29">
        <v>20000</v>
      </c>
      <c r="E29">
        <v>23490.50846471421</v>
      </c>
      <c r="G29">
        <v>190000</v>
      </c>
      <c r="H29" t="s">
        <v>102</v>
      </c>
      <c r="I29">
        <v>210</v>
      </c>
      <c r="J29">
        <v>0.84987000000000001</v>
      </c>
      <c r="K29">
        <v>84.986999999999995</v>
      </c>
      <c r="L29">
        <v>4.2493499999999997</v>
      </c>
      <c r="M29">
        <v>23.533010931083577</v>
      </c>
      <c r="N29">
        <v>169.3</v>
      </c>
      <c r="O29">
        <v>0.68515710000000007</v>
      </c>
      <c r="P29">
        <v>68.515709999999999</v>
      </c>
      <c r="Q29">
        <v>3.4257854999999999</v>
      </c>
      <c r="R29">
        <v>29.190385679430307</v>
      </c>
      <c r="V29">
        <v>31.80245</v>
      </c>
      <c r="W29">
        <v>-106.67148</v>
      </c>
      <c r="X29" t="s">
        <v>21</v>
      </c>
      <c r="Y29" t="s">
        <v>776</v>
      </c>
      <c r="AA29">
        <v>0.107</v>
      </c>
      <c r="AB29" t="s">
        <v>366</v>
      </c>
      <c r="AC29" t="s">
        <v>102</v>
      </c>
      <c r="AD29" t="s">
        <v>60</v>
      </c>
      <c r="AE29" t="s">
        <v>475</v>
      </c>
      <c r="AF29" t="s">
        <v>385</v>
      </c>
      <c r="AH29">
        <v>1</v>
      </c>
    </row>
    <row r="30" spans="1:34" x14ac:dyDescent="0.3">
      <c r="A30" t="s">
        <v>35</v>
      </c>
      <c r="B30" t="s">
        <v>668</v>
      </c>
      <c r="C30">
        <v>2012</v>
      </c>
      <c r="D30">
        <v>26000</v>
      </c>
      <c r="E30">
        <v>30537.661004128473</v>
      </c>
      <c r="H30" t="s">
        <v>659</v>
      </c>
      <c r="I30">
        <v>300</v>
      </c>
      <c r="J30">
        <v>1.2141000000000002</v>
      </c>
      <c r="K30">
        <v>121.41</v>
      </c>
      <c r="L30">
        <v>4.6696153846153843</v>
      </c>
      <c r="M30">
        <v>21.415039947286051</v>
      </c>
      <c r="V30">
        <v>32.371899999999997</v>
      </c>
      <c r="W30">
        <v>-111.2818</v>
      </c>
      <c r="X30" t="s">
        <v>21</v>
      </c>
      <c r="AA30">
        <v>0.107</v>
      </c>
      <c r="AB30" t="s">
        <v>366</v>
      </c>
      <c r="AC30" t="s">
        <v>146</v>
      </c>
      <c r="AD30" t="s">
        <v>109</v>
      </c>
      <c r="AE30" t="s">
        <v>669</v>
      </c>
      <c r="AF30" t="s">
        <v>385</v>
      </c>
      <c r="AH30">
        <v>1</v>
      </c>
    </row>
    <row r="31" spans="1:34" x14ac:dyDescent="0.3">
      <c r="A31" t="s">
        <v>26</v>
      </c>
      <c r="B31" t="s">
        <v>729</v>
      </c>
      <c r="C31">
        <v>2014</v>
      </c>
      <c r="D31">
        <v>110683.00219663348</v>
      </c>
      <c r="E31">
        <v>130000</v>
      </c>
      <c r="H31" t="s">
        <v>730</v>
      </c>
      <c r="I31">
        <v>946</v>
      </c>
      <c r="J31">
        <v>3.828462</v>
      </c>
      <c r="K31">
        <v>382.84620000000001</v>
      </c>
      <c r="L31">
        <v>3.4589430391475648</v>
      </c>
      <c r="M31">
        <v>28.91056570409566</v>
      </c>
      <c r="V31">
        <v>32.664499999999997</v>
      </c>
      <c r="W31">
        <v>-115.7118</v>
      </c>
      <c r="X31" t="s">
        <v>21</v>
      </c>
      <c r="AA31">
        <v>0.107</v>
      </c>
      <c r="AB31" t="s">
        <v>366</v>
      </c>
      <c r="AC31" t="s">
        <v>102</v>
      </c>
      <c r="AD31" t="s">
        <v>24</v>
      </c>
      <c r="AE31" t="s">
        <v>475</v>
      </c>
      <c r="AF31" t="s">
        <v>252</v>
      </c>
      <c r="AH31">
        <v>1</v>
      </c>
    </row>
    <row r="32" spans="1:34" x14ac:dyDescent="0.3">
      <c r="A32" t="s">
        <v>35</v>
      </c>
      <c r="B32" t="s">
        <v>658</v>
      </c>
      <c r="C32">
        <v>2014</v>
      </c>
      <c r="D32">
        <v>290000</v>
      </c>
      <c r="E32">
        <v>340612.37273835606</v>
      </c>
      <c r="F32">
        <v>1800</v>
      </c>
      <c r="H32" t="s">
        <v>659</v>
      </c>
      <c r="I32">
        <v>2400</v>
      </c>
      <c r="J32">
        <v>9.7128000000000014</v>
      </c>
      <c r="K32">
        <v>971.28</v>
      </c>
      <c r="L32">
        <v>3.3492413793103446</v>
      </c>
      <c r="M32">
        <v>29.857507618812285</v>
      </c>
      <c r="V32">
        <v>32.965800000000002</v>
      </c>
      <c r="W32">
        <v>-113.52719999999999</v>
      </c>
      <c r="X32" t="s">
        <v>91</v>
      </c>
      <c r="AA32">
        <v>0.107</v>
      </c>
      <c r="AB32" t="s">
        <v>366</v>
      </c>
      <c r="AC32" t="s">
        <v>660</v>
      </c>
      <c r="AD32" t="s">
        <v>109</v>
      </c>
      <c r="AE32" t="s">
        <v>475</v>
      </c>
      <c r="AF32" t="s">
        <v>252</v>
      </c>
      <c r="AH32">
        <v>1</v>
      </c>
    </row>
    <row r="33" spans="1:34" x14ac:dyDescent="0.3">
      <c r="A33" t="s">
        <v>26</v>
      </c>
      <c r="B33" t="s">
        <v>570</v>
      </c>
      <c r="C33">
        <v>2014</v>
      </c>
      <c r="D33">
        <v>550000</v>
      </c>
      <c r="E33">
        <v>645988.98277964082</v>
      </c>
      <c r="F33">
        <v>1200</v>
      </c>
      <c r="G33">
        <v>9000000</v>
      </c>
      <c r="H33" t="s">
        <v>571</v>
      </c>
      <c r="I33">
        <v>3500</v>
      </c>
      <c r="J33">
        <v>14.1645</v>
      </c>
      <c r="K33">
        <v>1416.45</v>
      </c>
      <c r="L33">
        <v>2.5753636363636363</v>
      </c>
      <c r="M33">
        <v>38.829468036287899</v>
      </c>
      <c r="N33" t="s">
        <v>598</v>
      </c>
      <c r="V33">
        <v>35.365969911217697</v>
      </c>
      <c r="W33">
        <v>-120.040639713407</v>
      </c>
      <c r="X33" t="s">
        <v>91</v>
      </c>
      <c r="AA33">
        <v>0.107</v>
      </c>
      <c r="AB33" t="s">
        <v>366</v>
      </c>
      <c r="AC33" t="s">
        <v>102</v>
      </c>
      <c r="AD33" t="s">
        <v>109</v>
      </c>
      <c r="AE33" t="s">
        <v>475</v>
      </c>
      <c r="AF33" t="s">
        <v>444</v>
      </c>
      <c r="AH33">
        <v>1</v>
      </c>
    </row>
    <row r="34" spans="1:34" x14ac:dyDescent="0.3">
      <c r="A34" t="s">
        <v>26</v>
      </c>
      <c r="B34" t="s">
        <v>117</v>
      </c>
      <c r="C34">
        <v>2013</v>
      </c>
      <c r="D34">
        <v>230000</v>
      </c>
      <c r="E34">
        <v>284000</v>
      </c>
      <c r="F34">
        <v>713</v>
      </c>
      <c r="G34">
        <v>3800000</v>
      </c>
      <c r="H34" t="s">
        <v>362</v>
      </c>
      <c r="I34">
        <v>2100</v>
      </c>
      <c r="J34">
        <v>8.4987000000000013</v>
      </c>
      <c r="K34">
        <v>849.87</v>
      </c>
      <c r="L34">
        <v>3.695086956521739</v>
      </c>
      <c r="M34">
        <v>27.062962570746109</v>
      </c>
      <c r="N34">
        <v>1955</v>
      </c>
      <c r="O34">
        <v>7.9118850000000007</v>
      </c>
      <c r="P34">
        <v>791.18849999999998</v>
      </c>
      <c r="Q34">
        <v>3.4399500000000001</v>
      </c>
      <c r="R34">
        <v>29.070189973691477</v>
      </c>
      <c r="V34">
        <v>34.7879</v>
      </c>
      <c r="W34">
        <v>-118.4203</v>
      </c>
      <c r="X34" t="s">
        <v>21</v>
      </c>
      <c r="Z34" t="s">
        <v>96</v>
      </c>
      <c r="AA34">
        <v>0.1076</v>
      </c>
      <c r="AB34" t="s">
        <v>366</v>
      </c>
      <c r="AC34" t="s">
        <v>373</v>
      </c>
      <c r="AD34" t="s">
        <v>24</v>
      </c>
      <c r="AE34" t="s">
        <v>110</v>
      </c>
      <c r="AF34" t="s">
        <v>252</v>
      </c>
      <c r="AH34">
        <v>1</v>
      </c>
    </row>
    <row r="35" spans="1:34" x14ac:dyDescent="0.3">
      <c r="A35" t="s">
        <v>35</v>
      </c>
      <c r="B35" t="s">
        <v>36</v>
      </c>
      <c r="C35">
        <v>2001</v>
      </c>
      <c r="D35">
        <v>5324</v>
      </c>
      <c r="E35">
        <v>6480</v>
      </c>
      <c r="G35">
        <v>8400</v>
      </c>
      <c r="H35" t="s">
        <v>37</v>
      </c>
      <c r="I35">
        <v>70</v>
      </c>
      <c r="J35">
        <v>0.28329000000000004</v>
      </c>
      <c r="K35">
        <v>28.32799494</v>
      </c>
      <c r="L35">
        <v>5.3208104695717511</v>
      </c>
      <c r="M35">
        <v>18.793462529563342</v>
      </c>
      <c r="N35">
        <v>37.19</v>
      </c>
      <c r="O35">
        <v>0.15050793000000001</v>
      </c>
      <c r="P35">
        <v>15.050792999999999</v>
      </c>
      <c r="Q35">
        <v>2.8269708865514649</v>
      </c>
      <c r="R35">
        <v>35.373551413536809</v>
      </c>
      <c r="S35">
        <v>0.32301244633615322</v>
      </c>
      <c r="T35">
        <v>3.0958559378833286</v>
      </c>
      <c r="U35">
        <v>0.91314678178607256</v>
      </c>
      <c r="V35">
        <v>34.297060999999999</v>
      </c>
      <c r="W35">
        <v>-109.26690000000001</v>
      </c>
      <c r="X35" t="s">
        <v>91</v>
      </c>
      <c r="Y35" t="s">
        <v>88</v>
      </c>
      <c r="Z35" t="s">
        <v>94</v>
      </c>
      <c r="AA35">
        <v>0.10970000000000001</v>
      </c>
      <c r="AB35" t="s">
        <v>81</v>
      </c>
      <c r="AC35" t="s">
        <v>81</v>
      </c>
      <c r="AD35" t="s">
        <v>29</v>
      </c>
      <c r="AE35" t="s">
        <v>80</v>
      </c>
      <c r="AF35" t="s">
        <v>252</v>
      </c>
      <c r="AG35">
        <v>1</v>
      </c>
      <c r="AH35">
        <v>1</v>
      </c>
    </row>
    <row r="36" spans="1:34" x14ac:dyDescent="0.3">
      <c r="A36" t="s">
        <v>148</v>
      </c>
      <c r="B36" t="s">
        <v>195</v>
      </c>
      <c r="C36">
        <v>2010</v>
      </c>
      <c r="D36">
        <v>12600</v>
      </c>
      <c r="E36">
        <v>15010</v>
      </c>
      <c r="G36">
        <v>200000</v>
      </c>
      <c r="H36" t="s">
        <v>192</v>
      </c>
      <c r="I36">
        <v>96</v>
      </c>
      <c r="J36">
        <v>0.38851200000000002</v>
      </c>
      <c r="K36">
        <v>38.849821632000001</v>
      </c>
      <c r="L36">
        <v>3.0833191771428572</v>
      </c>
      <c r="M36">
        <v>32.431430689399555</v>
      </c>
      <c r="N36">
        <v>70.400000000000006</v>
      </c>
      <c r="O36">
        <v>0.28490880000000002</v>
      </c>
      <c r="P36">
        <v>28.490880000000004</v>
      </c>
      <c r="Q36">
        <v>2.2611809523809527</v>
      </c>
      <c r="R36">
        <v>44.224678212817572</v>
      </c>
      <c r="V36">
        <v>30.320170000000001</v>
      </c>
      <c r="W36" t="s">
        <v>256</v>
      </c>
      <c r="X36" t="s">
        <v>91</v>
      </c>
      <c r="Z36" t="s">
        <v>96</v>
      </c>
      <c r="AA36">
        <v>0.11</v>
      </c>
      <c r="AB36" t="s">
        <v>366</v>
      </c>
      <c r="AC36" t="s">
        <v>602</v>
      </c>
      <c r="AD36" t="s">
        <v>109</v>
      </c>
      <c r="AE36" t="s">
        <v>157</v>
      </c>
      <c r="AF36" t="s">
        <v>352</v>
      </c>
      <c r="AH36">
        <v>1</v>
      </c>
    </row>
    <row r="37" spans="1:34" x14ac:dyDescent="0.3">
      <c r="A37" t="s">
        <v>180</v>
      </c>
      <c r="B37" t="s">
        <v>615</v>
      </c>
      <c r="C37">
        <v>2012</v>
      </c>
      <c r="D37">
        <v>19582.377311712076</v>
      </c>
      <c r="E37">
        <v>23000</v>
      </c>
      <c r="H37" t="s">
        <v>616</v>
      </c>
      <c r="I37">
        <v>160</v>
      </c>
      <c r="J37">
        <v>0.6475200000000001</v>
      </c>
      <c r="K37">
        <v>64.749702720000002</v>
      </c>
      <c r="L37">
        <v>3.3065292170258451</v>
      </c>
      <c r="M37">
        <v>30.242119643736213</v>
      </c>
      <c r="V37">
        <v>41.150500000000001</v>
      </c>
      <c r="W37">
        <v>-88.758799999999994</v>
      </c>
      <c r="X37" t="s">
        <v>203</v>
      </c>
      <c r="AA37">
        <v>0.12</v>
      </c>
      <c r="AB37" t="s">
        <v>366</v>
      </c>
      <c r="AC37" t="s">
        <v>617</v>
      </c>
      <c r="AD37" t="s">
        <v>109</v>
      </c>
      <c r="AE37" t="s">
        <v>611</v>
      </c>
      <c r="AF37" t="s">
        <v>380</v>
      </c>
      <c r="AH37">
        <v>1</v>
      </c>
    </row>
    <row r="38" spans="1:34" x14ac:dyDescent="0.3">
      <c r="A38" t="s">
        <v>26</v>
      </c>
      <c r="B38" t="s">
        <v>46</v>
      </c>
      <c r="C38">
        <v>2008</v>
      </c>
      <c r="D38">
        <v>995.51400000000001</v>
      </c>
      <c r="E38">
        <v>1179.52</v>
      </c>
      <c r="G38">
        <v>6208</v>
      </c>
      <c r="H38" t="s">
        <v>33</v>
      </c>
      <c r="I38">
        <v>12.13</v>
      </c>
      <c r="J38">
        <v>4.9090110000000006E-2</v>
      </c>
      <c r="K38">
        <v>4.9088368374600009</v>
      </c>
      <c r="L38">
        <v>4.9309571110602173</v>
      </c>
      <c r="M38">
        <v>20.279318991136908</v>
      </c>
      <c r="N38">
        <v>7.6</v>
      </c>
      <c r="O38">
        <v>3.0757200000000002E-2</v>
      </c>
      <c r="P38">
        <v>3.0756108792000001</v>
      </c>
      <c r="Q38">
        <v>3.0894702427087917</v>
      </c>
      <c r="R38">
        <v>32.366860442432987</v>
      </c>
      <c r="S38">
        <v>0.32795698924731181</v>
      </c>
      <c r="T38">
        <v>3.0491803278688527</v>
      </c>
      <c r="U38">
        <v>1.0132133591679371</v>
      </c>
      <c r="V38">
        <v>33.563845999999998</v>
      </c>
      <c r="W38">
        <v>-114.918655</v>
      </c>
      <c r="X38" t="s">
        <v>21</v>
      </c>
      <c r="Y38" t="s">
        <v>776</v>
      </c>
      <c r="Z38" t="s">
        <v>94</v>
      </c>
      <c r="AA38">
        <v>0.12720000000000001</v>
      </c>
      <c r="AB38" t="s">
        <v>67</v>
      </c>
      <c r="AC38" t="s">
        <v>76</v>
      </c>
      <c r="AD38" t="s">
        <v>29</v>
      </c>
      <c r="AE38" t="s">
        <v>34</v>
      </c>
      <c r="AF38" t="s">
        <v>353</v>
      </c>
      <c r="AH38">
        <v>1</v>
      </c>
    </row>
    <row r="39" spans="1:34" x14ac:dyDescent="0.3">
      <c r="A39" t="s">
        <v>3</v>
      </c>
      <c r="B39" t="s">
        <v>4</v>
      </c>
      <c r="C39">
        <v>2008</v>
      </c>
      <c r="D39">
        <v>891.48</v>
      </c>
      <c r="E39">
        <v>1188.6400000000001</v>
      </c>
      <c r="F39">
        <v>6.9</v>
      </c>
      <c r="G39">
        <v>6192</v>
      </c>
      <c r="H39" t="s">
        <v>8</v>
      </c>
      <c r="I39">
        <v>5.7</v>
      </c>
      <c r="J39">
        <v>2.3067900000000002E-2</v>
      </c>
      <c r="K39">
        <v>2.3067081594000003</v>
      </c>
      <c r="L39">
        <v>2.587504104859335</v>
      </c>
      <c r="M39">
        <v>38.645910551025452</v>
      </c>
      <c r="N39">
        <v>4.5</v>
      </c>
      <c r="O39">
        <v>1.8211500000000002E-2</v>
      </c>
      <c r="P39">
        <v>1.82115</v>
      </c>
      <c r="Q39">
        <v>2.042838874680307</v>
      </c>
      <c r="R39">
        <v>48.951486697965571</v>
      </c>
      <c r="S39">
        <v>0.47540983606557374</v>
      </c>
      <c r="T39">
        <v>2.103448275862069</v>
      </c>
      <c r="U39">
        <v>0.97118569452014591</v>
      </c>
      <c r="V39">
        <v>39.724755999999999</v>
      </c>
      <c r="W39">
        <v>-105.118824</v>
      </c>
      <c r="X39" t="s">
        <v>91</v>
      </c>
      <c r="Y39" t="s">
        <v>87</v>
      </c>
      <c r="Z39" t="s">
        <v>95</v>
      </c>
      <c r="AA39">
        <v>0.12720000000000001</v>
      </c>
      <c r="AB39" t="s">
        <v>67</v>
      </c>
      <c r="AC39" t="s">
        <v>79</v>
      </c>
      <c r="AD39" t="s">
        <v>29</v>
      </c>
      <c r="AE39" t="s">
        <v>19</v>
      </c>
      <c r="AF39" t="s">
        <v>353</v>
      </c>
      <c r="AH39">
        <v>1</v>
      </c>
    </row>
    <row r="40" spans="1:34" x14ac:dyDescent="0.3">
      <c r="A40" t="s">
        <v>3</v>
      </c>
      <c r="B40" t="s">
        <v>32</v>
      </c>
      <c r="C40">
        <v>2009</v>
      </c>
      <c r="D40">
        <v>1000</v>
      </c>
      <c r="E40">
        <v>1083</v>
      </c>
      <c r="G40">
        <v>5670</v>
      </c>
      <c r="H40" t="s">
        <v>33</v>
      </c>
      <c r="I40">
        <v>10.66</v>
      </c>
      <c r="J40">
        <v>4.3141020000000002E-2</v>
      </c>
      <c r="K40">
        <v>4.3139489437199998</v>
      </c>
      <c r="L40">
        <v>4.3139489437199998</v>
      </c>
      <c r="M40">
        <v>23.179795007164874</v>
      </c>
      <c r="N40">
        <v>6.6</v>
      </c>
      <c r="O40">
        <v>2.67102E-2</v>
      </c>
      <c r="P40">
        <v>2.6709252372000001</v>
      </c>
      <c r="Q40">
        <v>2.6709252372000001</v>
      </c>
      <c r="R40">
        <v>37.438881026723877</v>
      </c>
      <c r="S40">
        <v>0.46391787390673017</v>
      </c>
      <c r="T40">
        <v>2.1555539379822388</v>
      </c>
      <c r="U40">
        <v>1.2390899574056531</v>
      </c>
      <c r="V40">
        <v>39.909672999999998</v>
      </c>
      <c r="W40">
        <v>-105.231408</v>
      </c>
      <c r="X40" t="s">
        <v>21</v>
      </c>
      <c r="Y40" t="s">
        <v>776</v>
      </c>
      <c r="Z40" t="s">
        <v>95</v>
      </c>
      <c r="AA40">
        <v>0.1305</v>
      </c>
      <c r="AB40" t="s">
        <v>67</v>
      </c>
      <c r="AC40" t="s">
        <v>70</v>
      </c>
      <c r="AD40" t="s">
        <v>29</v>
      </c>
      <c r="AE40" t="s">
        <v>34</v>
      </c>
      <c r="AF40" t="s">
        <v>353</v>
      </c>
      <c r="AH40">
        <v>1</v>
      </c>
    </row>
    <row r="41" spans="1:34" x14ac:dyDescent="0.3">
      <c r="A41" t="s">
        <v>332</v>
      </c>
      <c r="B41" t="s">
        <v>333</v>
      </c>
      <c r="C41">
        <v>2011</v>
      </c>
      <c r="D41">
        <v>32000</v>
      </c>
      <c r="E41">
        <v>37000</v>
      </c>
      <c r="G41">
        <v>167712</v>
      </c>
      <c r="I41">
        <v>200</v>
      </c>
      <c r="J41">
        <v>0.80940000000000001</v>
      </c>
      <c r="K41">
        <v>80.94</v>
      </c>
      <c r="L41">
        <v>2.5293749999999999</v>
      </c>
      <c r="M41">
        <v>39.53545836422041</v>
      </c>
      <c r="N41">
        <v>195</v>
      </c>
      <c r="O41">
        <v>0.78916500000000001</v>
      </c>
      <c r="P41">
        <v>78.916499999999999</v>
      </c>
      <c r="Q41">
        <v>2.466140625</v>
      </c>
      <c r="R41">
        <v>40.549188065867085</v>
      </c>
      <c r="S41">
        <v>0.63793103448275867</v>
      </c>
      <c r="T41">
        <v>1.5675675675675675</v>
      </c>
      <c r="V41">
        <v>40.864069999999998</v>
      </c>
      <c r="W41">
        <v>-72.855490000000003</v>
      </c>
      <c r="X41" t="s">
        <v>91</v>
      </c>
      <c r="Z41" t="s">
        <v>95</v>
      </c>
      <c r="AA41">
        <v>0.13200000000000001</v>
      </c>
      <c r="AB41" t="s">
        <v>399</v>
      </c>
      <c r="AC41" t="s">
        <v>335</v>
      </c>
      <c r="AD41" t="s">
        <v>109</v>
      </c>
      <c r="AE41" t="s">
        <v>334</v>
      </c>
      <c r="AF41" t="s">
        <v>353</v>
      </c>
      <c r="AG41">
        <v>1</v>
      </c>
      <c r="AH41">
        <v>1</v>
      </c>
    </row>
    <row r="42" spans="1:34" x14ac:dyDescent="0.3">
      <c r="A42" t="s">
        <v>3</v>
      </c>
      <c r="B42" t="s">
        <v>43</v>
      </c>
      <c r="C42">
        <v>2008</v>
      </c>
      <c r="D42">
        <v>503.16</v>
      </c>
      <c r="E42">
        <v>600</v>
      </c>
      <c r="G42">
        <v>3531</v>
      </c>
      <c r="H42" t="s">
        <v>8</v>
      </c>
      <c r="I42">
        <v>4.42</v>
      </c>
      <c r="J42">
        <v>1.7887739999999999E-2</v>
      </c>
      <c r="K42">
        <v>1.7887105376400001</v>
      </c>
      <c r="L42">
        <v>3.5549537674695921</v>
      </c>
      <c r="M42">
        <v>28.128763052235783</v>
      </c>
      <c r="N42">
        <v>3.59</v>
      </c>
      <c r="O42">
        <v>1.452873E-2</v>
      </c>
      <c r="P42">
        <v>1.45282145478</v>
      </c>
      <c r="Q42">
        <v>2.8873945758406867</v>
      </c>
      <c r="R42">
        <v>34.63207038743235</v>
      </c>
      <c r="S42">
        <v>0.33467741935483869</v>
      </c>
      <c r="T42">
        <v>2.987951807228916</v>
      </c>
      <c r="U42">
        <v>0.96634576530152005</v>
      </c>
      <c r="V42">
        <v>39.531663999999999</v>
      </c>
      <c r="W42">
        <v>-107.757302</v>
      </c>
      <c r="X42" t="s">
        <v>21</v>
      </c>
      <c r="Y42" t="s">
        <v>776</v>
      </c>
      <c r="Z42" t="s">
        <v>94</v>
      </c>
      <c r="AA42">
        <v>0.13320000000000001</v>
      </c>
      <c r="AB42" t="s">
        <v>391</v>
      </c>
      <c r="AC42" t="s">
        <v>73</v>
      </c>
      <c r="AD42" t="s">
        <v>29</v>
      </c>
      <c r="AE42" t="s">
        <v>34</v>
      </c>
      <c r="AF42" t="s">
        <v>353</v>
      </c>
      <c r="AH42">
        <v>1</v>
      </c>
    </row>
    <row r="43" spans="1:34" x14ac:dyDescent="0.3">
      <c r="A43" t="s">
        <v>26</v>
      </c>
      <c r="B43" t="s">
        <v>451</v>
      </c>
      <c r="C43">
        <v>2011</v>
      </c>
      <c r="D43">
        <v>1000</v>
      </c>
      <c r="E43">
        <v>1159.2</v>
      </c>
      <c r="F43">
        <v>5.7</v>
      </c>
      <c r="G43">
        <v>5152</v>
      </c>
      <c r="H43" t="s">
        <v>452</v>
      </c>
      <c r="I43">
        <v>11.4</v>
      </c>
      <c r="J43">
        <v>4.6135800000000005E-2</v>
      </c>
      <c r="K43">
        <v>4.6134163188000006</v>
      </c>
      <c r="L43">
        <v>4.6134163188000006</v>
      </c>
      <c r="M43">
        <v>21.675141647050662</v>
      </c>
      <c r="N43">
        <v>7.44</v>
      </c>
      <c r="O43">
        <v>3.0109680000000003E-2</v>
      </c>
      <c r="P43">
        <v>3.0108611764800002</v>
      </c>
      <c r="Q43">
        <v>3.0108611764800002</v>
      </c>
      <c r="R43">
        <v>33.211910588222786</v>
      </c>
      <c r="V43">
        <v>37.633339999999997</v>
      </c>
      <c r="W43">
        <v>-122.139881</v>
      </c>
      <c r="X43" t="s">
        <v>21</v>
      </c>
      <c r="Y43" t="s">
        <v>776</v>
      </c>
      <c r="Z43" t="s">
        <v>96</v>
      </c>
      <c r="AA43">
        <v>0.13600000000000001</v>
      </c>
      <c r="AB43" t="s">
        <v>399</v>
      </c>
      <c r="AC43" t="s">
        <v>453</v>
      </c>
      <c r="AD43" t="s">
        <v>29</v>
      </c>
      <c r="AE43" t="s">
        <v>157</v>
      </c>
      <c r="AF43" t="s">
        <v>380</v>
      </c>
      <c r="AH43">
        <v>1</v>
      </c>
    </row>
    <row r="44" spans="1:34" x14ac:dyDescent="0.3">
      <c r="A44" t="s">
        <v>35</v>
      </c>
      <c r="B44" t="s">
        <v>537</v>
      </c>
      <c r="C44">
        <v>2011</v>
      </c>
      <c r="D44">
        <v>823.1</v>
      </c>
      <c r="E44">
        <v>1069</v>
      </c>
      <c r="G44">
        <v>3960</v>
      </c>
      <c r="H44" t="s">
        <v>539</v>
      </c>
      <c r="I44">
        <v>6.5</v>
      </c>
      <c r="J44">
        <v>2.6305500000000002E-2</v>
      </c>
      <c r="K44">
        <v>2.6304566730000003</v>
      </c>
      <c r="L44">
        <v>3.1957923375045563</v>
      </c>
      <c r="M44">
        <v>31.290034403451749</v>
      </c>
      <c r="N44">
        <v>4.91</v>
      </c>
      <c r="O44">
        <v>1.9870770000000003E-2</v>
      </c>
      <c r="P44">
        <v>1.9870065022200001</v>
      </c>
      <c r="Q44">
        <v>2.4140523657149799</v>
      </c>
      <c r="R44">
        <v>41.422652468927971</v>
      </c>
      <c r="V44">
        <v>32.29</v>
      </c>
      <c r="W44">
        <v>-111.03294</v>
      </c>
      <c r="X44" t="s">
        <v>21</v>
      </c>
      <c r="Y44" t="s">
        <v>540</v>
      </c>
      <c r="Z44" t="s">
        <v>95</v>
      </c>
      <c r="AA44">
        <v>0.13769999999999999</v>
      </c>
      <c r="AB44" t="s">
        <v>399</v>
      </c>
      <c r="AC44" t="s">
        <v>538</v>
      </c>
      <c r="AD44" t="s">
        <v>60</v>
      </c>
      <c r="AE44" t="s">
        <v>475</v>
      </c>
      <c r="AF44" t="s">
        <v>541</v>
      </c>
      <c r="AH44">
        <v>1</v>
      </c>
    </row>
    <row r="45" spans="1:34" x14ac:dyDescent="0.3">
      <c r="A45" t="s">
        <v>26</v>
      </c>
      <c r="B45" t="s">
        <v>544</v>
      </c>
      <c r="C45">
        <v>2010</v>
      </c>
      <c r="D45">
        <v>2000</v>
      </c>
      <c r="E45">
        <v>2592</v>
      </c>
      <c r="G45">
        <v>9600</v>
      </c>
      <c r="H45" t="s">
        <v>545</v>
      </c>
      <c r="I45">
        <v>13.7</v>
      </c>
      <c r="J45">
        <v>5.5443899999999997E-2</v>
      </c>
      <c r="K45">
        <v>5.5441932953999995</v>
      </c>
      <c r="L45">
        <v>2.7720966476999997</v>
      </c>
      <c r="M45">
        <v>36.072498507500377</v>
      </c>
      <c r="N45">
        <v>8.84</v>
      </c>
      <c r="O45">
        <v>3.5775479999999998E-2</v>
      </c>
      <c r="P45">
        <v>3.5775480000000002</v>
      </c>
      <c r="Q45">
        <v>1.7887740000000001</v>
      </c>
      <c r="R45">
        <v>55.904211487868231</v>
      </c>
      <c r="V45">
        <v>38.411070000000002</v>
      </c>
      <c r="W45">
        <v>-121.92645</v>
      </c>
      <c r="X45" t="s">
        <v>91</v>
      </c>
      <c r="AA45">
        <v>0.13769999999999999</v>
      </c>
      <c r="AB45" t="s">
        <v>399</v>
      </c>
      <c r="AC45" t="s">
        <v>546</v>
      </c>
      <c r="AD45" t="s">
        <v>29</v>
      </c>
      <c r="AE45" t="s">
        <v>475</v>
      </c>
      <c r="AF45" t="s">
        <v>385</v>
      </c>
      <c r="AH45">
        <v>1</v>
      </c>
    </row>
    <row r="46" spans="1:34" x14ac:dyDescent="0.3">
      <c r="A46" t="s">
        <v>47</v>
      </c>
      <c r="B46" t="s">
        <v>48</v>
      </c>
      <c r="C46">
        <v>2008</v>
      </c>
      <c r="D46">
        <v>1000</v>
      </c>
      <c r="E46">
        <v>1189</v>
      </c>
      <c r="G46">
        <v>5730</v>
      </c>
      <c r="H46" t="s">
        <v>8</v>
      </c>
      <c r="I46">
        <v>9.5</v>
      </c>
      <c r="J46">
        <v>3.8446500000000002E-2</v>
      </c>
      <c r="K46">
        <v>3.8445135989999999</v>
      </c>
      <c r="L46">
        <v>3.8445135989999999</v>
      </c>
      <c r="M46">
        <v>26.010169976460794</v>
      </c>
      <c r="N46">
        <v>7.66</v>
      </c>
      <c r="O46">
        <v>3.1000020000000003E-2</v>
      </c>
      <c r="P46">
        <v>3.0998920177200002</v>
      </c>
      <c r="Q46">
        <v>3.0998920177200002</v>
      </c>
      <c r="R46">
        <v>32.258043704487932</v>
      </c>
      <c r="S46">
        <v>0.33333333333333331</v>
      </c>
      <c r="T46">
        <v>3</v>
      </c>
      <c r="U46">
        <v>1.03329733924</v>
      </c>
      <c r="V46">
        <v>34.288353999999998</v>
      </c>
      <c r="W46">
        <v>-77.981172000000001</v>
      </c>
      <c r="X46" t="s">
        <v>21</v>
      </c>
      <c r="Y46" t="s">
        <v>776</v>
      </c>
      <c r="Z46" t="s">
        <v>94</v>
      </c>
      <c r="AA46">
        <v>0.13800000000000001</v>
      </c>
      <c r="AB46" t="s">
        <v>399</v>
      </c>
      <c r="AC46" t="s">
        <v>77</v>
      </c>
      <c r="AD46" t="s">
        <v>29</v>
      </c>
      <c r="AE46" t="s">
        <v>34</v>
      </c>
      <c r="AF46" t="s">
        <v>353</v>
      </c>
      <c r="AH46">
        <v>1</v>
      </c>
    </row>
    <row r="47" spans="1:34" x14ac:dyDescent="0.3">
      <c r="A47" t="s">
        <v>160</v>
      </c>
      <c r="B47" t="s">
        <v>519</v>
      </c>
      <c r="C47">
        <v>2011</v>
      </c>
      <c r="D47">
        <v>1000</v>
      </c>
      <c r="E47">
        <v>1140.48</v>
      </c>
      <c r="F47">
        <v>5</v>
      </c>
      <c r="G47">
        <v>4224</v>
      </c>
      <c r="H47" t="s">
        <v>8</v>
      </c>
      <c r="I47">
        <v>9.1539999999999999</v>
      </c>
      <c r="J47">
        <v>3.7046238000000002E-2</v>
      </c>
      <c r="K47">
        <v>3.7044923668680001</v>
      </c>
      <c r="L47">
        <v>3.7044923668680001</v>
      </c>
      <c r="M47">
        <v>26.993294163904036</v>
      </c>
      <c r="N47">
        <v>6.91</v>
      </c>
      <c r="O47">
        <v>2.7964770000000003E-2</v>
      </c>
      <c r="P47">
        <v>2.7963777862200003</v>
      </c>
      <c r="Q47">
        <v>2.7963777862200003</v>
      </c>
      <c r="R47">
        <v>35.759278549403405</v>
      </c>
      <c r="V47">
        <v>35.629170000000002</v>
      </c>
      <c r="W47">
        <v>-106.08602999999999</v>
      </c>
      <c r="X47" t="s">
        <v>21</v>
      </c>
      <c r="Y47" t="s">
        <v>776</v>
      </c>
      <c r="AA47">
        <v>0.13900000000000001</v>
      </c>
      <c r="AB47" t="s">
        <v>399</v>
      </c>
      <c r="AC47" t="s">
        <v>521</v>
      </c>
      <c r="AD47" t="s">
        <v>60</v>
      </c>
      <c r="AE47" t="s">
        <v>475</v>
      </c>
      <c r="AF47" t="s">
        <v>385</v>
      </c>
      <c r="AH47">
        <v>1</v>
      </c>
    </row>
    <row r="48" spans="1:34" x14ac:dyDescent="0.3">
      <c r="A48" t="s">
        <v>3</v>
      </c>
      <c r="B48" t="s">
        <v>44</v>
      </c>
      <c r="C48">
        <v>2009</v>
      </c>
      <c r="D48">
        <v>1329.79</v>
      </c>
      <c r="E48">
        <v>1727</v>
      </c>
      <c r="G48">
        <v>6248</v>
      </c>
      <c r="H48" t="s">
        <v>8</v>
      </c>
      <c r="I48">
        <v>10.78</v>
      </c>
      <c r="J48">
        <v>4.3626659999999998E-2</v>
      </c>
      <c r="K48">
        <v>4.3625112207600001</v>
      </c>
      <c r="L48">
        <v>3.2806016143601622</v>
      </c>
      <c r="M48">
        <v>30.481132408486005</v>
      </c>
      <c r="N48">
        <v>7.61</v>
      </c>
      <c r="O48">
        <v>3.0797670000000003E-2</v>
      </c>
      <c r="P48">
        <v>3.0796577356200001</v>
      </c>
      <c r="Q48">
        <v>2.3158978001188157</v>
      </c>
      <c r="R48">
        <v>43.178266407815912</v>
      </c>
      <c r="S48">
        <v>0.43749957817867674</v>
      </c>
      <c r="T48">
        <v>2.2857164895176094</v>
      </c>
      <c r="U48">
        <v>1.0132043106569073</v>
      </c>
      <c r="V48">
        <v>39.525114000000002</v>
      </c>
      <c r="W48">
        <v>-107.814288</v>
      </c>
      <c r="X48" t="s">
        <v>21</v>
      </c>
      <c r="Y48" t="s">
        <v>776</v>
      </c>
      <c r="Z48" t="s">
        <v>96</v>
      </c>
      <c r="AA48">
        <v>0.13919999999999999</v>
      </c>
      <c r="AB48" t="s">
        <v>391</v>
      </c>
      <c r="AC48" t="s">
        <v>74</v>
      </c>
      <c r="AD48" t="s">
        <v>29</v>
      </c>
      <c r="AE48" t="s">
        <v>34</v>
      </c>
      <c r="AF48" t="s">
        <v>353</v>
      </c>
      <c r="AH48">
        <v>1</v>
      </c>
    </row>
    <row r="49" spans="1:34" x14ac:dyDescent="0.3">
      <c r="A49" t="s">
        <v>3</v>
      </c>
      <c r="B49" t="s">
        <v>41</v>
      </c>
      <c r="C49">
        <v>2007</v>
      </c>
      <c r="D49">
        <v>5623.5479192981848</v>
      </c>
      <c r="E49">
        <v>6605</v>
      </c>
      <c r="G49">
        <v>24384</v>
      </c>
      <c r="H49" t="s">
        <v>8</v>
      </c>
      <c r="I49">
        <v>63.1</v>
      </c>
      <c r="J49">
        <v>0.25536570000000003</v>
      </c>
      <c r="K49">
        <v>25.535664010200001</v>
      </c>
      <c r="L49">
        <v>4.5408458106260499</v>
      </c>
      <c r="M49">
        <v>22.02154760525076</v>
      </c>
      <c r="N49">
        <v>32.770000000000003</v>
      </c>
      <c r="O49">
        <v>0.13262019000000003</v>
      </c>
      <c r="P49">
        <v>13.262019000000002</v>
      </c>
      <c r="Q49">
        <v>2.3583010566139349</v>
      </c>
      <c r="R49">
        <v>42.403407198392514</v>
      </c>
      <c r="S49">
        <v>0.38806340610368367</v>
      </c>
      <c r="T49">
        <v>2.5768984765670426</v>
      </c>
      <c r="U49">
        <v>0.91517034064751968</v>
      </c>
      <c r="V49">
        <v>37.688524000000001</v>
      </c>
      <c r="W49">
        <v>-105.87646700000001</v>
      </c>
      <c r="X49" t="s">
        <v>21</v>
      </c>
      <c r="Y49" t="s">
        <v>776</v>
      </c>
      <c r="Z49" t="s">
        <v>96</v>
      </c>
      <c r="AA49">
        <v>0.13919999999999999</v>
      </c>
      <c r="AB49" t="s">
        <v>399</v>
      </c>
      <c r="AC49" t="s">
        <v>71</v>
      </c>
      <c r="AD49" t="s">
        <v>29</v>
      </c>
      <c r="AE49" t="s">
        <v>19</v>
      </c>
      <c r="AF49" t="s">
        <v>353</v>
      </c>
      <c r="AH49">
        <v>1</v>
      </c>
    </row>
    <row r="50" spans="1:34" x14ac:dyDescent="0.3">
      <c r="A50" t="s">
        <v>3</v>
      </c>
      <c r="B50" t="s">
        <v>40</v>
      </c>
      <c r="C50">
        <v>2007</v>
      </c>
      <c r="D50">
        <v>510.84462552292371</v>
      </c>
      <c r="E50">
        <v>600</v>
      </c>
      <c r="G50">
        <v>2224</v>
      </c>
      <c r="H50" t="s">
        <v>8</v>
      </c>
      <c r="I50">
        <v>5.949414</v>
      </c>
      <c r="J50">
        <v>2.4077278458000003E-2</v>
      </c>
      <c r="K50">
        <v>2.4076424241137881</v>
      </c>
      <c r="L50">
        <v>4.713062061970831</v>
      </c>
      <c r="M50">
        <v>21.216875753380204</v>
      </c>
      <c r="N50">
        <v>3.089</v>
      </c>
      <c r="O50">
        <v>1.2501183000000001E-2</v>
      </c>
      <c r="P50">
        <v>1.2501183</v>
      </c>
      <c r="Q50">
        <v>2.4471595423370114</v>
      </c>
      <c r="R50">
        <v>40.863702701010276</v>
      </c>
      <c r="S50">
        <v>0.44628667099805092</v>
      </c>
      <c r="T50">
        <v>2.2407122259861696</v>
      </c>
      <c r="U50">
        <v>1.0921346855506986</v>
      </c>
      <c r="V50">
        <v>37.688524000000001</v>
      </c>
      <c r="W50">
        <v>-105.87646700000001</v>
      </c>
      <c r="X50" t="s">
        <v>91</v>
      </c>
      <c r="Y50" t="s">
        <v>90</v>
      </c>
      <c r="Z50" t="s">
        <v>96</v>
      </c>
      <c r="AA50">
        <v>0.13919999999999999</v>
      </c>
      <c r="AB50" t="s">
        <v>399</v>
      </c>
      <c r="AC50" t="s">
        <v>71</v>
      </c>
      <c r="AD50" t="s">
        <v>29</v>
      </c>
      <c r="AE50" t="s">
        <v>19</v>
      </c>
      <c r="AF50" t="s">
        <v>353</v>
      </c>
      <c r="AH50">
        <v>1</v>
      </c>
    </row>
    <row r="51" spans="1:34" x14ac:dyDescent="0.3">
      <c r="A51" t="s">
        <v>35</v>
      </c>
      <c r="B51" t="s">
        <v>636</v>
      </c>
      <c r="C51">
        <v>2013</v>
      </c>
      <c r="D51">
        <v>14473.931056482839</v>
      </c>
      <c r="E51">
        <v>17000</v>
      </c>
      <c r="H51" t="s">
        <v>8</v>
      </c>
      <c r="I51">
        <v>130</v>
      </c>
      <c r="J51">
        <v>0.52611000000000008</v>
      </c>
      <c r="K51">
        <v>52.609133460000002</v>
      </c>
      <c r="L51">
        <v>3.6347508672453221</v>
      </c>
      <c r="M51">
        <v>27.51122589664298</v>
      </c>
      <c r="V51">
        <v>32.841700000000003</v>
      </c>
      <c r="W51">
        <v>-113.4362</v>
      </c>
      <c r="X51" t="s">
        <v>21</v>
      </c>
      <c r="AA51">
        <v>0.14000000000000001</v>
      </c>
      <c r="AB51" t="s">
        <v>399</v>
      </c>
      <c r="AC51" t="s">
        <v>640</v>
      </c>
      <c r="AD51" t="s">
        <v>109</v>
      </c>
      <c r="AE51" t="s">
        <v>645</v>
      </c>
      <c r="AF51" t="s">
        <v>380</v>
      </c>
      <c r="AH51">
        <v>1</v>
      </c>
    </row>
    <row r="52" spans="1:34" x14ac:dyDescent="0.3">
      <c r="A52" t="s">
        <v>160</v>
      </c>
      <c r="B52" t="s">
        <v>467</v>
      </c>
      <c r="C52">
        <v>2010</v>
      </c>
      <c r="D52">
        <v>986.78153496844766</v>
      </c>
      <c r="E52">
        <v>1159</v>
      </c>
      <c r="G52">
        <v>5367</v>
      </c>
      <c r="H52" t="s">
        <v>8</v>
      </c>
      <c r="I52">
        <v>9.5</v>
      </c>
      <c r="J52">
        <v>3.8446500000000002E-2</v>
      </c>
      <c r="K52">
        <v>3.8445135989999999</v>
      </c>
      <c r="L52">
        <v>3.8960129094054525</v>
      </c>
      <c r="M52">
        <v>25.666355454162215</v>
      </c>
      <c r="N52">
        <v>9</v>
      </c>
      <c r="O52">
        <v>3.6423000000000004E-2</v>
      </c>
      <c r="P52">
        <v>3.6423000000000001</v>
      </c>
      <c r="Q52">
        <v>3.6910905513817327</v>
      </c>
      <c r="R52">
        <v>27.09226409050456</v>
      </c>
      <c r="V52">
        <v>36.942748999999999</v>
      </c>
      <c r="W52">
        <v>-120.158908</v>
      </c>
      <c r="X52" t="s">
        <v>139</v>
      </c>
      <c r="Z52" t="s">
        <v>95</v>
      </c>
      <c r="AA52">
        <v>0.14000000000000001</v>
      </c>
      <c r="AB52" t="s">
        <v>399</v>
      </c>
      <c r="AC52" t="s">
        <v>468</v>
      </c>
      <c r="AD52" t="s">
        <v>29</v>
      </c>
      <c r="AE52" t="s">
        <v>157</v>
      </c>
      <c r="AF52" t="s">
        <v>385</v>
      </c>
      <c r="AH52">
        <v>1</v>
      </c>
    </row>
    <row r="53" spans="1:34" x14ac:dyDescent="0.3">
      <c r="A53" t="s">
        <v>47</v>
      </c>
      <c r="B53" t="s">
        <v>471</v>
      </c>
      <c r="C53">
        <v>2011</v>
      </c>
      <c r="D53">
        <v>1021.6892510458474</v>
      </c>
      <c r="E53">
        <v>1200</v>
      </c>
      <c r="F53">
        <v>5</v>
      </c>
      <c r="G53">
        <v>5000</v>
      </c>
      <c r="H53" t="s">
        <v>472</v>
      </c>
      <c r="I53">
        <v>6</v>
      </c>
      <c r="J53">
        <v>2.4282000000000001E-2</v>
      </c>
      <c r="K53">
        <v>2.4281138520000001</v>
      </c>
      <c r="L53">
        <v>2.3765678747373258</v>
      </c>
      <c r="M53">
        <v>42.075992547806912</v>
      </c>
      <c r="N53" t="s">
        <v>598</v>
      </c>
      <c r="V53">
        <v>36.477252999999997</v>
      </c>
      <c r="W53">
        <v>-80.599850000000004</v>
      </c>
      <c r="X53" t="s">
        <v>91</v>
      </c>
      <c r="AA53">
        <v>0.14000000000000001</v>
      </c>
      <c r="AB53" t="s">
        <v>399</v>
      </c>
      <c r="AC53" t="s">
        <v>469</v>
      </c>
      <c r="AD53" t="s">
        <v>470</v>
      </c>
      <c r="AE53" t="s">
        <v>157</v>
      </c>
      <c r="AF53" t="s">
        <v>385</v>
      </c>
      <c r="AH53">
        <v>1</v>
      </c>
    </row>
    <row r="54" spans="1:34" x14ac:dyDescent="0.3">
      <c r="A54" t="s">
        <v>35</v>
      </c>
      <c r="B54" t="s">
        <v>634</v>
      </c>
      <c r="C54">
        <v>2012</v>
      </c>
      <c r="D54">
        <v>20000</v>
      </c>
      <c r="E54">
        <v>23490.50846471421</v>
      </c>
      <c r="H54" t="s">
        <v>8</v>
      </c>
      <c r="I54">
        <v>160</v>
      </c>
      <c r="J54">
        <v>0.6475200000000001</v>
      </c>
      <c r="K54">
        <v>64.751999999999995</v>
      </c>
      <c r="L54">
        <v>3.2375999999999996</v>
      </c>
      <c r="M54">
        <v>30.88707684704719</v>
      </c>
      <c r="N54">
        <v>140</v>
      </c>
      <c r="O54">
        <v>0.56658000000000008</v>
      </c>
      <c r="P54">
        <v>56.658000000000001</v>
      </c>
      <c r="Q54">
        <v>2.8329</v>
      </c>
      <c r="R54">
        <v>35.299516396625364</v>
      </c>
      <c r="V54">
        <v>34.72484</v>
      </c>
      <c r="W54">
        <v>-112.43303</v>
      </c>
      <c r="X54" t="s">
        <v>21</v>
      </c>
      <c r="AA54">
        <v>0.14000000000000001</v>
      </c>
      <c r="AB54" t="s">
        <v>399</v>
      </c>
      <c r="AC54" t="s">
        <v>640</v>
      </c>
      <c r="AD54" t="s">
        <v>417</v>
      </c>
      <c r="AE54" t="s">
        <v>641</v>
      </c>
      <c r="AF54" t="s">
        <v>647</v>
      </c>
      <c r="AH54">
        <v>1</v>
      </c>
    </row>
    <row r="55" spans="1:34" x14ac:dyDescent="0.3">
      <c r="A55" t="s">
        <v>171</v>
      </c>
      <c r="B55" t="s">
        <v>482</v>
      </c>
      <c r="C55">
        <v>2011</v>
      </c>
      <c r="D55">
        <v>18000</v>
      </c>
      <c r="E55">
        <v>20000</v>
      </c>
      <c r="F55">
        <v>90</v>
      </c>
      <c r="G55">
        <v>71400</v>
      </c>
      <c r="H55" t="s">
        <v>484</v>
      </c>
      <c r="I55">
        <v>134</v>
      </c>
      <c r="J55">
        <v>0.54229800000000006</v>
      </c>
      <c r="K55">
        <v>54.229799999999997</v>
      </c>
      <c r="L55">
        <v>3.0127666666666664</v>
      </c>
      <c r="M55">
        <v>33.19208258190146</v>
      </c>
      <c r="N55">
        <v>76.8</v>
      </c>
      <c r="O55">
        <v>0.31080960000000002</v>
      </c>
      <c r="P55">
        <v>31.080959999999997</v>
      </c>
      <c r="Q55">
        <v>1.7267199999999998</v>
      </c>
      <c r="R55">
        <v>57.91326908821349</v>
      </c>
      <c r="V55">
        <v>39.614260000000002</v>
      </c>
      <c r="W55">
        <v>-75.309809000000001</v>
      </c>
      <c r="X55" t="s">
        <v>91</v>
      </c>
      <c r="AA55">
        <v>0.14000000000000001</v>
      </c>
      <c r="AB55" t="s">
        <v>399</v>
      </c>
      <c r="AC55" t="s">
        <v>483</v>
      </c>
      <c r="AD55" t="s">
        <v>29</v>
      </c>
      <c r="AE55" t="s">
        <v>157</v>
      </c>
      <c r="AF55" t="s">
        <v>385</v>
      </c>
      <c r="AH55">
        <v>1</v>
      </c>
    </row>
    <row r="56" spans="1:34" x14ac:dyDescent="0.3">
      <c r="A56" t="s">
        <v>171</v>
      </c>
      <c r="B56" t="s">
        <v>434</v>
      </c>
      <c r="C56">
        <v>2010</v>
      </c>
      <c r="D56">
        <v>1787.956189330233</v>
      </c>
      <c r="E56">
        <v>2100</v>
      </c>
      <c r="G56">
        <v>8800</v>
      </c>
      <c r="H56" t="s">
        <v>438</v>
      </c>
      <c r="I56">
        <v>8</v>
      </c>
      <c r="J56">
        <v>3.2376000000000002E-2</v>
      </c>
      <c r="K56">
        <v>3.2374851360000001</v>
      </c>
      <c r="L56">
        <v>1.8107183807522484</v>
      </c>
      <c r="M56">
        <v>55.224740218996565</v>
      </c>
      <c r="N56">
        <v>5.7</v>
      </c>
      <c r="O56">
        <v>2.3067900000000002E-2</v>
      </c>
      <c r="P56">
        <v>2.3067899999999999</v>
      </c>
      <c r="Q56">
        <v>1.2901826195551926</v>
      </c>
      <c r="R56">
        <v>77.508407324907452</v>
      </c>
      <c r="V56">
        <v>40.494008000000001</v>
      </c>
      <c r="W56">
        <v>-74.398899</v>
      </c>
      <c r="X56" t="s">
        <v>91</v>
      </c>
      <c r="Z56" t="s">
        <v>95</v>
      </c>
      <c r="AA56">
        <v>0.14069999999999999</v>
      </c>
      <c r="AB56" t="s">
        <v>399</v>
      </c>
      <c r="AC56" t="s">
        <v>439</v>
      </c>
      <c r="AD56" t="s">
        <v>29</v>
      </c>
      <c r="AE56" t="s">
        <v>433</v>
      </c>
      <c r="AF56" t="s">
        <v>7</v>
      </c>
      <c r="AH56">
        <v>1</v>
      </c>
    </row>
    <row r="57" spans="1:34" x14ac:dyDescent="0.3">
      <c r="A57" t="s">
        <v>26</v>
      </c>
      <c r="B57" t="s">
        <v>515</v>
      </c>
      <c r="C57">
        <v>2011</v>
      </c>
      <c r="D57">
        <v>5762.3273758985797</v>
      </c>
      <c r="E57">
        <v>6768</v>
      </c>
      <c r="F57">
        <v>18</v>
      </c>
      <c r="G57">
        <v>29428</v>
      </c>
      <c r="H57" t="s">
        <v>516</v>
      </c>
      <c r="I57">
        <v>32</v>
      </c>
      <c r="J57">
        <v>0.12950400000000001</v>
      </c>
      <c r="K57">
        <v>12.949940544</v>
      </c>
      <c r="L57">
        <v>2.2473455080258402</v>
      </c>
      <c r="M57">
        <v>44.49536211930581</v>
      </c>
      <c r="N57">
        <v>26.7</v>
      </c>
      <c r="O57">
        <v>0.10805490000000001</v>
      </c>
      <c r="P57">
        <v>10.805490000000001</v>
      </c>
      <c r="Q57">
        <v>1.8751954366901946</v>
      </c>
      <c r="R57">
        <v>53.327774824636172</v>
      </c>
      <c r="V57">
        <v>36.028709999999997</v>
      </c>
      <c r="W57">
        <v>-119.07588</v>
      </c>
      <c r="X57" t="s">
        <v>91</v>
      </c>
      <c r="Y57" t="s">
        <v>518</v>
      </c>
      <c r="AA57">
        <v>0.14099999999999999</v>
      </c>
      <c r="AB57" t="s">
        <v>399</v>
      </c>
      <c r="AC57" t="s">
        <v>517</v>
      </c>
      <c r="AD57" t="s">
        <v>29</v>
      </c>
      <c r="AE57" t="s">
        <v>157</v>
      </c>
      <c r="AF57" t="s">
        <v>380</v>
      </c>
      <c r="AH57">
        <v>1</v>
      </c>
    </row>
    <row r="58" spans="1:34" x14ac:dyDescent="0.3">
      <c r="A58" t="s">
        <v>148</v>
      </c>
      <c r="B58" t="s">
        <v>566</v>
      </c>
      <c r="C58">
        <v>2012</v>
      </c>
      <c r="D58">
        <v>34056.308368194914</v>
      </c>
      <c r="E58">
        <v>40000</v>
      </c>
      <c r="F58">
        <v>200</v>
      </c>
      <c r="G58">
        <v>174000</v>
      </c>
      <c r="H58" t="s">
        <v>567</v>
      </c>
      <c r="I58">
        <v>140</v>
      </c>
      <c r="J58">
        <v>0.56658000000000008</v>
      </c>
      <c r="K58">
        <v>56.658000000000001</v>
      </c>
      <c r="L58">
        <v>1.6636565357422222</v>
      </c>
      <c r="M58">
        <v>60.108560782581293</v>
      </c>
      <c r="V58">
        <v>28.837299999999999</v>
      </c>
      <c r="W58">
        <v>-81.561999999999998</v>
      </c>
      <c r="X58" t="s">
        <v>91</v>
      </c>
      <c r="AA58">
        <v>0.14099999999999999</v>
      </c>
      <c r="AB58" t="s">
        <v>391</v>
      </c>
      <c r="AC58" t="s">
        <v>569</v>
      </c>
      <c r="AD58" t="s">
        <v>342</v>
      </c>
      <c r="AE58" t="s">
        <v>475</v>
      </c>
      <c r="AF58" t="s">
        <v>385</v>
      </c>
      <c r="AG58">
        <v>1</v>
      </c>
      <c r="AH58">
        <v>1</v>
      </c>
    </row>
    <row r="59" spans="1:34" x14ac:dyDescent="0.3">
      <c r="A59" t="s">
        <v>26</v>
      </c>
      <c r="B59" t="s">
        <v>50</v>
      </c>
      <c r="C59">
        <v>2006</v>
      </c>
      <c r="D59">
        <v>999.91600000000005</v>
      </c>
      <c r="E59">
        <v>1160.0999999999999</v>
      </c>
      <c r="G59">
        <v>6816</v>
      </c>
      <c r="H59" t="s">
        <v>8</v>
      </c>
      <c r="I59">
        <v>7.26</v>
      </c>
      <c r="J59">
        <v>2.938122E-2</v>
      </c>
      <c r="K59">
        <v>2.9380177609200002</v>
      </c>
      <c r="L59">
        <v>2.9382645751443124</v>
      </c>
      <c r="M59">
        <v>34.032487418834208</v>
      </c>
      <c r="N59">
        <v>4.1509999999999998</v>
      </c>
      <c r="O59">
        <v>1.6799096999999999E-2</v>
      </c>
      <c r="P59">
        <v>1.6799096999999998</v>
      </c>
      <c r="Q59">
        <v>1.6800508242692385</v>
      </c>
      <c r="R59">
        <v>59.522008831784241</v>
      </c>
      <c r="S59">
        <v>0.44827706048968663</v>
      </c>
      <c r="T59">
        <v>2.230763267046556</v>
      </c>
      <c r="U59">
        <v>0.75312824497668929</v>
      </c>
      <c r="V59">
        <v>33.564914000000002</v>
      </c>
      <c r="W59">
        <v>-114.904048</v>
      </c>
      <c r="X59" t="s">
        <v>91</v>
      </c>
      <c r="Y59" t="s">
        <v>87</v>
      </c>
      <c r="Z59" t="s">
        <v>96</v>
      </c>
      <c r="AA59">
        <v>0.14180000000000001</v>
      </c>
      <c r="AB59" t="s">
        <v>399</v>
      </c>
      <c r="AC59" t="s">
        <v>83</v>
      </c>
      <c r="AD59" t="s">
        <v>29</v>
      </c>
      <c r="AE59" t="s">
        <v>51</v>
      </c>
      <c r="AF59" t="s">
        <v>353</v>
      </c>
      <c r="AH59">
        <v>1</v>
      </c>
    </row>
    <row r="60" spans="1:34" x14ac:dyDescent="0.3">
      <c r="A60" t="s">
        <v>3</v>
      </c>
      <c r="B60" t="s">
        <v>23</v>
      </c>
      <c r="C60">
        <v>2010</v>
      </c>
      <c r="D60">
        <v>953.57663430945763</v>
      </c>
      <c r="E60">
        <v>1120</v>
      </c>
      <c r="F60">
        <v>7.3</v>
      </c>
      <c r="G60">
        <v>5040</v>
      </c>
      <c r="H60" t="s">
        <v>25</v>
      </c>
      <c r="I60">
        <v>3.8</v>
      </c>
      <c r="J60">
        <v>1.5378600000000001E-2</v>
      </c>
      <c r="K60">
        <v>1.5378054396</v>
      </c>
      <c r="L60">
        <v>1.6126710578574712</v>
      </c>
      <c r="M60">
        <v>62.006725859925972</v>
      </c>
      <c r="N60">
        <v>3.2</v>
      </c>
      <c r="O60">
        <v>1.2950400000000001E-2</v>
      </c>
      <c r="P60">
        <v>1.2950400000000002</v>
      </c>
      <c r="Q60">
        <v>1.3580869679528345</v>
      </c>
      <c r="R60">
        <v>73.632986958662087</v>
      </c>
      <c r="S60">
        <v>0.31015609944112549</v>
      </c>
      <c r="T60">
        <v>3.224182925313781</v>
      </c>
      <c r="U60">
        <v>0.42121895668207593</v>
      </c>
      <c r="V60">
        <v>39.700001999999998</v>
      </c>
      <c r="W60">
        <v>-104.757407</v>
      </c>
      <c r="X60" t="s">
        <v>91</v>
      </c>
      <c r="Y60" t="s">
        <v>89</v>
      </c>
      <c r="Z60" t="s">
        <v>96</v>
      </c>
      <c r="AA60">
        <v>0.1419</v>
      </c>
      <c r="AB60" t="s">
        <v>391</v>
      </c>
      <c r="AC60" t="s">
        <v>82</v>
      </c>
      <c r="AD60" t="s">
        <v>29</v>
      </c>
      <c r="AE60" t="s">
        <v>19</v>
      </c>
      <c r="AF60" t="s">
        <v>353</v>
      </c>
      <c r="AH60">
        <v>1</v>
      </c>
    </row>
    <row r="61" spans="1:34" x14ac:dyDescent="0.3">
      <c r="A61" t="s">
        <v>26</v>
      </c>
      <c r="B61" t="s">
        <v>513</v>
      </c>
      <c r="C61">
        <v>2011</v>
      </c>
      <c r="D61">
        <v>1200</v>
      </c>
      <c r="E61">
        <v>1400</v>
      </c>
      <c r="G61">
        <v>6300</v>
      </c>
      <c r="H61" t="s">
        <v>514</v>
      </c>
      <c r="I61">
        <v>8.19</v>
      </c>
      <c r="J61">
        <v>3.3144930000000003E-2</v>
      </c>
      <c r="K61">
        <v>3.3143754079800001</v>
      </c>
      <c r="L61">
        <v>2.7619795066500004</v>
      </c>
      <c r="M61">
        <v>36.204632201667039</v>
      </c>
      <c r="N61">
        <v>4.7846000000000002</v>
      </c>
      <c r="O61">
        <v>1.9363276200000001E-2</v>
      </c>
      <c r="P61">
        <v>1.9363276200000001</v>
      </c>
      <c r="Q61">
        <v>1.6136063500000002</v>
      </c>
      <c r="R61">
        <v>61.972983683411996</v>
      </c>
      <c r="V61">
        <v>33.234802000000002</v>
      </c>
      <c r="W61">
        <v>-117.38078400000001</v>
      </c>
      <c r="X61" t="s">
        <v>203</v>
      </c>
      <c r="AA61">
        <v>0.14199999999999999</v>
      </c>
      <c r="AB61" t="s">
        <v>399</v>
      </c>
      <c r="AC61" t="s">
        <v>512</v>
      </c>
      <c r="AD61" t="s">
        <v>29</v>
      </c>
      <c r="AE61" t="s">
        <v>157</v>
      </c>
      <c r="AF61" t="s">
        <v>380</v>
      </c>
      <c r="AH61">
        <v>1</v>
      </c>
    </row>
    <row r="62" spans="1:34" x14ac:dyDescent="0.3">
      <c r="A62" t="s">
        <v>3</v>
      </c>
      <c r="B62" t="s">
        <v>42</v>
      </c>
      <c r="C62">
        <v>2007</v>
      </c>
      <c r="D62">
        <v>882.90979444545314</v>
      </c>
      <c r="E62">
        <v>1037</v>
      </c>
      <c r="G62">
        <v>72</v>
      </c>
      <c r="H62" t="s">
        <v>8</v>
      </c>
      <c r="I62">
        <v>11.920014</v>
      </c>
      <c r="J62">
        <v>4.8240296658000004E-2</v>
      </c>
      <c r="K62">
        <v>4.8238585182389881</v>
      </c>
      <c r="L62">
        <v>5.463591579328674</v>
      </c>
      <c r="M62">
        <v>18.302329289242348</v>
      </c>
      <c r="N62">
        <v>6.1890000000000001</v>
      </c>
      <c r="O62">
        <v>2.5046883000000002E-2</v>
      </c>
      <c r="P62">
        <v>2.5046883000000002</v>
      </c>
      <c r="Q62">
        <v>2.8368563988727411</v>
      </c>
      <c r="R62">
        <v>35.250286211080756</v>
      </c>
      <c r="S62">
        <v>0.29180417686556404</v>
      </c>
      <c r="T62">
        <v>3.4269557438881559</v>
      </c>
      <c r="U62">
        <v>0.82780654635886841</v>
      </c>
      <c r="V62">
        <v>37.688524000000001</v>
      </c>
      <c r="W62">
        <v>-105.87646700000001</v>
      </c>
      <c r="X62" t="s">
        <v>139</v>
      </c>
      <c r="Z62" t="s">
        <v>96</v>
      </c>
      <c r="AA62">
        <v>0.14280000000000001</v>
      </c>
      <c r="AB62" t="s">
        <v>391</v>
      </c>
      <c r="AC62" t="s">
        <v>72</v>
      </c>
      <c r="AD62" t="s">
        <v>29</v>
      </c>
      <c r="AE62" t="s">
        <v>19</v>
      </c>
      <c r="AF62" t="s">
        <v>353</v>
      </c>
      <c r="AH62">
        <v>1</v>
      </c>
    </row>
    <row r="63" spans="1:34" x14ac:dyDescent="0.3">
      <c r="A63" t="s">
        <v>35</v>
      </c>
      <c r="B63" t="s">
        <v>592</v>
      </c>
      <c r="C63">
        <v>2012</v>
      </c>
      <c r="D63">
        <v>8514.0770920487284</v>
      </c>
      <c r="E63">
        <v>10000</v>
      </c>
      <c r="G63">
        <v>40000</v>
      </c>
      <c r="H63" t="s">
        <v>593</v>
      </c>
      <c r="I63">
        <v>60</v>
      </c>
      <c r="J63">
        <v>0.24282000000000001</v>
      </c>
      <c r="K63">
        <v>24.281138519999999</v>
      </c>
      <c r="L63">
        <v>2.8518814496847913</v>
      </c>
      <c r="M63">
        <v>35.063327123172421</v>
      </c>
      <c r="N63" t="s">
        <v>598</v>
      </c>
      <c r="V63">
        <v>35.177590000000002</v>
      </c>
      <c r="W63">
        <v>-113.97976</v>
      </c>
      <c r="X63" t="s">
        <v>21</v>
      </c>
      <c r="AA63">
        <v>0.14299999999999999</v>
      </c>
      <c r="AB63" t="s">
        <v>399</v>
      </c>
      <c r="AC63" t="s">
        <v>593</v>
      </c>
      <c r="AD63" t="s">
        <v>109</v>
      </c>
      <c r="AH63">
        <v>1</v>
      </c>
    </row>
    <row r="64" spans="1:34" x14ac:dyDescent="0.3">
      <c r="A64" t="s">
        <v>171</v>
      </c>
      <c r="B64" t="s">
        <v>435</v>
      </c>
      <c r="C64">
        <v>2010</v>
      </c>
      <c r="D64">
        <v>3746.1939205014405</v>
      </c>
      <c r="E64">
        <v>4400</v>
      </c>
      <c r="G64">
        <v>15750</v>
      </c>
      <c r="H64" t="s">
        <v>438</v>
      </c>
      <c r="I64">
        <v>15.7</v>
      </c>
      <c r="J64">
        <v>6.3537899999999994E-2</v>
      </c>
      <c r="K64">
        <v>6.3535645793999995</v>
      </c>
      <c r="L64">
        <v>1.696005256062546</v>
      </c>
      <c r="M64">
        <v>58.959989557436444</v>
      </c>
      <c r="N64">
        <v>14.1</v>
      </c>
      <c r="O64">
        <v>5.7062700000000001E-2</v>
      </c>
      <c r="P64">
        <v>5.7060675522000004</v>
      </c>
      <c r="Q64">
        <v>1.5231639560816499</v>
      </c>
      <c r="R64">
        <v>65.6504848263654</v>
      </c>
      <c r="V64">
        <v>40.168641999999998</v>
      </c>
      <c r="W64">
        <v>-74.657978999999997</v>
      </c>
      <c r="X64" t="s">
        <v>21</v>
      </c>
      <c r="Z64" t="s">
        <v>95</v>
      </c>
      <c r="AA64">
        <v>0.14399999999999999</v>
      </c>
      <c r="AB64" t="s">
        <v>399</v>
      </c>
      <c r="AC64" t="s">
        <v>440</v>
      </c>
      <c r="AD64" t="s">
        <v>29</v>
      </c>
      <c r="AE64" t="s">
        <v>433</v>
      </c>
      <c r="AF64" t="s">
        <v>7</v>
      </c>
      <c r="AH64">
        <v>1</v>
      </c>
    </row>
    <row r="65" spans="1:34" x14ac:dyDescent="0.3">
      <c r="A65" t="s">
        <v>26</v>
      </c>
      <c r="B65" t="s">
        <v>502</v>
      </c>
      <c r="C65">
        <v>2008</v>
      </c>
      <c r="D65">
        <v>863.32741713374105</v>
      </c>
      <c r="E65">
        <v>1014</v>
      </c>
      <c r="F65">
        <v>8.3000000000000007</v>
      </c>
      <c r="G65">
        <v>4984</v>
      </c>
      <c r="H65" t="s">
        <v>503</v>
      </c>
      <c r="I65">
        <v>10</v>
      </c>
      <c r="J65">
        <v>4.0470000000000006E-2</v>
      </c>
      <c r="K65">
        <v>4.0468564200000001</v>
      </c>
      <c r="L65">
        <v>4.6875106010598149</v>
      </c>
      <c r="M65">
        <v>21.332528221738102</v>
      </c>
      <c r="N65">
        <v>5.9</v>
      </c>
      <c r="O65">
        <v>2.3877300000000004E-2</v>
      </c>
      <c r="P65">
        <v>2.3877300000000004</v>
      </c>
      <c r="Q65">
        <v>2.7657293775370841</v>
      </c>
      <c r="R65">
        <v>36.156827494471358</v>
      </c>
      <c r="V65">
        <v>37.966814999999997</v>
      </c>
      <c r="W65">
        <v>-122.379823</v>
      </c>
      <c r="X65" t="s">
        <v>139</v>
      </c>
      <c r="Y65" t="s">
        <v>504</v>
      </c>
      <c r="Z65" t="s">
        <v>371</v>
      </c>
      <c r="AA65">
        <v>0.14399999999999999</v>
      </c>
      <c r="AB65" t="s">
        <v>399</v>
      </c>
      <c r="AC65" t="s">
        <v>505</v>
      </c>
      <c r="AD65" t="s">
        <v>29</v>
      </c>
      <c r="AE65" t="s">
        <v>506</v>
      </c>
      <c r="AF65" t="s">
        <v>385</v>
      </c>
      <c r="AH65">
        <v>1</v>
      </c>
    </row>
    <row r="66" spans="1:34" x14ac:dyDescent="0.3">
      <c r="A66" t="s">
        <v>47</v>
      </c>
      <c r="B66" t="s">
        <v>498</v>
      </c>
      <c r="C66">
        <v>2011</v>
      </c>
      <c r="D66">
        <v>1111.0870605123591</v>
      </c>
      <c r="E66">
        <v>1305</v>
      </c>
      <c r="F66">
        <v>4.3</v>
      </c>
      <c r="G66">
        <v>4600</v>
      </c>
      <c r="H66" t="s">
        <v>499</v>
      </c>
      <c r="I66">
        <v>10</v>
      </c>
      <c r="J66">
        <v>4.0470000000000006E-2</v>
      </c>
      <c r="K66">
        <v>4.0468564200000001</v>
      </c>
      <c r="L66">
        <v>3.6422496164556724</v>
      </c>
      <c r="M66">
        <v>27.454585137444006</v>
      </c>
      <c r="N66" t="s">
        <v>598</v>
      </c>
      <c r="V66">
        <v>35.720629000000002</v>
      </c>
      <c r="W66">
        <v>-78.486500000000007</v>
      </c>
      <c r="X66" t="s">
        <v>91</v>
      </c>
      <c r="AA66">
        <v>0.14399999999999999</v>
      </c>
      <c r="AB66" t="s">
        <v>399</v>
      </c>
      <c r="AC66" t="s">
        <v>500</v>
      </c>
      <c r="AD66" t="s">
        <v>29</v>
      </c>
      <c r="AE66" t="s">
        <v>157</v>
      </c>
      <c r="AF66" t="s">
        <v>385</v>
      </c>
      <c r="AH66">
        <v>1</v>
      </c>
    </row>
    <row r="67" spans="1:34" x14ac:dyDescent="0.3">
      <c r="A67" t="s">
        <v>491</v>
      </c>
      <c r="B67" t="s">
        <v>488</v>
      </c>
      <c r="C67">
        <v>2010</v>
      </c>
      <c r="D67">
        <v>1575.1042620290148</v>
      </c>
      <c r="E67">
        <v>1850</v>
      </c>
      <c r="F67">
        <v>9.5</v>
      </c>
      <c r="G67">
        <v>6534</v>
      </c>
      <c r="H67" t="s">
        <v>489</v>
      </c>
      <c r="I67">
        <v>9.25</v>
      </c>
      <c r="J67">
        <v>3.7434750000000003E-2</v>
      </c>
      <c r="K67">
        <v>3.7433421885000002</v>
      </c>
      <c r="L67">
        <v>2.3765678747373262</v>
      </c>
      <c r="M67">
        <v>42.075992547806905</v>
      </c>
      <c r="N67">
        <v>6.2</v>
      </c>
      <c r="O67">
        <v>2.5091400000000003E-2</v>
      </c>
      <c r="P67">
        <v>2.5091399999999999</v>
      </c>
      <c r="Q67">
        <v>1.5929993083554868</v>
      </c>
      <c r="R67">
        <v>62.774666301163528</v>
      </c>
      <c r="V67">
        <v>42.452694000000001</v>
      </c>
      <c r="W67">
        <v>-73.240791000000002</v>
      </c>
      <c r="X67" t="s">
        <v>91</v>
      </c>
      <c r="Z67" t="s">
        <v>95</v>
      </c>
      <c r="AA67">
        <v>0.14399999999999999</v>
      </c>
      <c r="AB67" t="s">
        <v>399</v>
      </c>
      <c r="AC67" t="s">
        <v>492</v>
      </c>
      <c r="AD67" t="s">
        <v>29</v>
      </c>
      <c r="AE67" t="s">
        <v>493</v>
      </c>
      <c r="AF67" t="s">
        <v>494</v>
      </c>
      <c r="AH67">
        <v>1</v>
      </c>
    </row>
    <row r="68" spans="1:34" x14ac:dyDescent="0.3">
      <c r="A68" t="s">
        <v>171</v>
      </c>
      <c r="B68" t="s">
        <v>577</v>
      </c>
      <c r="C68">
        <v>2011</v>
      </c>
      <c r="D68">
        <v>10000</v>
      </c>
      <c r="E68">
        <v>12502</v>
      </c>
      <c r="F68">
        <v>41</v>
      </c>
      <c r="G68">
        <v>53200</v>
      </c>
      <c r="H68" t="s">
        <v>576</v>
      </c>
      <c r="I68">
        <v>98</v>
      </c>
      <c r="J68">
        <v>0.39660600000000001</v>
      </c>
      <c r="K68">
        <v>39.659192916000002</v>
      </c>
      <c r="L68">
        <v>3.9659192916000001</v>
      </c>
      <c r="M68">
        <v>25.213940283303831</v>
      </c>
      <c r="N68">
        <v>78</v>
      </c>
      <c r="O68">
        <v>0.315666</v>
      </c>
      <c r="P68">
        <v>31.566600000000001</v>
      </c>
      <c r="Q68">
        <v>3.15666</v>
      </c>
      <c r="R68">
        <v>31.679053176458662</v>
      </c>
      <c r="V68">
        <v>39.380499999999998</v>
      </c>
      <c r="W68">
        <v>-75.188900000000004</v>
      </c>
      <c r="X68" t="s">
        <v>91</v>
      </c>
      <c r="Y68" t="s">
        <v>579</v>
      </c>
      <c r="AA68">
        <v>0.14399999999999999</v>
      </c>
      <c r="AB68" t="s">
        <v>399</v>
      </c>
      <c r="AC68" t="s">
        <v>578</v>
      </c>
      <c r="AD68" t="s">
        <v>29</v>
      </c>
      <c r="AE68" t="s">
        <v>157</v>
      </c>
      <c r="AF68" t="s">
        <v>380</v>
      </c>
      <c r="AH68">
        <v>1</v>
      </c>
    </row>
    <row r="69" spans="1:34" x14ac:dyDescent="0.3">
      <c r="A69" t="s">
        <v>26</v>
      </c>
      <c r="B69" t="s">
        <v>628</v>
      </c>
      <c r="C69">
        <v>2013</v>
      </c>
      <c r="D69">
        <v>6811.2616736389828</v>
      </c>
      <c r="E69">
        <v>8000</v>
      </c>
      <c r="G69">
        <v>33880</v>
      </c>
      <c r="H69" t="s">
        <v>629</v>
      </c>
      <c r="I69">
        <v>36.5</v>
      </c>
      <c r="J69">
        <v>0.1477155</v>
      </c>
      <c r="K69">
        <v>14.771025933000001</v>
      </c>
      <c r="L69">
        <v>2.16861818569781</v>
      </c>
      <c r="M69">
        <v>46.110676764719905</v>
      </c>
      <c r="V69">
        <v>33.885300000000001</v>
      </c>
      <c r="W69">
        <v>-116.5189</v>
      </c>
      <c r="X69" t="s">
        <v>21</v>
      </c>
      <c r="AA69">
        <v>0.14400000000000002</v>
      </c>
      <c r="AC69" t="s">
        <v>630</v>
      </c>
      <c r="AD69" t="s">
        <v>109</v>
      </c>
      <c r="AE69" t="s">
        <v>611</v>
      </c>
      <c r="AF69" t="s">
        <v>380</v>
      </c>
      <c r="AH69">
        <v>1</v>
      </c>
    </row>
    <row r="70" spans="1:34" x14ac:dyDescent="0.3">
      <c r="A70" t="s">
        <v>476</v>
      </c>
      <c r="B70" t="s">
        <v>477</v>
      </c>
      <c r="C70">
        <v>2009</v>
      </c>
      <c r="D70">
        <v>1004.6610968617499</v>
      </c>
      <c r="E70">
        <v>1180</v>
      </c>
      <c r="F70">
        <v>7</v>
      </c>
      <c r="G70">
        <v>4200</v>
      </c>
      <c r="H70" t="s">
        <v>478</v>
      </c>
      <c r="I70">
        <v>4</v>
      </c>
      <c r="J70">
        <v>1.6188000000000001E-2</v>
      </c>
      <c r="K70">
        <v>1.618742568</v>
      </c>
      <c r="L70">
        <v>1.6112324574490346</v>
      </c>
      <c r="M70">
        <v>62.062089008015192</v>
      </c>
      <c r="N70">
        <v>2.7</v>
      </c>
      <c r="O70">
        <v>1.0926900000000002E-2</v>
      </c>
      <c r="P70">
        <v>1.0926900000000002</v>
      </c>
      <c r="Q70">
        <v>1.0876204955215496</v>
      </c>
      <c r="R70">
        <v>91.9438355674299</v>
      </c>
      <c r="V70">
        <v>21.316091</v>
      </c>
      <c r="W70">
        <v>-158.10544400000001</v>
      </c>
      <c r="X70" t="s">
        <v>91</v>
      </c>
      <c r="AA70">
        <v>0.14430000000000001</v>
      </c>
      <c r="AB70" t="s">
        <v>399</v>
      </c>
      <c r="AC70" t="s">
        <v>479</v>
      </c>
      <c r="AD70" t="s">
        <v>29</v>
      </c>
      <c r="AE70" t="s">
        <v>157</v>
      </c>
      <c r="AF70" t="s">
        <v>380</v>
      </c>
      <c r="AH70">
        <v>1</v>
      </c>
    </row>
    <row r="71" spans="1:34" x14ac:dyDescent="0.3">
      <c r="A71" t="s">
        <v>491</v>
      </c>
      <c r="B71" t="s">
        <v>523</v>
      </c>
      <c r="C71">
        <v>2011</v>
      </c>
      <c r="D71">
        <v>1702.8154184097457</v>
      </c>
      <c r="E71">
        <v>2000</v>
      </c>
      <c r="G71">
        <v>8332</v>
      </c>
      <c r="H71" t="s">
        <v>524</v>
      </c>
      <c r="I71">
        <v>9.17</v>
      </c>
      <c r="J71">
        <v>3.7110990000000003E-2</v>
      </c>
      <c r="K71">
        <v>3.71096733714</v>
      </c>
      <c r="L71">
        <v>2.1793127411341282</v>
      </c>
      <c r="M71">
        <v>45.884397543955188</v>
      </c>
      <c r="N71">
        <v>8</v>
      </c>
      <c r="O71">
        <v>3.2376000000000002E-2</v>
      </c>
      <c r="P71">
        <v>3.2376</v>
      </c>
      <c r="Q71">
        <v>1.9013217551339681</v>
      </c>
      <c r="R71">
        <v>52.594990684758635</v>
      </c>
      <c r="V71">
        <v>42.114750000000001</v>
      </c>
      <c r="W71">
        <v>-73.405109999999993</v>
      </c>
      <c r="X71" t="s">
        <v>91</v>
      </c>
      <c r="Z71" t="s">
        <v>95</v>
      </c>
      <c r="AA71">
        <v>0.14499999999999999</v>
      </c>
      <c r="AB71" t="s">
        <v>391</v>
      </c>
      <c r="AC71" t="s">
        <v>525</v>
      </c>
      <c r="AD71" t="s">
        <v>29</v>
      </c>
      <c r="AE71" t="s">
        <v>157</v>
      </c>
      <c r="AF71" t="s">
        <v>385</v>
      </c>
      <c r="AH71">
        <v>1</v>
      </c>
    </row>
    <row r="72" spans="1:34" x14ac:dyDescent="0.3">
      <c r="A72" t="s">
        <v>491</v>
      </c>
      <c r="B72" t="s">
        <v>588</v>
      </c>
      <c r="C72">
        <v>2012</v>
      </c>
      <c r="D72">
        <v>3831.3346914219278</v>
      </c>
      <c r="E72">
        <v>4500</v>
      </c>
      <c r="F72">
        <v>19</v>
      </c>
      <c r="G72">
        <v>18400</v>
      </c>
      <c r="H72" t="s">
        <v>574</v>
      </c>
      <c r="I72">
        <v>19</v>
      </c>
      <c r="J72">
        <v>7.6893000000000003E-2</v>
      </c>
      <c r="K72">
        <v>7.6890271979999998</v>
      </c>
      <c r="L72">
        <v>2.0068795386670755</v>
      </c>
      <c r="M72">
        <v>49.826833280297656</v>
      </c>
      <c r="N72" t="s">
        <v>598</v>
      </c>
      <c r="V72">
        <v>42.189540000000001</v>
      </c>
      <c r="W72">
        <v>-72.683090000000007</v>
      </c>
      <c r="X72" t="s">
        <v>91</v>
      </c>
      <c r="Z72" t="s">
        <v>96</v>
      </c>
      <c r="AA72">
        <v>0.14499999999999999</v>
      </c>
      <c r="AB72" t="s">
        <v>399</v>
      </c>
      <c r="AC72" t="s">
        <v>525</v>
      </c>
      <c r="AD72" t="s">
        <v>109</v>
      </c>
      <c r="AE72" t="s">
        <v>157</v>
      </c>
      <c r="AF72" t="s">
        <v>380</v>
      </c>
      <c r="AH72">
        <v>1</v>
      </c>
    </row>
    <row r="73" spans="1:34" x14ac:dyDescent="0.3">
      <c r="A73" t="s">
        <v>35</v>
      </c>
      <c r="B73" t="s">
        <v>395</v>
      </c>
      <c r="C73">
        <v>2013</v>
      </c>
      <c r="D73">
        <v>150000</v>
      </c>
      <c r="E73">
        <v>170000</v>
      </c>
      <c r="F73">
        <v>337</v>
      </c>
      <c r="G73">
        <v>800000</v>
      </c>
      <c r="H73" t="s">
        <v>186</v>
      </c>
      <c r="I73">
        <v>900</v>
      </c>
      <c r="J73">
        <v>3.6423000000000001</v>
      </c>
      <c r="K73">
        <v>364.23</v>
      </c>
      <c r="L73">
        <v>2.4281999999999999</v>
      </c>
      <c r="M73">
        <v>41.182769129396263</v>
      </c>
      <c r="X73" t="s">
        <v>203</v>
      </c>
      <c r="AA73">
        <v>0.14499999999999999</v>
      </c>
      <c r="AB73" t="s">
        <v>399</v>
      </c>
      <c r="AC73" t="s">
        <v>400</v>
      </c>
      <c r="AD73" t="s">
        <v>342</v>
      </c>
      <c r="AE73" t="s">
        <v>397</v>
      </c>
      <c r="AF73" t="s">
        <v>398</v>
      </c>
      <c r="AG73">
        <v>1</v>
      </c>
      <c r="AH73">
        <v>1</v>
      </c>
    </row>
    <row r="74" spans="1:34" x14ac:dyDescent="0.3">
      <c r="A74" t="s">
        <v>171</v>
      </c>
      <c r="B74" t="s">
        <v>618</v>
      </c>
      <c r="C74">
        <v>2012</v>
      </c>
      <c r="D74">
        <v>5193.5870261497248</v>
      </c>
      <c r="E74">
        <v>6100</v>
      </c>
      <c r="G74">
        <v>24000</v>
      </c>
      <c r="H74" t="s">
        <v>619</v>
      </c>
      <c r="I74">
        <v>30</v>
      </c>
      <c r="J74">
        <v>0.12141</v>
      </c>
      <c r="K74">
        <v>12.140569259999999</v>
      </c>
      <c r="L74">
        <v>2.3376077456432713</v>
      </c>
      <c r="M74">
        <v>42.777259090270363</v>
      </c>
      <c r="V74">
        <v>40.300800000000002</v>
      </c>
      <c r="W74">
        <v>-74.719300000000004</v>
      </c>
      <c r="X74" t="s">
        <v>21</v>
      </c>
      <c r="AA74">
        <v>0.14610000000000001</v>
      </c>
      <c r="AC74" t="s">
        <v>620</v>
      </c>
      <c r="AD74" t="s">
        <v>29</v>
      </c>
      <c r="AE74" t="s">
        <v>611</v>
      </c>
      <c r="AF74" t="s">
        <v>380</v>
      </c>
      <c r="AH74">
        <v>1</v>
      </c>
    </row>
    <row r="75" spans="1:34" x14ac:dyDescent="0.3">
      <c r="A75" t="s">
        <v>26</v>
      </c>
      <c r="B75" t="s">
        <v>652</v>
      </c>
      <c r="C75">
        <v>2011</v>
      </c>
      <c r="D75">
        <v>9400</v>
      </c>
      <c r="E75">
        <v>12000</v>
      </c>
      <c r="H75" t="s">
        <v>167</v>
      </c>
      <c r="I75">
        <v>73.849999999999994</v>
      </c>
      <c r="J75">
        <v>0.29887094999999997</v>
      </c>
      <c r="K75">
        <v>29.886034661699998</v>
      </c>
      <c r="L75">
        <v>3.1793653895425531</v>
      </c>
      <c r="M75">
        <v>31.451701813106965</v>
      </c>
      <c r="N75">
        <v>55.127000000000002</v>
      </c>
      <c r="O75">
        <v>0.22309896900000004</v>
      </c>
      <c r="P75">
        <v>22.309896900000002</v>
      </c>
      <c r="Q75">
        <v>2.3733932872340429</v>
      </c>
      <c r="R75">
        <v>42.133767099569155</v>
      </c>
      <c r="V75">
        <v>38.464930000000003</v>
      </c>
      <c r="W75">
        <v>-121.17901000000001</v>
      </c>
      <c r="X75" t="s">
        <v>21</v>
      </c>
      <c r="Y75" t="s">
        <v>776</v>
      </c>
      <c r="Z75" t="s">
        <v>95</v>
      </c>
      <c r="AA75">
        <v>0.14699999999999999</v>
      </c>
      <c r="AB75" t="s">
        <v>399</v>
      </c>
      <c r="AC75" t="s">
        <v>649</v>
      </c>
      <c r="AD75" t="s">
        <v>29</v>
      </c>
      <c r="AE75" t="s">
        <v>475</v>
      </c>
      <c r="AF75" t="s">
        <v>252</v>
      </c>
      <c r="AH75">
        <v>1</v>
      </c>
    </row>
    <row r="76" spans="1:34" x14ac:dyDescent="0.3">
      <c r="A76" t="s">
        <v>26</v>
      </c>
      <c r="B76" t="s">
        <v>646</v>
      </c>
      <c r="C76">
        <v>2011</v>
      </c>
      <c r="D76">
        <v>15000</v>
      </c>
      <c r="E76">
        <v>16438.8</v>
      </c>
      <c r="G76">
        <v>58710</v>
      </c>
      <c r="H76" t="s">
        <v>167</v>
      </c>
      <c r="I76">
        <v>119.67</v>
      </c>
      <c r="J76">
        <v>0.48430449000000003</v>
      </c>
      <c r="K76">
        <v>48.42873077814</v>
      </c>
      <c r="L76">
        <v>3.2285820518760002</v>
      </c>
      <c r="M76">
        <v>30.972250536021253</v>
      </c>
      <c r="N76">
        <v>84.744</v>
      </c>
      <c r="O76">
        <v>0.34295896800000003</v>
      </c>
      <c r="P76">
        <v>34.295896800000001</v>
      </c>
      <c r="Q76">
        <v>2.2863931200000001</v>
      </c>
      <c r="R76">
        <v>43.737010545238164</v>
      </c>
      <c r="V76">
        <v>38.347709999999999</v>
      </c>
      <c r="W76">
        <v>-121.41285000000001</v>
      </c>
      <c r="X76" t="s">
        <v>21</v>
      </c>
      <c r="Y76" t="s">
        <v>776</v>
      </c>
      <c r="Z76" t="s">
        <v>94</v>
      </c>
      <c r="AA76">
        <v>0.14699999999999999</v>
      </c>
      <c r="AB76" t="s">
        <v>399</v>
      </c>
      <c r="AC76" t="s">
        <v>649</v>
      </c>
      <c r="AD76" t="s">
        <v>29</v>
      </c>
      <c r="AE76" t="s">
        <v>641</v>
      </c>
      <c r="AF76" t="s">
        <v>647</v>
      </c>
      <c r="AH76">
        <v>1</v>
      </c>
    </row>
    <row r="77" spans="1:34" x14ac:dyDescent="0.3">
      <c r="A77" t="s">
        <v>26</v>
      </c>
      <c r="B77" t="s">
        <v>651</v>
      </c>
      <c r="C77">
        <v>2011</v>
      </c>
      <c r="D77">
        <v>15000</v>
      </c>
      <c r="E77">
        <v>16609</v>
      </c>
      <c r="G77">
        <v>59318</v>
      </c>
      <c r="H77" t="s">
        <v>167</v>
      </c>
      <c r="I77">
        <v>116.61</v>
      </c>
      <c r="J77">
        <v>0.47192067000000004</v>
      </c>
      <c r="K77">
        <v>47.19039271362</v>
      </c>
      <c r="L77">
        <v>3.1460261809080001</v>
      </c>
      <c r="M77">
        <v>31.785003187082268</v>
      </c>
      <c r="N77">
        <v>100.38</v>
      </c>
      <c r="O77">
        <v>0.40623786000000001</v>
      </c>
      <c r="P77">
        <v>40.623785999999996</v>
      </c>
      <c r="Q77">
        <v>2.7082523999999997</v>
      </c>
      <c r="R77">
        <v>36.92418033119808</v>
      </c>
      <c r="V77">
        <v>38.365569999999998</v>
      </c>
      <c r="W77">
        <v>-121.41294000000001</v>
      </c>
      <c r="X77" t="s">
        <v>21</v>
      </c>
      <c r="Y77" t="s">
        <v>648</v>
      </c>
      <c r="Z77" t="s">
        <v>96</v>
      </c>
      <c r="AA77">
        <v>0.14699999999999999</v>
      </c>
      <c r="AB77" t="s">
        <v>399</v>
      </c>
      <c r="AC77" t="s">
        <v>649</v>
      </c>
      <c r="AD77" t="s">
        <v>29</v>
      </c>
      <c r="AE77" t="s">
        <v>641</v>
      </c>
      <c r="AF77" t="s">
        <v>647</v>
      </c>
      <c r="AH77">
        <v>1</v>
      </c>
    </row>
    <row r="78" spans="1:34" x14ac:dyDescent="0.3">
      <c r="A78" t="s">
        <v>190</v>
      </c>
      <c r="B78" t="s">
        <v>551</v>
      </c>
      <c r="C78">
        <v>2012</v>
      </c>
      <c r="D78">
        <v>30000</v>
      </c>
      <c r="E78">
        <v>34290</v>
      </c>
      <c r="G78">
        <v>127000</v>
      </c>
      <c r="H78" t="s">
        <v>552</v>
      </c>
      <c r="I78">
        <v>380</v>
      </c>
      <c r="J78">
        <v>1.53786</v>
      </c>
      <c r="K78">
        <v>153.786</v>
      </c>
      <c r="L78">
        <v>5.1261999999999999</v>
      </c>
      <c r="M78">
        <v>19.507627482345598</v>
      </c>
      <c r="N78" t="s">
        <v>598</v>
      </c>
      <c r="V78">
        <v>30.27187</v>
      </c>
      <c r="W78">
        <v>-97.499300000000005</v>
      </c>
      <c r="X78" t="s">
        <v>203</v>
      </c>
      <c r="AA78">
        <v>0.14699999999999999</v>
      </c>
      <c r="AB78" t="s">
        <v>399</v>
      </c>
      <c r="AC78" t="s">
        <v>550</v>
      </c>
      <c r="AD78" t="s">
        <v>60</v>
      </c>
      <c r="AE78" t="s">
        <v>157</v>
      </c>
      <c r="AF78" t="s">
        <v>385</v>
      </c>
      <c r="AH78">
        <v>1</v>
      </c>
    </row>
    <row r="79" spans="1:34" x14ac:dyDescent="0.3">
      <c r="A79" t="s">
        <v>26</v>
      </c>
      <c r="B79" t="s">
        <v>49</v>
      </c>
      <c r="C79">
        <v>2008</v>
      </c>
      <c r="D79">
        <v>917.91300000000001</v>
      </c>
      <c r="E79">
        <v>1088.96</v>
      </c>
      <c r="G79">
        <v>5312</v>
      </c>
      <c r="H79" t="s">
        <v>8</v>
      </c>
      <c r="I79">
        <v>7.95</v>
      </c>
      <c r="J79">
        <v>3.2173650000000005E-2</v>
      </c>
      <c r="K79">
        <v>3.2172508539</v>
      </c>
      <c r="L79">
        <v>3.5049627294743622</v>
      </c>
      <c r="M79">
        <v>28.529961630091702</v>
      </c>
      <c r="N79">
        <v>6.08</v>
      </c>
      <c r="O79">
        <v>2.4605760000000001E-2</v>
      </c>
      <c r="P79">
        <v>2.4604887033600003</v>
      </c>
      <c r="Q79">
        <v>2.6805249553715877</v>
      </c>
      <c r="R79">
        <v>37.304801802504777</v>
      </c>
      <c r="S79">
        <v>0.37963021289005539</v>
      </c>
      <c r="T79">
        <v>2.6341422943847985</v>
      </c>
      <c r="U79">
        <v>1.0176082594648221</v>
      </c>
      <c r="V79">
        <v>38.231990000000003</v>
      </c>
      <c r="W79">
        <v>-122.092904</v>
      </c>
      <c r="X79" t="s">
        <v>21</v>
      </c>
      <c r="Y79" t="s">
        <v>776</v>
      </c>
      <c r="Z79" t="s">
        <v>94</v>
      </c>
      <c r="AA79">
        <v>0.14799999999999999</v>
      </c>
      <c r="AB79" t="s">
        <v>399</v>
      </c>
      <c r="AC79" t="s">
        <v>78</v>
      </c>
      <c r="AD79" t="s">
        <v>29</v>
      </c>
      <c r="AE79" t="s">
        <v>34</v>
      </c>
      <c r="AF79" t="s">
        <v>353</v>
      </c>
      <c r="AH79">
        <v>1</v>
      </c>
    </row>
    <row r="80" spans="1:34" x14ac:dyDescent="0.3">
      <c r="A80" t="s">
        <v>26</v>
      </c>
      <c r="B80" t="s">
        <v>52</v>
      </c>
      <c r="C80">
        <v>2009</v>
      </c>
      <c r="D80">
        <v>924.13400000000001</v>
      </c>
      <c r="E80">
        <v>1102.08</v>
      </c>
      <c r="G80">
        <v>5376</v>
      </c>
      <c r="H80" t="s">
        <v>33</v>
      </c>
      <c r="I80">
        <v>9</v>
      </c>
      <c r="J80">
        <v>3.6423000000000004E-2</v>
      </c>
      <c r="K80">
        <v>3.6421707780000001</v>
      </c>
      <c r="L80">
        <v>3.9411717110289199</v>
      </c>
      <c r="M80">
        <v>25.372264777750321</v>
      </c>
      <c r="N80">
        <v>6.5339999999999998</v>
      </c>
      <c r="O80">
        <v>2.6443098000000002E-2</v>
      </c>
      <c r="P80">
        <v>2.644215984828</v>
      </c>
      <c r="Q80">
        <v>2.8612906622069958</v>
      </c>
      <c r="R80">
        <v>34.948023109848926</v>
      </c>
      <c r="S80">
        <v>0.34265793410404016</v>
      </c>
      <c r="T80">
        <v>2.918362309674035</v>
      </c>
      <c r="U80">
        <v>0.98044394718303018</v>
      </c>
      <c r="V80">
        <v>34.594321000000001</v>
      </c>
      <c r="W80">
        <v>-117.19450999999999</v>
      </c>
      <c r="X80" t="s">
        <v>21</v>
      </c>
      <c r="Y80" t="s">
        <v>776</v>
      </c>
      <c r="Z80" t="s">
        <v>94</v>
      </c>
      <c r="AA80">
        <v>0.14799999999999999</v>
      </c>
      <c r="AB80" t="s">
        <v>399</v>
      </c>
      <c r="AC80" t="s">
        <v>78</v>
      </c>
      <c r="AD80" t="s">
        <v>29</v>
      </c>
      <c r="AE80" t="s">
        <v>53</v>
      </c>
      <c r="AF80" t="s">
        <v>353</v>
      </c>
      <c r="AH80">
        <v>1</v>
      </c>
    </row>
    <row r="81" spans="1:34" x14ac:dyDescent="0.3">
      <c r="A81" t="s">
        <v>491</v>
      </c>
      <c r="B81" t="s">
        <v>700</v>
      </c>
      <c r="C81">
        <v>2011</v>
      </c>
      <c r="D81">
        <v>5000</v>
      </c>
      <c r="E81">
        <v>5742</v>
      </c>
      <c r="F81">
        <v>30</v>
      </c>
      <c r="G81">
        <v>24000</v>
      </c>
      <c r="H81" t="s">
        <v>701</v>
      </c>
      <c r="I81">
        <v>15</v>
      </c>
      <c r="J81">
        <v>6.0705000000000002E-2</v>
      </c>
      <c r="K81">
        <v>6.0702846299999997</v>
      </c>
      <c r="L81">
        <v>1.214056926</v>
      </c>
      <c r="M81">
        <v>82.365538258792512</v>
      </c>
      <c r="N81">
        <v>11.16</v>
      </c>
      <c r="O81">
        <v>4.5164520000000007E-2</v>
      </c>
      <c r="P81">
        <v>4.5164520000000001</v>
      </c>
      <c r="Q81">
        <v>0.90329040000000005</v>
      </c>
      <c r="R81">
        <v>110.70636862740929</v>
      </c>
      <c r="V81">
        <v>42.145809999999997</v>
      </c>
      <c r="W81">
        <v>-71.132459999999995</v>
      </c>
      <c r="X81" t="s">
        <v>91</v>
      </c>
      <c r="Y81" t="s">
        <v>781</v>
      </c>
      <c r="AA81">
        <v>0.14899999999999999</v>
      </c>
      <c r="AB81" t="s">
        <v>399</v>
      </c>
      <c r="AC81" t="s">
        <v>703</v>
      </c>
      <c r="AD81" t="s">
        <v>29</v>
      </c>
      <c r="AE81" t="s">
        <v>694</v>
      </c>
      <c r="AF81" t="s">
        <v>702</v>
      </c>
      <c r="AH81">
        <v>1</v>
      </c>
    </row>
    <row r="82" spans="1:34" x14ac:dyDescent="0.3">
      <c r="A82" t="s">
        <v>26</v>
      </c>
      <c r="B82" t="s">
        <v>690</v>
      </c>
      <c r="C82">
        <v>2015</v>
      </c>
      <c r="D82">
        <v>23000</v>
      </c>
      <c r="E82">
        <v>28700</v>
      </c>
      <c r="G82">
        <v>100000</v>
      </c>
      <c r="H82" t="s">
        <v>682</v>
      </c>
      <c r="I82">
        <v>123</v>
      </c>
      <c r="J82">
        <v>0.49778100000000003</v>
      </c>
      <c r="K82">
        <v>49.778100000000002</v>
      </c>
      <c r="L82">
        <v>2.1642652173913044</v>
      </c>
      <c r="M82">
        <v>46.205058047615317</v>
      </c>
      <c r="V82">
        <v>33.245399999999997</v>
      </c>
      <c r="W82">
        <v>-115.4982</v>
      </c>
      <c r="X82" t="s">
        <v>203</v>
      </c>
      <c r="AA82">
        <v>0.14899999999999999</v>
      </c>
      <c r="AB82" t="s">
        <v>399</v>
      </c>
      <c r="AC82" t="s">
        <v>689</v>
      </c>
      <c r="AD82" t="s">
        <v>24</v>
      </c>
      <c r="AH82">
        <v>1</v>
      </c>
    </row>
    <row r="83" spans="1:34" x14ac:dyDescent="0.3">
      <c r="A83" t="s">
        <v>47</v>
      </c>
      <c r="B83" t="s">
        <v>414</v>
      </c>
      <c r="C83">
        <v>2010</v>
      </c>
      <c r="D83">
        <v>1873.0969602507203</v>
      </c>
      <c r="E83">
        <v>2200</v>
      </c>
      <c r="G83">
        <v>10276</v>
      </c>
      <c r="H83" t="s">
        <v>415</v>
      </c>
      <c r="I83">
        <v>17</v>
      </c>
      <c r="J83">
        <v>6.8798999999999999E-2</v>
      </c>
      <c r="K83">
        <v>6.8796559140000006</v>
      </c>
      <c r="L83">
        <v>3.6728776245940495</v>
      </c>
      <c r="M83">
        <v>27.225642236816238</v>
      </c>
      <c r="N83">
        <v>12</v>
      </c>
      <c r="O83">
        <v>4.8564000000000003E-2</v>
      </c>
      <c r="P83">
        <v>4.8562277040000001</v>
      </c>
      <c r="Q83">
        <v>2.5926194997134466</v>
      </c>
      <c r="R83">
        <v>38.569659835489666</v>
      </c>
      <c r="V83">
        <v>35.813828999999998</v>
      </c>
      <c r="W83">
        <v>-78.750386000000006</v>
      </c>
      <c r="X83" t="s">
        <v>21</v>
      </c>
      <c r="Y83" t="s">
        <v>776</v>
      </c>
      <c r="Z83" t="s">
        <v>95</v>
      </c>
      <c r="AA83">
        <v>0.1547</v>
      </c>
      <c r="AB83" t="s">
        <v>603</v>
      </c>
      <c r="AC83" t="s">
        <v>416</v>
      </c>
      <c r="AD83" t="s">
        <v>60</v>
      </c>
      <c r="AE83" t="s">
        <v>417</v>
      </c>
      <c r="AF83" t="s">
        <v>7</v>
      </c>
      <c r="AH83">
        <v>1</v>
      </c>
    </row>
    <row r="84" spans="1:34" x14ac:dyDescent="0.3">
      <c r="A84" t="s">
        <v>148</v>
      </c>
      <c r="B84" t="s">
        <v>609</v>
      </c>
      <c r="C84">
        <v>2012</v>
      </c>
      <c r="D84">
        <v>6811.2616736389828</v>
      </c>
      <c r="E84">
        <v>8000</v>
      </c>
      <c r="H84" t="s">
        <v>567</v>
      </c>
      <c r="I84">
        <v>24</v>
      </c>
      <c r="J84">
        <v>9.7128000000000006E-2</v>
      </c>
      <c r="K84">
        <v>9.7124554080000003</v>
      </c>
      <c r="L84">
        <v>1.4259407248423956</v>
      </c>
      <c r="M84">
        <v>70.126654246344842</v>
      </c>
      <c r="V84">
        <v>28.768840000000001</v>
      </c>
      <c r="W84">
        <v>-81.348789999999994</v>
      </c>
      <c r="X84" t="s">
        <v>203</v>
      </c>
      <c r="AA84">
        <v>0.158</v>
      </c>
      <c r="AB84" t="s">
        <v>391</v>
      </c>
      <c r="AC84" t="s">
        <v>610</v>
      </c>
      <c r="AD84" t="s">
        <v>109</v>
      </c>
      <c r="AE84" t="s">
        <v>611</v>
      </c>
      <c r="AF84" t="s">
        <v>252</v>
      </c>
      <c r="AH84">
        <v>1</v>
      </c>
    </row>
    <row r="85" spans="1:34" x14ac:dyDescent="0.3">
      <c r="A85" t="s">
        <v>148</v>
      </c>
      <c r="B85" t="s">
        <v>568</v>
      </c>
      <c r="C85">
        <v>2012</v>
      </c>
      <c r="D85">
        <v>51084.462552292374</v>
      </c>
      <c r="E85">
        <v>60000</v>
      </c>
      <c r="H85" t="s">
        <v>567</v>
      </c>
      <c r="I85">
        <v>360</v>
      </c>
      <c r="J85">
        <v>1.45692</v>
      </c>
      <c r="K85">
        <v>145.69200000000001</v>
      </c>
      <c r="L85">
        <v>2.8519826327009521</v>
      </c>
      <c r="M85">
        <v>35.063327123172428</v>
      </c>
      <c r="V85">
        <v>28.837299999999999</v>
      </c>
      <c r="W85">
        <v>-81.561999999999998</v>
      </c>
      <c r="X85" t="s">
        <v>91</v>
      </c>
      <c r="AA85">
        <v>0.158</v>
      </c>
      <c r="AB85" t="s">
        <v>391</v>
      </c>
      <c r="AC85" t="s">
        <v>569</v>
      </c>
      <c r="AD85" t="s">
        <v>24</v>
      </c>
      <c r="AE85" t="s">
        <v>157</v>
      </c>
      <c r="AF85" t="s">
        <v>380</v>
      </c>
      <c r="AH85">
        <v>1</v>
      </c>
    </row>
    <row r="86" spans="1:34" x14ac:dyDescent="0.3">
      <c r="A86" t="s">
        <v>3</v>
      </c>
      <c r="B86" t="s">
        <v>38</v>
      </c>
      <c r="C86">
        <v>2008</v>
      </c>
      <c r="D86">
        <v>446.88</v>
      </c>
      <c r="E86">
        <v>596</v>
      </c>
      <c r="G86">
        <v>3136</v>
      </c>
      <c r="H86" t="s">
        <v>8</v>
      </c>
      <c r="I86">
        <v>4.91</v>
      </c>
      <c r="J86">
        <v>1.9870770000000003E-2</v>
      </c>
      <c r="K86">
        <v>1.9870065022200001</v>
      </c>
      <c r="L86">
        <v>4.4463983669441465</v>
      </c>
      <c r="M86">
        <v>22.489314706979144</v>
      </c>
      <c r="N86">
        <v>4.22</v>
      </c>
      <c r="O86">
        <v>1.7078340000000001E-2</v>
      </c>
      <c r="P86">
        <v>1.7077734092399999</v>
      </c>
      <c r="Q86">
        <v>3.8215480872717507</v>
      </c>
      <c r="R86">
        <v>26.166477538215069</v>
      </c>
      <c r="S86">
        <v>0.33333333333333337</v>
      </c>
      <c r="T86">
        <v>2.9999999999999996</v>
      </c>
      <c r="U86">
        <v>1.2738493624239171</v>
      </c>
      <c r="V86">
        <v>37.460360999999999</v>
      </c>
      <c r="W86">
        <v>-105.852617</v>
      </c>
      <c r="X86" t="s">
        <v>21</v>
      </c>
      <c r="Y86" t="s">
        <v>776</v>
      </c>
      <c r="Z86" t="s">
        <v>94</v>
      </c>
      <c r="AA86">
        <v>0.161</v>
      </c>
      <c r="AB86" t="s">
        <v>66</v>
      </c>
      <c r="AC86" t="s">
        <v>69</v>
      </c>
      <c r="AD86" t="s">
        <v>29</v>
      </c>
      <c r="AE86" t="s">
        <v>39</v>
      </c>
      <c r="AF86" t="s">
        <v>353</v>
      </c>
      <c r="AH86">
        <v>1</v>
      </c>
    </row>
    <row r="87" spans="1:34" x14ac:dyDescent="0.3">
      <c r="A87" t="s">
        <v>3</v>
      </c>
      <c r="B87" t="s">
        <v>31</v>
      </c>
      <c r="C87">
        <v>2008</v>
      </c>
      <c r="D87">
        <v>657.87</v>
      </c>
      <c r="E87">
        <v>720.72</v>
      </c>
      <c r="G87">
        <v>3696</v>
      </c>
      <c r="H87" t="s">
        <v>8</v>
      </c>
      <c r="I87">
        <v>5.38</v>
      </c>
      <c r="J87">
        <v>2.1772860000000002E-2</v>
      </c>
      <c r="K87">
        <v>2.17720875396</v>
      </c>
      <c r="L87">
        <v>3.3094817425327197</v>
      </c>
      <c r="M87">
        <v>30.215139398315145</v>
      </c>
      <c r="N87">
        <v>3.04</v>
      </c>
      <c r="O87">
        <v>1.230288E-2</v>
      </c>
      <c r="P87">
        <v>1.2302443516800001</v>
      </c>
      <c r="Q87">
        <v>1.8700417281225776</v>
      </c>
      <c r="R87">
        <v>53.47284538254457</v>
      </c>
      <c r="S87">
        <v>0.39444444444444449</v>
      </c>
      <c r="T87">
        <v>2.5352112676056335</v>
      </c>
      <c r="U87">
        <v>0.73762757053723904</v>
      </c>
      <c r="V87">
        <v>39.744937999999998</v>
      </c>
      <c r="W87">
        <v>-105.176754</v>
      </c>
      <c r="X87" t="s">
        <v>21</v>
      </c>
      <c r="Y87" t="s">
        <v>776</v>
      </c>
      <c r="Z87" t="s">
        <v>95</v>
      </c>
      <c r="AA87">
        <v>0.161</v>
      </c>
      <c r="AB87" t="s">
        <v>66</v>
      </c>
      <c r="AC87" t="s">
        <v>69</v>
      </c>
      <c r="AD87" t="s">
        <v>29</v>
      </c>
      <c r="AE87" t="s">
        <v>19</v>
      </c>
      <c r="AF87" t="s">
        <v>353</v>
      </c>
      <c r="AH87">
        <v>1</v>
      </c>
    </row>
    <row r="88" spans="1:34" x14ac:dyDescent="0.3">
      <c r="A88" t="s">
        <v>3</v>
      </c>
      <c r="B88" t="s">
        <v>45</v>
      </c>
      <c r="C88">
        <v>2008</v>
      </c>
      <c r="D88">
        <v>474.81</v>
      </c>
      <c r="E88">
        <v>633</v>
      </c>
      <c r="F88">
        <v>4</v>
      </c>
      <c r="G88">
        <v>3332</v>
      </c>
      <c r="H88" t="s">
        <v>8</v>
      </c>
      <c r="I88">
        <v>5.3470000000000004</v>
      </c>
      <c r="J88">
        <v>2.1639309000000002E-2</v>
      </c>
      <c r="K88">
        <v>2.1638541277740004</v>
      </c>
      <c r="L88">
        <v>4.5573052963796057</v>
      </c>
      <c r="M88">
        <v>21.942013028234864</v>
      </c>
      <c r="N88">
        <v>3.34</v>
      </c>
      <c r="O88">
        <v>1.351698E-2</v>
      </c>
      <c r="P88">
        <v>1.3516500442799999</v>
      </c>
      <c r="Q88">
        <v>2.8467177276805455</v>
      </c>
      <c r="R88">
        <v>35.12692924011133</v>
      </c>
      <c r="S88">
        <v>0.38182151365218986</v>
      </c>
      <c r="T88">
        <v>2.6190247648301015</v>
      </c>
      <c r="U88">
        <v>1.0869380717235082</v>
      </c>
      <c r="V88">
        <v>39.821038000000001</v>
      </c>
      <c r="W88">
        <v>-105.22041</v>
      </c>
      <c r="X88" t="s">
        <v>21</v>
      </c>
      <c r="Y88" t="s">
        <v>776</v>
      </c>
      <c r="Z88" t="s">
        <v>96</v>
      </c>
      <c r="AA88">
        <v>0.16400000000000001</v>
      </c>
      <c r="AB88" t="s">
        <v>66</v>
      </c>
      <c r="AC88" t="s">
        <v>75</v>
      </c>
      <c r="AD88" t="s">
        <v>29</v>
      </c>
      <c r="AE88" t="s">
        <v>34</v>
      </c>
      <c r="AF88" t="s">
        <v>353</v>
      </c>
      <c r="AH88">
        <v>1</v>
      </c>
    </row>
    <row r="89" spans="1:34" x14ac:dyDescent="0.3">
      <c r="A89" t="s">
        <v>196</v>
      </c>
      <c r="B89" t="s">
        <v>622</v>
      </c>
      <c r="C89">
        <v>2012</v>
      </c>
      <c r="D89">
        <v>8343.7955502077548</v>
      </c>
      <c r="E89">
        <v>9800</v>
      </c>
      <c r="F89">
        <v>21.6</v>
      </c>
      <c r="G89">
        <v>24000</v>
      </c>
      <c r="H89" t="s">
        <v>623</v>
      </c>
      <c r="I89">
        <v>60</v>
      </c>
      <c r="J89">
        <v>0.24282000000000001</v>
      </c>
      <c r="K89">
        <v>24.281138519999999</v>
      </c>
      <c r="L89">
        <v>2.9100831119232557</v>
      </c>
      <c r="M89">
        <v>34.362060580708977</v>
      </c>
      <c r="V89">
        <v>41.395600000000002</v>
      </c>
      <c r="W89">
        <v>-84.108149999999995</v>
      </c>
      <c r="X89" t="s">
        <v>21</v>
      </c>
      <c r="Y89" t="s">
        <v>426</v>
      </c>
      <c r="AA89">
        <v>0.185</v>
      </c>
      <c r="AB89" t="s">
        <v>391</v>
      </c>
      <c r="AC89" t="s">
        <v>624</v>
      </c>
      <c r="AD89" t="s">
        <v>109</v>
      </c>
      <c r="AE89" t="s">
        <v>611</v>
      </c>
      <c r="AF89" t="s">
        <v>380</v>
      </c>
      <c r="AH89">
        <v>1</v>
      </c>
    </row>
    <row r="90" spans="1:34" x14ac:dyDescent="0.3">
      <c r="A90" t="s">
        <v>35</v>
      </c>
      <c r="B90" t="s">
        <v>638</v>
      </c>
      <c r="C90">
        <v>2012</v>
      </c>
      <c r="D90">
        <v>14000</v>
      </c>
      <c r="E90">
        <v>15000</v>
      </c>
      <c r="F90">
        <v>68</v>
      </c>
      <c r="G90">
        <v>52000</v>
      </c>
      <c r="H90" t="s">
        <v>389</v>
      </c>
      <c r="I90">
        <v>100</v>
      </c>
      <c r="J90">
        <v>0.4047</v>
      </c>
      <c r="K90">
        <v>40.468564200000003</v>
      </c>
      <c r="L90">
        <v>2.8906117285714288</v>
      </c>
      <c r="M90">
        <v>34.59352606869286</v>
      </c>
      <c r="V90">
        <v>33.517000000000003</v>
      </c>
      <c r="W90">
        <v>-112.36750000000001</v>
      </c>
      <c r="X90" t="s">
        <v>21</v>
      </c>
      <c r="AA90">
        <v>0.185</v>
      </c>
      <c r="AB90" t="s">
        <v>391</v>
      </c>
      <c r="AC90" t="s">
        <v>389</v>
      </c>
      <c r="AD90" t="s">
        <v>60</v>
      </c>
      <c r="AE90" t="s">
        <v>645</v>
      </c>
      <c r="AF90" t="s">
        <v>380</v>
      </c>
      <c r="AH90">
        <v>1</v>
      </c>
    </row>
    <row r="91" spans="1:34" x14ac:dyDescent="0.3">
      <c r="A91" t="s">
        <v>26</v>
      </c>
      <c r="B91" t="s">
        <v>621</v>
      </c>
      <c r="C91">
        <v>2012</v>
      </c>
      <c r="D91">
        <v>25000</v>
      </c>
      <c r="E91">
        <v>29363.135580892762</v>
      </c>
      <c r="F91">
        <v>150</v>
      </c>
      <c r="H91" t="s">
        <v>389</v>
      </c>
      <c r="I91">
        <v>154</v>
      </c>
      <c r="J91">
        <v>0.62323800000000007</v>
      </c>
      <c r="K91">
        <v>62.323799999999999</v>
      </c>
      <c r="L91">
        <v>2.4929519999999998</v>
      </c>
      <c r="M91">
        <v>40.113086814347</v>
      </c>
      <c r="V91">
        <v>37.736260000000001</v>
      </c>
      <c r="W91">
        <v>-120.99099</v>
      </c>
      <c r="X91" t="s">
        <v>21</v>
      </c>
      <c r="Y91" t="s">
        <v>426</v>
      </c>
      <c r="Z91" t="s">
        <v>94</v>
      </c>
      <c r="AA91">
        <v>0.185</v>
      </c>
      <c r="AB91" t="s">
        <v>391</v>
      </c>
      <c r="AC91" t="s">
        <v>625</v>
      </c>
      <c r="AD91" t="s">
        <v>109</v>
      </c>
      <c r="AE91" t="s">
        <v>475</v>
      </c>
      <c r="AF91" t="s">
        <v>252</v>
      </c>
      <c r="AH91">
        <v>1</v>
      </c>
    </row>
    <row r="92" spans="1:34" x14ac:dyDescent="0.3">
      <c r="A92" t="s">
        <v>26</v>
      </c>
      <c r="B92" t="s">
        <v>473</v>
      </c>
      <c r="C92">
        <v>2008</v>
      </c>
      <c r="D92">
        <v>953.57663430945763</v>
      </c>
      <c r="E92">
        <v>1120</v>
      </c>
      <c r="G92">
        <v>4870</v>
      </c>
      <c r="H92" t="s">
        <v>389</v>
      </c>
      <c r="I92">
        <v>11.54</v>
      </c>
      <c r="J92">
        <v>4.6702380000000002E-2</v>
      </c>
      <c r="K92">
        <v>4.67007230868</v>
      </c>
      <c r="L92">
        <v>4.8974273704408473</v>
      </c>
      <c r="M92">
        <v>20.418159295296249</v>
      </c>
      <c r="N92">
        <v>7.6</v>
      </c>
      <c r="O92">
        <v>3.0757200000000002E-2</v>
      </c>
      <c r="P92">
        <v>3.0756108792000001</v>
      </c>
      <c r="Q92">
        <v>3.2253421157149424</v>
      </c>
      <c r="R92">
        <v>31.003362929962986</v>
      </c>
      <c r="V92">
        <v>33.536287999999999</v>
      </c>
      <c r="W92">
        <v>-117.193406</v>
      </c>
      <c r="X92" t="s">
        <v>21</v>
      </c>
      <c r="Y92" t="s">
        <v>474</v>
      </c>
      <c r="AA92">
        <v>0.19</v>
      </c>
      <c r="AB92" t="s">
        <v>391</v>
      </c>
      <c r="AC92" t="s">
        <v>421</v>
      </c>
      <c r="AD92" t="s">
        <v>29</v>
      </c>
      <c r="AE92" t="s">
        <v>475</v>
      </c>
      <c r="AF92" t="s">
        <v>385</v>
      </c>
      <c r="AH92">
        <v>1</v>
      </c>
    </row>
    <row r="93" spans="1:34" x14ac:dyDescent="0.3">
      <c r="A93" t="s">
        <v>527</v>
      </c>
      <c r="B93" t="s">
        <v>526</v>
      </c>
      <c r="C93">
        <v>2010</v>
      </c>
      <c r="D93">
        <v>940</v>
      </c>
      <c r="E93">
        <v>1000</v>
      </c>
      <c r="G93">
        <v>4500</v>
      </c>
      <c r="H93" t="s">
        <v>389</v>
      </c>
      <c r="I93">
        <v>10</v>
      </c>
      <c r="J93">
        <v>4.0470000000000006E-2</v>
      </c>
      <c r="K93">
        <v>4.0468564200000001</v>
      </c>
      <c r="L93">
        <v>4.3051664042553197</v>
      </c>
      <c r="M93">
        <v>23.227081788979486</v>
      </c>
      <c r="N93">
        <v>6.1</v>
      </c>
      <c r="O93">
        <v>2.4686699999999999E-2</v>
      </c>
      <c r="P93">
        <v>2.4685824161999999</v>
      </c>
      <c r="Q93">
        <v>2.6261515065957446</v>
      </c>
      <c r="R93">
        <v>38.077183260622114</v>
      </c>
      <c r="V93">
        <v>35.25421</v>
      </c>
      <c r="W93">
        <v>-81.595889999999997</v>
      </c>
      <c r="X93" t="s">
        <v>21</v>
      </c>
      <c r="Y93" t="s">
        <v>776</v>
      </c>
      <c r="Z93" t="s">
        <v>96</v>
      </c>
      <c r="AA93">
        <v>0.19</v>
      </c>
      <c r="AB93" t="s">
        <v>391</v>
      </c>
      <c r="AC93" t="s">
        <v>389</v>
      </c>
      <c r="AD93" t="s">
        <v>60</v>
      </c>
      <c r="AE93" t="s">
        <v>157</v>
      </c>
      <c r="AF93" t="s">
        <v>380</v>
      </c>
      <c r="AH93">
        <v>1</v>
      </c>
    </row>
    <row r="94" spans="1:34" x14ac:dyDescent="0.3">
      <c r="A94" t="s">
        <v>476</v>
      </c>
      <c r="B94" t="s">
        <v>626</v>
      </c>
      <c r="C94">
        <v>2012</v>
      </c>
      <c r="D94">
        <v>4257.0385460243642</v>
      </c>
      <c r="E94">
        <v>5000</v>
      </c>
      <c r="H94" t="s">
        <v>389</v>
      </c>
      <c r="I94">
        <v>40</v>
      </c>
      <c r="J94">
        <v>0.16188000000000002</v>
      </c>
      <c r="K94">
        <v>16.18742568</v>
      </c>
      <c r="L94">
        <v>3.8025085995797219</v>
      </c>
      <c r="M94">
        <v>26.297495342379314</v>
      </c>
      <c r="V94">
        <v>21.325299999999999</v>
      </c>
      <c r="W94">
        <v>-158.0873</v>
      </c>
      <c r="X94" t="s">
        <v>21</v>
      </c>
      <c r="Y94" t="s">
        <v>486</v>
      </c>
      <c r="AA94">
        <v>0.19</v>
      </c>
      <c r="AB94" t="s">
        <v>391</v>
      </c>
      <c r="AC94" t="s">
        <v>389</v>
      </c>
      <c r="AD94" t="s">
        <v>109</v>
      </c>
      <c r="AE94" t="s">
        <v>493</v>
      </c>
      <c r="AF94" t="s">
        <v>252</v>
      </c>
      <c r="AH94">
        <v>1</v>
      </c>
    </row>
    <row r="95" spans="1:34" x14ac:dyDescent="0.3">
      <c r="A95" t="s">
        <v>171</v>
      </c>
      <c r="B95" t="s">
        <v>565</v>
      </c>
      <c r="C95">
        <v>2012</v>
      </c>
      <c r="D95">
        <v>4512.4608587858265</v>
      </c>
      <c r="E95">
        <v>5300</v>
      </c>
      <c r="G95">
        <v>16500</v>
      </c>
      <c r="H95" t="s">
        <v>564</v>
      </c>
      <c r="I95">
        <v>27</v>
      </c>
      <c r="J95">
        <v>0.10926900000000001</v>
      </c>
      <c r="K95">
        <v>10.926512334</v>
      </c>
      <c r="L95">
        <v>2.4214087780342566</v>
      </c>
      <c r="M95">
        <v>41.296807500625299</v>
      </c>
      <c r="N95" t="s">
        <v>598</v>
      </c>
      <c r="V95">
        <v>40.336129999999997</v>
      </c>
      <c r="W95">
        <v>-74.642099999999999</v>
      </c>
      <c r="X95" t="s">
        <v>21</v>
      </c>
      <c r="Y95" t="s">
        <v>486</v>
      </c>
      <c r="AA95">
        <v>0.19</v>
      </c>
      <c r="AB95" t="s">
        <v>391</v>
      </c>
      <c r="AC95" t="s">
        <v>389</v>
      </c>
      <c r="AD95" t="s">
        <v>29</v>
      </c>
      <c r="AE95" t="s">
        <v>157</v>
      </c>
      <c r="AF95" t="s">
        <v>385</v>
      </c>
      <c r="AH95">
        <v>1</v>
      </c>
    </row>
    <row r="96" spans="1:34" x14ac:dyDescent="0.3">
      <c r="A96" t="s">
        <v>47</v>
      </c>
      <c r="B96" t="s">
        <v>727</v>
      </c>
      <c r="C96">
        <v>2011</v>
      </c>
      <c r="D96">
        <v>5000</v>
      </c>
      <c r="E96">
        <v>6400</v>
      </c>
      <c r="H96" t="s">
        <v>728</v>
      </c>
      <c r="I96">
        <v>28.7</v>
      </c>
      <c r="J96">
        <v>0.1161489</v>
      </c>
      <c r="K96">
        <v>11.614477925399999</v>
      </c>
      <c r="L96">
        <v>2.3228955850799999</v>
      </c>
      <c r="M96">
        <v>43.048190727591908</v>
      </c>
      <c r="N96">
        <v>23.9</v>
      </c>
      <c r="O96">
        <v>9.6723299999999998E-2</v>
      </c>
      <c r="P96">
        <v>9.6719868437999992</v>
      </c>
      <c r="Q96">
        <v>1.9343973687599998</v>
      </c>
      <c r="R96">
        <v>51.693852463677317</v>
      </c>
      <c r="V96">
        <v>36.424790000000002</v>
      </c>
      <c r="W96">
        <v>-77.06438</v>
      </c>
      <c r="X96" t="s">
        <v>21</v>
      </c>
      <c r="Y96" t="s">
        <v>776</v>
      </c>
      <c r="AA96">
        <v>0.19</v>
      </c>
      <c r="AB96" t="s">
        <v>391</v>
      </c>
      <c r="AC96" t="s">
        <v>389</v>
      </c>
      <c r="AD96" t="s">
        <v>29</v>
      </c>
      <c r="AE96" t="s">
        <v>475</v>
      </c>
      <c r="AF96" t="s">
        <v>252</v>
      </c>
      <c r="AH96">
        <v>1</v>
      </c>
    </row>
    <row r="97" spans="1:34" x14ac:dyDescent="0.3">
      <c r="A97" t="s">
        <v>35</v>
      </c>
      <c r="B97" t="s">
        <v>485</v>
      </c>
      <c r="C97">
        <v>2011</v>
      </c>
      <c r="D97">
        <v>20000</v>
      </c>
      <c r="E97">
        <v>23490.50846471421</v>
      </c>
      <c r="G97">
        <v>66384</v>
      </c>
      <c r="H97" t="s">
        <v>403</v>
      </c>
      <c r="I97">
        <v>144</v>
      </c>
      <c r="J97">
        <v>0.58276800000000006</v>
      </c>
      <c r="K97">
        <v>58.276800000000001</v>
      </c>
      <c r="L97">
        <v>2.91384</v>
      </c>
      <c r="M97">
        <v>34.318974274496881</v>
      </c>
      <c r="N97">
        <v>118.4</v>
      </c>
      <c r="O97">
        <v>0.47916480000000006</v>
      </c>
      <c r="P97">
        <v>47.91648</v>
      </c>
      <c r="Q97">
        <v>2.3958240000000002</v>
      </c>
      <c r="R97">
        <v>41.739293036550258</v>
      </c>
      <c r="V97">
        <v>33.159303000000001</v>
      </c>
      <c r="W97">
        <v>-111.48230599999999</v>
      </c>
      <c r="X97" t="s">
        <v>21</v>
      </c>
      <c r="Y97" t="s">
        <v>780</v>
      </c>
      <c r="AA97">
        <v>0.19</v>
      </c>
      <c r="AB97" t="s">
        <v>391</v>
      </c>
      <c r="AC97" t="s">
        <v>487</v>
      </c>
      <c r="AD97" t="s">
        <v>29</v>
      </c>
      <c r="AE97" t="s">
        <v>475</v>
      </c>
      <c r="AF97" t="s">
        <v>385</v>
      </c>
      <c r="AH97">
        <v>1</v>
      </c>
    </row>
    <row r="98" spans="1:34" x14ac:dyDescent="0.3">
      <c r="A98" t="s">
        <v>148</v>
      </c>
      <c r="B98" t="s">
        <v>149</v>
      </c>
      <c r="C98">
        <v>2009</v>
      </c>
      <c r="D98">
        <v>25000</v>
      </c>
      <c r="E98">
        <v>28000</v>
      </c>
      <c r="G98">
        <v>90000</v>
      </c>
      <c r="H98" t="s">
        <v>151</v>
      </c>
      <c r="I98">
        <v>235</v>
      </c>
      <c r="J98">
        <v>0.95104500000000003</v>
      </c>
      <c r="K98">
        <v>95.104500000000002</v>
      </c>
      <c r="L98">
        <v>3.8041800000000001</v>
      </c>
      <c r="M98">
        <v>26.286873912380592</v>
      </c>
      <c r="N98">
        <v>180</v>
      </c>
      <c r="O98">
        <v>0.72846</v>
      </c>
      <c r="P98">
        <v>72.846000000000004</v>
      </c>
      <c r="Q98">
        <v>2.91384</v>
      </c>
      <c r="R98">
        <v>34.318974274496881</v>
      </c>
      <c r="V98">
        <v>27.316666666666698</v>
      </c>
      <c r="W98">
        <v>-81.8</v>
      </c>
      <c r="X98" t="s">
        <v>21</v>
      </c>
      <c r="Y98" t="s">
        <v>776</v>
      </c>
      <c r="Z98" t="s">
        <v>96</v>
      </c>
      <c r="AA98">
        <v>0.19</v>
      </c>
      <c r="AB98" t="s">
        <v>391</v>
      </c>
      <c r="AC98" t="s">
        <v>150</v>
      </c>
      <c r="AD98" t="s">
        <v>29</v>
      </c>
      <c r="AE98" t="s">
        <v>110</v>
      </c>
      <c r="AF98" t="s">
        <v>252</v>
      </c>
      <c r="AH98">
        <v>1</v>
      </c>
    </row>
    <row r="99" spans="1:34" x14ac:dyDescent="0.3">
      <c r="A99" t="s">
        <v>424</v>
      </c>
      <c r="B99" t="s">
        <v>425</v>
      </c>
      <c r="C99">
        <v>2009</v>
      </c>
      <c r="D99">
        <v>851.40770920487284</v>
      </c>
      <c r="E99">
        <v>1000</v>
      </c>
      <c r="G99">
        <v>5000</v>
      </c>
      <c r="H99" t="s">
        <v>389</v>
      </c>
      <c r="I99">
        <v>9.5</v>
      </c>
      <c r="J99">
        <v>3.8446500000000002E-2</v>
      </c>
      <c r="K99">
        <v>3.8445135989999999</v>
      </c>
      <c r="L99">
        <v>4.5154789620009197</v>
      </c>
      <c r="M99">
        <v>22.145259235687849</v>
      </c>
      <c r="N99">
        <v>9</v>
      </c>
      <c r="O99">
        <v>3.6423000000000004E-2</v>
      </c>
      <c r="P99">
        <v>3.6423000000000001</v>
      </c>
      <c r="Q99">
        <v>4.2779739490514288</v>
      </c>
      <c r="R99">
        <v>23.375551415448282</v>
      </c>
      <c r="V99">
        <v>33.926340000000003</v>
      </c>
      <c r="W99">
        <v>-117.60604600000001</v>
      </c>
      <c r="X99" t="s">
        <v>21</v>
      </c>
      <c r="Y99" t="s">
        <v>426</v>
      </c>
      <c r="Z99" t="s">
        <v>95</v>
      </c>
      <c r="AA99">
        <v>0.19600000000000001</v>
      </c>
      <c r="AB99" t="s">
        <v>391</v>
      </c>
      <c r="AC99" t="s">
        <v>421</v>
      </c>
      <c r="AD99" t="s">
        <v>60</v>
      </c>
      <c r="AE99" t="s">
        <v>427</v>
      </c>
      <c r="AF99" t="s">
        <v>385</v>
      </c>
      <c r="AH99">
        <v>1</v>
      </c>
    </row>
    <row r="100" spans="1:34" x14ac:dyDescent="0.3">
      <c r="A100" t="s">
        <v>26</v>
      </c>
      <c r="B100" t="s">
        <v>419</v>
      </c>
      <c r="C100">
        <v>2008</v>
      </c>
      <c r="D100">
        <v>890</v>
      </c>
      <c r="E100">
        <v>1000</v>
      </c>
      <c r="G100">
        <v>18210</v>
      </c>
      <c r="H100" t="s">
        <v>418</v>
      </c>
      <c r="I100">
        <v>11.2</v>
      </c>
      <c r="J100">
        <v>4.5326400000000003E-2</v>
      </c>
      <c r="K100">
        <v>4.5324791904000001</v>
      </c>
      <c r="L100">
        <v>5.0926732476404499</v>
      </c>
      <c r="M100">
        <v>19.635355995622859</v>
      </c>
      <c r="N100">
        <v>7.9</v>
      </c>
      <c r="O100">
        <v>3.1971300000000001E-2</v>
      </c>
      <c r="P100">
        <v>3.1970165718000003</v>
      </c>
      <c r="Q100">
        <v>3.5921534514606743</v>
      </c>
      <c r="R100">
        <v>27.837466727971648</v>
      </c>
      <c r="V100">
        <v>33.964523</v>
      </c>
      <c r="W100">
        <v>-117.674453</v>
      </c>
      <c r="X100" t="s">
        <v>21</v>
      </c>
      <c r="Y100" t="s">
        <v>474</v>
      </c>
      <c r="Z100" t="s">
        <v>95</v>
      </c>
      <c r="AA100">
        <v>0.19600000000000001</v>
      </c>
      <c r="AB100" t="s">
        <v>391</v>
      </c>
      <c r="AC100" t="s">
        <v>421</v>
      </c>
      <c r="AD100" t="s">
        <v>60</v>
      </c>
      <c r="AE100" t="s">
        <v>420</v>
      </c>
      <c r="AF100" t="s">
        <v>385</v>
      </c>
      <c r="AH100">
        <v>1</v>
      </c>
    </row>
    <row r="101" spans="1:34" x14ac:dyDescent="0.3">
      <c r="A101" t="s">
        <v>3</v>
      </c>
      <c r="B101" t="s">
        <v>388</v>
      </c>
      <c r="C101">
        <v>2010</v>
      </c>
      <c r="D101">
        <v>17000</v>
      </c>
      <c r="E101">
        <v>20000</v>
      </c>
      <c r="G101">
        <v>50000</v>
      </c>
      <c r="H101" t="s">
        <v>389</v>
      </c>
      <c r="I101">
        <v>200</v>
      </c>
      <c r="J101">
        <v>0.80940000000000001</v>
      </c>
      <c r="K101">
        <v>80.94</v>
      </c>
      <c r="L101">
        <v>4.7611764705882349</v>
      </c>
      <c r="M101">
        <v>21.003212255992093</v>
      </c>
      <c r="N101" t="s">
        <v>598</v>
      </c>
      <c r="X101" t="s">
        <v>21</v>
      </c>
      <c r="Y101">
        <v>20</v>
      </c>
      <c r="AA101">
        <v>0.19600000000000001</v>
      </c>
      <c r="AB101" t="s">
        <v>391</v>
      </c>
      <c r="AC101" t="s">
        <v>857</v>
      </c>
      <c r="AD101" t="s">
        <v>29</v>
      </c>
      <c r="AE101" t="s">
        <v>157</v>
      </c>
      <c r="AF101" t="s">
        <v>252</v>
      </c>
      <c r="AH101">
        <v>1</v>
      </c>
    </row>
    <row r="102" spans="1:34" x14ac:dyDescent="0.3">
      <c r="A102" t="s">
        <v>3</v>
      </c>
      <c r="B102" t="s">
        <v>392</v>
      </c>
      <c r="C102">
        <v>2012</v>
      </c>
      <c r="D102">
        <v>30000</v>
      </c>
      <c r="E102">
        <v>35200</v>
      </c>
      <c r="G102">
        <v>110000</v>
      </c>
      <c r="H102" t="s">
        <v>403</v>
      </c>
      <c r="I102">
        <v>220</v>
      </c>
      <c r="J102">
        <v>0.89034000000000002</v>
      </c>
      <c r="K102">
        <v>89.034000000000006</v>
      </c>
      <c r="L102">
        <v>2.9678</v>
      </c>
      <c r="M102">
        <v>33.694992924051483</v>
      </c>
      <c r="N102" t="s">
        <v>598</v>
      </c>
      <c r="X102" t="s">
        <v>21</v>
      </c>
      <c r="Z102" t="s">
        <v>94</v>
      </c>
      <c r="AA102">
        <v>0.19600000000000001</v>
      </c>
      <c r="AB102" t="s">
        <v>391</v>
      </c>
      <c r="AC102" t="s">
        <v>393</v>
      </c>
      <c r="AD102" t="s">
        <v>60</v>
      </c>
      <c r="AE102" t="s">
        <v>394</v>
      </c>
      <c r="AF102" t="s">
        <v>7</v>
      </c>
      <c r="AH102">
        <v>1</v>
      </c>
    </row>
    <row r="103" spans="1:34" x14ac:dyDescent="0.3">
      <c r="A103" t="s">
        <v>429</v>
      </c>
      <c r="B103" t="s">
        <v>430</v>
      </c>
      <c r="C103">
        <v>2011</v>
      </c>
      <c r="D103">
        <v>10000</v>
      </c>
      <c r="E103">
        <v>11745.254232357105</v>
      </c>
      <c r="F103">
        <v>50</v>
      </c>
      <c r="G103">
        <v>34258</v>
      </c>
      <c r="H103" t="s">
        <v>432</v>
      </c>
      <c r="I103">
        <v>103</v>
      </c>
      <c r="J103">
        <v>0.41684100000000002</v>
      </c>
      <c r="K103">
        <v>41.682621126000001</v>
      </c>
      <c r="L103">
        <v>4.1682621125999999</v>
      </c>
      <c r="M103">
        <v>23.989962599648305</v>
      </c>
      <c r="N103">
        <v>50.33</v>
      </c>
      <c r="O103">
        <v>0.20368551000000001</v>
      </c>
      <c r="P103">
        <v>20.368551</v>
      </c>
      <c r="Q103">
        <v>2.0368550999999999</v>
      </c>
      <c r="R103">
        <v>49.095294014777977</v>
      </c>
      <c r="V103">
        <v>39.184851000000002</v>
      </c>
      <c r="W103">
        <v>-75.502167</v>
      </c>
      <c r="X103" t="s">
        <v>21</v>
      </c>
      <c r="Y103" t="s">
        <v>776</v>
      </c>
      <c r="Z103" t="s">
        <v>96</v>
      </c>
      <c r="AA103">
        <v>0.20100000000000001</v>
      </c>
      <c r="AB103" t="s">
        <v>391</v>
      </c>
      <c r="AC103" t="s">
        <v>431</v>
      </c>
      <c r="AD103" t="s">
        <v>60</v>
      </c>
      <c r="AE103" t="s">
        <v>433</v>
      </c>
      <c r="AF103" t="s">
        <v>380</v>
      </c>
      <c r="AH103">
        <v>1</v>
      </c>
    </row>
    <row r="104" spans="1:34" x14ac:dyDescent="0.3">
      <c r="A104" t="s">
        <v>26</v>
      </c>
      <c r="B104" t="s">
        <v>704</v>
      </c>
      <c r="C104">
        <v>2012</v>
      </c>
      <c r="D104">
        <v>11732.398232843148</v>
      </c>
      <c r="E104">
        <v>13780</v>
      </c>
      <c r="G104">
        <v>31680</v>
      </c>
      <c r="H104" t="s">
        <v>389</v>
      </c>
      <c r="I104">
        <v>118</v>
      </c>
      <c r="J104">
        <v>0.47754600000000003</v>
      </c>
      <c r="K104">
        <v>47.752905756000004</v>
      </c>
      <c r="L104">
        <v>4.070174299259862</v>
      </c>
      <c r="M104">
        <v>24.568100733422849</v>
      </c>
      <c r="V104">
        <v>35.684399999999997</v>
      </c>
      <c r="W104">
        <v>-117.6878</v>
      </c>
      <c r="X104" t="s">
        <v>21</v>
      </c>
      <c r="Y104" t="s">
        <v>776</v>
      </c>
      <c r="AA104">
        <v>0.20100000000000001</v>
      </c>
      <c r="AB104" t="s">
        <v>705</v>
      </c>
      <c r="AC104" t="s">
        <v>706</v>
      </c>
      <c r="AD104" t="s">
        <v>342</v>
      </c>
      <c r="AE104" t="s">
        <v>611</v>
      </c>
      <c r="AF104" t="s">
        <v>380</v>
      </c>
      <c r="AH104">
        <v>1</v>
      </c>
    </row>
    <row r="105" spans="1:34" x14ac:dyDescent="0.3">
      <c r="A105" t="s">
        <v>26</v>
      </c>
      <c r="B105" t="s">
        <v>721</v>
      </c>
      <c r="C105">
        <v>2014</v>
      </c>
      <c r="D105">
        <v>93654.848012536007</v>
      </c>
      <c r="E105">
        <v>110000</v>
      </c>
      <c r="H105" t="s">
        <v>725</v>
      </c>
      <c r="I105">
        <v>1014</v>
      </c>
      <c r="J105">
        <v>4.1036580000000002</v>
      </c>
      <c r="K105">
        <v>410.36579999999998</v>
      </c>
      <c r="L105">
        <v>4.381682408422372</v>
      </c>
      <c r="M105">
        <v>22.822283926325245</v>
      </c>
      <c r="V105">
        <v>37.119799999999998</v>
      </c>
      <c r="W105">
        <v>-121.0553</v>
      </c>
      <c r="X105" t="s">
        <v>21</v>
      </c>
      <c r="AA105">
        <v>0.20100000000000001</v>
      </c>
      <c r="AB105" t="s">
        <v>391</v>
      </c>
      <c r="AC105" t="s">
        <v>726</v>
      </c>
      <c r="AD105" t="s">
        <v>24</v>
      </c>
      <c r="AE105" t="s">
        <v>694</v>
      </c>
      <c r="AF105" t="s">
        <v>709</v>
      </c>
      <c r="AH105">
        <v>1</v>
      </c>
    </row>
    <row r="106" spans="1:34" x14ac:dyDescent="0.3">
      <c r="A106" t="s">
        <v>26</v>
      </c>
      <c r="B106" t="s">
        <v>445</v>
      </c>
      <c r="C106">
        <v>2011</v>
      </c>
      <c r="D106">
        <v>891.4238715375019</v>
      </c>
      <c r="E106">
        <v>1047</v>
      </c>
      <c r="G106">
        <v>119</v>
      </c>
      <c r="H106" t="s">
        <v>445</v>
      </c>
      <c r="I106">
        <v>6.8</v>
      </c>
      <c r="J106">
        <v>2.7519600000000002E-2</v>
      </c>
      <c r="K106">
        <v>2.7518623656000001</v>
      </c>
      <c r="L106">
        <v>3.0870413654658675</v>
      </c>
      <c r="M106">
        <v>32.392326615848411</v>
      </c>
      <c r="N106">
        <v>6.8</v>
      </c>
      <c r="O106">
        <v>2.7519600000000002E-2</v>
      </c>
      <c r="P106">
        <v>2.75196</v>
      </c>
      <c r="Q106">
        <v>3.0871508918125556</v>
      </c>
      <c r="R106">
        <v>32.392326615848411</v>
      </c>
      <c r="V106">
        <v>36.271884</v>
      </c>
      <c r="W106">
        <v>-119.478266</v>
      </c>
      <c r="X106" t="s">
        <v>139</v>
      </c>
      <c r="Z106" t="s">
        <v>94</v>
      </c>
      <c r="AA106">
        <v>0.25</v>
      </c>
      <c r="AC106" t="s">
        <v>446</v>
      </c>
      <c r="AD106" t="s">
        <v>29</v>
      </c>
      <c r="AE106" t="s">
        <v>157</v>
      </c>
      <c r="AF106" t="s">
        <v>380</v>
      </c>
      <c r="AH106">
        <v>1</v>
      </c>
    </row>
    <row r="107" spans="1:34" x14ac:dyDescent="0.3">
      <c r="A107" t="s">
        <v>160</v>
      </c>
      <c r="B107" t="s">
        <v>495</v>
      </c>
      <c r="C107">
        <v>2011</v>
      </c>
      <c r="D107">
        <v>1000</v>
      </c>
      <c r="E107">
        <v>1174.5254232357104</v>
      </c>
      <c r="F107">
        <v>10</v>
      </c>
      <c r="G107">
        <v>173</v>
      </c>
      <c r="H107" t="s">
        <v>496</v>
      </c>
      <c r="I107">
        <v>17</v>
      </c>
      <c r="J107">
        <v>6.8798999999999999E-2</v>
      </c>
      <c r="K107">
        <v>6.8796559140000006</v>
      </c>
      <c r="L107">
        <v>6.8796559140000006</v>
      </c>
      <c r="M107">
        <v>14.535094986845738</v>
      </c>
      <c r="N107">
        <v>10.7</v>
      </c>
      <c r="O107">
        <v>4.3302899999999998E-2</v>
      </c>
      <c r="P107">
        <v>4.3302899999999998</v>
      </c>
      <c r="Q107">
        <v>4.3302899999999998</v>
      </c>
      <c r="R107">
        <v>23.093141567885755</v>
      </c>
      <c r="V107">
        <v>36.706257000000001</v>
      </c>
      <c r="W107">
        <v>-105.624189</v>
      </c>
      <c r="X107" t="s">
        <v>139</v>
      </c>
      <c r="Z107" t="s">
        <v>95</v>
      </c>
      <c r="AA107">
        <v>0.25</v>
      </c>
      <c r="AB107" t="s">
        <v>501</v>
      </c>
      <c r="AC107" t="s">
        <v>497</v>
      </c>
      <c r="AD107" t="s">
        <v>29</v>
      </c>
      <c r="AH107">
        <v>1</v>
      </c>
    </row>
    <row r="108" spans="1:34" x14ac:dyDescent="0.3">
      <c r="A108" t="s">
        <v>26</v>
      </c>
      <c r="B108" t="s">
        <v>731</v>
      </c>
      <c r="C108">
        <v>2015</v>
      </c>
      <c r="D108">
        <v>127711.15638073093</v>
      </c>
      <c r="E108">
        <v>150000</v>
      </c>
      <c r="H108" t="s">
        <v>730</v>
      </c>
      <c r="I108">
        <v>1057</v>
      </c>
      <c r="J108">
        <v>4.277679</v>
      </c>
      <c r="K108">
        <v>427.7679</v>
      </c>
      <c r="L108">
        <v>3.3494951586276738</v>
      </c>
      <c r="M108">
        <v>29.855245421811905</v>
      </c>
      <c r="V108">
        <v>32.772010000000002</v>
      </c>
      <c r="W108">
        <v>-115.79382</v>
      </c>
      <c r="X108" t="s">
        <v>139</v>
      </c>
      <c r="AA108">
        <v>0.25</v>
      </c>
      <c r="AB108" t="s">
        <v>732</v>
      </c>
      <c r="AD108" t="s">
        <v>24</v>
      </c>
      <c r="AE108" t="s">
        <v>475</v>
      </c>
      <c r="AF108" t="s">
        <v>252</v>
      </c>
      <c r="AH108">
        <v>1</v>
      </c>
    </row>
    <row r="109" spans="1:34" x14ac:dyDescent="0.3">
      <c r="A109" t="s">
        <v>35</v>
      </c>
      <c r="B109" t="s">
        <v>632</v>
      </c>
      <c r="C109">
        <v>2006</v>
      </c>
      <c r="D109">
        <v>148.99634911085275</v>
      </c>
      <c r="E109">
        <v>175</v>
      </c>
      <c r="H109" t="s">
        <v>175</v>
      </c>
      <c r="I109">
        <v>1.635</v>
      </c>
      <c r="J109">
        <v>6.6168450000000005E-3</v>
      </c>
      <c r="K109">
        <v>0.66166102466999999</v>
      </c>
      <c r="L109">
        <v>4.4407868287948897</v>
      </c>
      <c r="M109">
        <v>22.517733014881372</v>
      </c>
      <c r="N109">
        <v>0.86</v>
      </c>
      <c r="O109">
        <v>3.4804200000000001E-3</v>
      </c>
      <c r="P109">
        <v>0.34804200000000002</v>
      </c>
      <c r="Q109">
        <v>2.3359095848788751</v>
      </c>
      <c r="R109">
        <v>42.809876138757026</v>
      </c>
      <c r="V109">
        <v>34.674278000000001</v>
      </c>
      <c r="W109">
        <v>-112.406209</v>
      </c>
      <c r="X109" t="s">
        <v>139</v>
      </c>
      <c r="Z109" t="s">
        <v>96</v>
      </c>
      <c r="AA109">
        <v>0.28999999999999998</v>
      </c>
      <c r="AB109" t="s">
        <v>177</v>
      </c>
      <c r="AC109" t="s">
        <v>176</v>
      </c>
      <c r="AD109" t="s">
        <v>29</v>
      </c>
      <c r="AE109" t="s">
        <v>157</v>
      </c>
      <c r="AF109" t="s">
        <v>352</v>
      </c>
      <c r="AH109">
        <v>1</v>
      </c>
    </row>
    <row r="110" spans="1:34" x14ac:dyDescent="0.3">
      <c r="A110" t="s">
        <v>160</v>
      </c>
      <c r="B110" t="s">
        <v>447</v>
      </c>
      <c r="C110">
        <v>2011</v>
      </c>
      <c r="D110">
        <v>5040</v>
      </c>
      <c r="E110">
        <v>6468</v>
      </c>
      <c r="G110">
        <v>84</v>
      </c>
      <c r="H110" t="s">
        <v>448</v>
      </c>
      <c r="I110">
        <v>39</v>
      </c>
      <c r="J110">
        <v>0.157833</v>
      </c>
      <c r="K110">
        <v>15.782740038</v>
      </c>
      <c r="L110">
        <v>3.1314960392857141</v>
      </c>
      <c r="M110">
        <v>31.932485601870333</v>
      </c>
      <c r="N110">
        <v>30.28</v>
      </c>
      <c r="O110">
        <v>0.12254316000000001</v>
      </c>
      <c r="P110">
        <v>12.254316000000001</v>
      </c>
      <c r="Q110">
        <v>2.4314119047619052</v>
      </c>
      <c r="R110">
        <v>41.12836652816852</v>
      </c>
      <c r="V110">
        <v>32.627780000000001</v>
      </c>
      <c r="W110">
        <v>-107.25798</v>
      </c>
      <c r="X110" t="s">
        <v>139</v>
      </c>
      <c r="Z110" t="s">
        <v>96</v>
      </c>
      <c r="AA110">
        <v>0.28999999999999998</v>
      </c>
      <c r="AC110" t="s">
        <v>449</v>
      </c>
      <c r="AD110" t="s">
        <v>29</v>
      </c>
      <c r="AE110" t="s">
        <v>450</v>
      </c>
      <c r="AF110" t="s">
        <v>444</v>
      </c>
      <c r="AH110">
        <v>1</v>
      </c>
    </row>
    <row r="111" spans="1:34" x14ac:dyDescent="0.3">
      <c r="A111" t="s">
        <v>3</v>
      </c>
      <c r="B111" t="s">
        <v>661</v>
      </c>
      <c r="C111">
        <v>2012</v>
      </c>
      <c r="D111">
        <v>30720</v>
      </c>
      <c r="E111">
        <v>36081.421001801027</v>
      </c>
      <c r="F111">
        <v>140</v>
      </c>
      <c r="H111" t="s">
        <v>663</v>
      </c>
      <c r="I111">
        <v>225</v>
      </c>
      <c r="J111">
        <v>0.91057500000000002</v>
      </c>
      <c r="K111">
        <v>91.057500000000005</v>
      </c>
      <c r="L111">
        <v>2.9641113281250004</v>
      </c>
      <c r="M111">
        <v>33.736924470801412</v>
      </c>
      <c r="N111">
        <v>178.24</v>
      </c>
      <c r="O111">
        <v>0.72133728000000008</v>
      </c>
      <c r="P111">
        <v>72.133728000000005</v>
      </c>
      <c r="Q111">
        <v>2.3481031250000002</v>
      </c>
      <c r="R111">
        <v>42.58756735822665</v>
      </c>
      <c r="V111">
        <v>37.598750000000003</v>
      </c>
      <c r="W111">
        <v>-105.95184999999999</v>
      </c>
      <c r="X111" t="s">
        <v>139</v>
      </c>
      <c r="Y111" t="s">
        <v>664</v>
      </c>
      <c r="AA111">
        <v>0.31</v>
      </c>
      <c r="AB111" t="s">
        <v>664</v>
      </c>
      <c r="AC111" t="s">
        <v>662</v>
      </c>
      <c r="AD111" t="s">
        <v>109</v>
      </c>
      <c r="AE111" t="s">
        <v>475</v>
      </c>
      <c r="AF111" t="s">
        <v>252</v>
      </c>
      <c r="AH111">
        <v>1</v>
      </c>
    </row>
    <row r="115" spans="6:27" ht="15" thickBot="1" x14ac:dyDescent="0.35">
      <c r="H115" s="11" t="s">
        <v>858</v>
      </c>
      <c r="I115" s="11"/>
      <c r="J115" s="11"/>
      <c r="K115" s="11"/>
      <c r="L115" s="11"/>
      <c r="M115" s="11"/>
      <c r="N115" s="11"/>
      <c r="O115" s="11"/>
      <c r="P115" s="11"/>
      <c r="Q115" s="11"/>
      <c r="R115" s="11"/>
      <c r="U115" s="11" t="s">
        <v>841</v>
      </c>
      <c r="V115" s="11"/>
      <c r="W115" s="11"/>
      <c r="X115" s="11"/>
      <c r="Y115" s="11"/>
      <c r="Z115" s="11"/>
      <c r="AA115" s="11"/>
    </row>
    <row r="116" spans="6:27" x14ac:dyDescent="0.3">
      <c r="F116" t="s">
        <v>860</v>
      </c>
      <c r="H116" t="s">
        <v>134</v>
      </c>
      <c r="I116" s="26">
        <f>MAX(I$3:I$37)</f>
        <v>4144</v>
      </c>
      <c r="J116" s="26">
        <f t="shared" ref="J116:R116" si="0">MAX(J$3:J$37)</f>
        <v>16.770768</v>
      </c>
      <c r="K116" s="26">
        <f t="shared" si="0"/>
        <v>1677.0768</v>
      </c>
      <c r="L116" s="26">
        <f t="shared" si="0"/>
        <v>5.3208104695717511</v>
      </c>
      <c r="M116" s="26">
        <f t="shared" si="0"/>
        <v>38.829468036287899</v>
      </c>
      <c r="N116" s="26">
        <f t="shared" si="0"/>
        <v>4410</v>
      </c>
      <c r="O116" s="26">
        <f t="shared" si="0"/>
        <v>17.847270000000002</v>
      </c>
      <c r="P116" s="26">
        <f t="shared" si="0"/>
        <v>1784.7270000000001</v>
      </c>
      <c r="Q116" s="26">
        <f t="shared" si="0"/>
        <v>5.0819279010679512</v>
      </c>
      <c r="R116" s="26">
        <f t="shared" si="0"/>
        <v>44.831275985432036</v>
      </c>
      <c r="U116" s="171" t="s">
        <v>350</v>
      </c>
      <c r="V116" s="118" t="s">
        <v>13</v>
      </c>
      <c r="W116" s="118"/>
      <c r="X116" s="118"/>
      <c r="Y116" s="118" t="s">
        <v>9</v>
      </c>
      <c r="Z116" s="118"/>
      <c r="AA116" s="119"/>
    </row>
    <row r="117" spans="6:27" ht="15" thickBot="1" x14ac:dyDescent="0.35">
      <c r="H117" t="s">
        <v>135</v>
      </c>
      <c r="I117" s="26">
        <f>MIN(I$3:I$37)</f>
        <v>8.5</v>
      </c>
      <c r="J117" s="26">
        <f t="shared" ref="J117:R117" si="1">MIN(J$3:J$37)</f>
        <v>3.43995E-2</v>
      </c>
      <c r="K117" s="26">
        <f t="shared" si="1"/>
        <v>3.4398279570000003</v>
      </c>
      <c r="L117" s="26">
        <f t="shared" si="1"/>
        <v>2.5753636363636363</v>
      </c>
      <c r="M117" s="26">
        <f t="shared" si="1"/>
        <v>18.793462529563342</v>
      </c>
      <c r="N117" s="26">
        <f t="shared" si="1"/>
        <v>6.9</v>
      </c>
      <c r="O117" s="26">
        <f t="shared" si="1"/>
        <v>2.7924300000000003E-2</v>
      </c>
      <c r="P117" s="26">
        <f t="shared" si="1"/>
        <v>2.79243</v>
      </c>
      <c r="Q117" s="26">
        <f t="shared" si="1"/>
        <v>2.230585630275058</v>
      </c>
      <c r="R117" s="26">
        <f t="shared" si="1"/>
        <v>19.677571572588679</v>
      </c>
      <c r="U117" s="179" t="str">
        <f t="shared" ref="U117:U122" si="2">H115</f>
        <v>8-12%</v>
      </c>
      <c r="V117" s="180" t="s">
        <v>761</v>
      </c>
      <c r="W117" s="181" t="s">
        <v>239</v>
      </c>
      <c r="X117" s="182" t="s">
        <v>762</v>
      </c>
      <c r="Y117" s="182" t="s">
        <v>761</v>
      </c>
      <c r="Z117" s="182" t="s">
        <v>239</v>
      </c>
      <c r="AA117" s="183" t="s">
        <v>762</v>
      </c>
    </row>
    <row r="118" spans="6:27" x14ac:dyDescent="0.3">
      <c r="H118" t="s">
        <v>137</v>
      </c>
      <c r="I118" s="26">
        <f>wtavg($D$3:$D$37,I$3:I$37)</f>
        <v>2549.8700891335366</v>
      </c>
      <c r="J118" s="26">
        <f t="shared" ref="J118:R118" si="3">wtavg($D$3:$D$37,J$3:J$37)</f>
        <v>10.319324250723424</v>
      </c>
      <c r="K118" s="26">
        <f t="shared" si="3"/>
        <v>1031.9323410325387</v>
      </c>
      <c r="L118" s="26">
        <f t="shared" si="3"/>
        <v>3.3179312165106185</v>
      </c>
      <c r="M118" s="26">
        <f t="shared" si="3"/>
        <v>31.072231476939347</v>
      </c>
      <c r="N118" s="26">
        <f t="shared" si="3"/>
        <v>2803.9118336312358</v>
      </c>
      <c r="O118" s="26">
        <f t="shared" si="3"/>
        <v>11.347431190705615</v>
      </c>
      <c r="P118" s="26">
        <f t="shared" si="3"/>
        <v>1134.7431170968091</v>
      </c>
      <c r="Q118" s="26">
        <f t="shared" si="3"/>
        <v>3.4216436180433507</v>
      </c>
      <c r="R118" s="26">
        <f t="shared" si="3"/>
        <v>29.83321035892682</v>
      </c>
      <c r="U118" s="120" t="str">
        <f t="shared" si="2"/>
        <v>Max</v>
      </c>
      <c r="V118" s="164">
        <f>L116</f>
        <v>5.3208104695717511</v>
      </c>
      <c r="W118" s="123">
        <f>V118*2.47105381</f>
        <v>13.148008983123164</v>
      </c>
      <c r="X118" s="9">
        <f>M116</f>
        <v>38.829468036287899</v>
      </c>
      <c r="Y118" s="9">
        <f>Q116</f>
        <v>5.0819279010679512</v>
      </c>
      <c r="Z118" s="123">
        <f>Y118*2.47105381</f>
        <v>12.557717302079263</v>
      </c>
      <c r="AA118" s="161">
        <f>R116</f>
        <v>44.831275985432036</v>
      </c>
    </row>
    <row r="119" spans="6:27" x14ac:dyDescent="0.3">
      <c r="H119" t="s">
        <v>136</v>
      </c>
      <c r="I119" s="26">
        <f>wtstd($D$3:$D$37,I$3:I$37)</f>
        <v>463.61962216293364</v>
      </c>
      <c r="J119" s="26">
        <f t="shared" ref="J119:R119" si="4">wtstd($D$3:$D$37,J$3:J$37)</f>
        <v>1.8762686108933928</v>
      </c>
      <c r="K119" s="26">
        <f t="shared" si="4"/>
        <v>187.62691250054087</v>
      </c>
      <c r="L119" s="26">
        <f t="shared" si="4"/>
        <v>0.20659789023091249</v>
      </c>
      <c r="M119" s="26">
        <f t="shared" si="4"/>
        <v>1.8015244531322339</v>
      </c>
      <c r="N119" s="26">
        <f t="shared" si="4"/>
        <v>698.64870100390863</v>
      </c>
      <c r="O119" s="26">
        <f t="shared" si="4"/>
        <v>2.8274312929628187</v>
      </c>
      <c r="P119" s="26">
        <f t="shared" si="4"/>
        <v>282.74313078492764</v>
      </c>
      <c r="Q119" s="26">
        <f t="shared" si="4"/>
        <v>0.2168087155364059</v>
      </c>
      <c r="R119" s="26">
        <f t="shared" si="4"/>
        <v>1.8903494715101741</v>
      </c>
      <c r="U119" s="120" t="str">
        <f t="shared" si="2"/>
        <v>Min</v>
      </c>
      <c r="V119" s="164">
        <f t="shared" ref="V119:V136" si="5">L117</f>
        <v>2.5753636363636363</v>
      </c>
      <c r="W119" s="123">
        <f t="shared" ref="W119:W136" si="6">V119*2.47105381</f>
        <v>6.363862125771818</v>
      </c>
      <c r="X119" s="9">
        <f t="shared" ref="X119:X136" si="7">M117</f>
        <v>18.793462529563342</v>
      </c>
      <c r="Y119" s="9">
        <f t="shared" ref="Y119:Y136" si="8">Q117</f>
        <v>2.230585630275058</v>
      </c>
      <c r="Z119" s="123">
        <f t="shared" ref="Z119:Z136" si="9">Y119*2.47105381</f>
        <v>5.5118971202224332</v>
      </c>
      <c r="AA119" s="161">
        <f t="shared" ref="AA119:AA136" si="10">R117</f>
        <v>19.677571572588679</v>
      </c>
    </row>
    <row r="120" spans="6:27" x14ac:dyDescent="0.3">
      <c r="H120" t="s">
        <v>859</v>
      </c>
      <c r="I120" s="26"/>
      <c r="J120" s="25"/>
      <c r="K120" s="26"/>
      <c r="L120" s="26"/>
      <c r="M120" s="26"/>
      <c r="N120" s="26"/>
      <c r="O120" s="26"/>
      <c r="P120" s="26"/>
      <c r="Q120" s="26"/>
      <c r="R120" s="26"/>
      <c r="U120" s="178" t="str">
        <f t="shared" si="2"/>
        <v>W. Average</v>
      </c>
      <c r="V120" s="168">
        <f t="shared" si="5"/>
        <v>3.3179312165106185</v>
      </c>
      <c r="W120" s="169">
        <f t="shared" si="6"/>
        <v>8.1987865738764985</v>
      </c>
      <c r="X120" s="170">
        <f t="shared" si="7"/>
        <v>31.072231476939347</v>
      </c>
      <c r="Y120" s="170">
        <f t="shared" si="8"/>
        <v>3.4216436180433507</v>
      </c>
      <c r="Z120" s="169">
        <f t="shared" si="9"/>
        <v>8.4550654988282066</v>
      </c>
      <c r="AA120" s="172">
        <f t="shared" si="10"/>
        <v>29.83321035892682</v>
      </c>
    </row>
    <row r="121" spans="6:27" ht="15" thickBot="1" x14ac:dyDescent="0.35">
      <c r="F121" t="s">
        <v>861</v>
      </c>
      <c r="H121" t="s">
        <v>134</v>
      </c>
      <c r="I121" s="26">
        <f>MAX(I$38:I$88)</f>
        <v>900</v>
      </c>
      <c r="J121" s="26">
        <f t="shared" ref="J121:R121" si="11">MAX(J$38:J$88)</f>
        <v>3.6423000000000001</v>
      </c>
      <c r="K121" s="26">
        <f t="shared" si="11"/>
        <v>364.23</v>
      </c>
      <c r="L121" s="26">
        <f t="shared" si="11"/>
        <v>5.463591579328674</v>
      </c>
      <c r="M121" s="26">
        <f t="shared" si="11"/>
        <v>82.365538258792512</v>
      </c>
      <c r="N121" s="26">
        <f t="shared" si="11"/>
        <v>195</v>
      </c>
      <c r="O121" s="26">
        <f t="shared" si="11"/>
        <v>0.78916500000000001</v>
      </c>
      <c r="P121" s="26">
        <f t="shared" si="11"/>
        <v>78.916499999999999</v>
      </c>
      <c r="Q121" s="26">
        <f t="shared" si="11"/>
        <v>3.8215480872717507</v>
      </c>
      <c r="R121" s="26">
        <f t="shared" si="11"/>
        <v>110.70636862740929</v>
      </c>
      <c r="U121" s="120" t="str">
        <f t="shared" si="2"/>
        <v>SD</v>
      </c>
      <c r="V121" s="164">
        <f t="shared" si="5"/>
        <v>0.20659789023091249</v>
      </c>
      <c r="W121" s="123">
        <f t="shared" si="6"/>
        <v>0.51051450379305807</v>
      </c>
      <c r="X121" s="9">
        <f t="shared" si="7"/>
        <v>1.8015244531322339</v>
      </c>
      <c r="Y121" s="9">
        <f t="shared" si="8"/>
        <v>0.2168087155364059</v>
      </c>
      <c r="Z121" s="123">
        <f t="shared" si="9"/>
        <v>0.53574600256744198</v>
      </c>
      <c r="AA121" s="161">
        <f t="shared" si="10"/>
        <v>1.8903494715101741</v>
      </c>
    </row>
    <row r="122" spans="6:27" ht="15" thickBot="1" x14ac:dyDescent="0.35">
      <c r="H122" t="s">
        <v>135</v>
      </c>
      <c r="I122" s="26">
        <f>MIN(I$38:I$88)</f>
        <v>3.8</v>
      </c>
      <c r="J122" s="26">
        <f t="shared" ref="J122:R122" si="12">MIN(J$38:J$88)</f>
        <v>1.5378600000000001E-2</v>
      </c>
      <c r="K122" s="26">
        <f t="shared" si="12"/>
        <v>1.5378054396</v>
      </c>
      <c r="L122" s="26">
        <f t="shared" si="12"/>
        <v>1.214056926</v>
      </c>
      <c r="M122" s="26">
        <f t="shared" si="12"/>
        <v>18.302329289242348</v>
      </c>
      <c r="N122" s="26">
        <f t="shared" si="12"/>
        <v>2.7</v>
      </c>
      <c r="O122" s="26">
        <f t="shared" si="12"/>
        <v>1.0926900000000002E-2</v>
      </c>
      <c r="P122" s="26">
        <f t="shared" si="12"/>
        <v>1.0926900000000002</v>
      </c>
      <c r="Q122" s="26">
        <f t="shared" si="12"/>
        <v>0.90329040000000005</v>
      </c>
      <c r="R122" s="26">
        <f t="shared" si="12"/>
        <v>26.166477538215069</v>
      </c>
      <c r="U122" s="173" t="str">
        <f t="shared" si="2"/>
        <v>12-18%</v>
      </c>
      <c r="V122" s="174"/>
      <c r="W122" s="175"/>
      <c r="X122" s="176"/>
      <c r="Y122" s="176"/>
      <c r="Z122" s="175"/>
      <c r="AA122" s="177"/>
    </row>
    <row r="123" spans="6:27" x14ac:dyDescent="0.3">
      <c r="H123" t="s">
        <v>137</v>
      </c>
      <c r="I123" s="26">
        <f>wtavg($D38:$D88,I$38:I$88)</f>
        <v>384.32968608936937</v>
      </c>
      <c r="J123" s="26">
        <f t="shared" ref="J123:R123" si="13">wtavg($D38:$D88,J$38:J$88)</f>
        <v>1.5553822396036781</v>
      </c>
      <c r="K123" s="26">
        <f t="shared" si="13"/>
        <v>155.53796158062056</v>
      </c>
      <c r="L123" s="26">
        <f t="shared" si="13"/>
        <v>2.7933215978822816</v>
      </c>
      <c r="M123" s="26">
        <f t="shared" si="13"/>
        <v>38.868669590406391</v>
      </c>
      <c r="N123" s="26">
        <f t="shared" si="13"/>
        <v>90.133907723263633</v>
      </c>
      <c r="O123" s="26">
        <f t="shared" si="13"/>
        <v>0.36477192455604784</v>
      </c>
      <c r="P123" s="26">
        <f t="shared" si="13"/>
        <v>36.477180091276928</v>
      </c>
      <c r="Q123" s="26">
        <f t="shared" si="13"/>
        <v>2.3499275151512946</v>
      </c>
      <c r="R123" s="26">
        <f t="shared" si="13"/>
        <v>45.788497727008107</v>
      </c>
      <c r="U123" s="120" t="str">
        <f>H126</f>
        <v>Max</v>
      </c>
      <c r="V123" s="164">
        <f t="shared" si="5"/>
        <v>5.463591579328674</v>
      </c>
      <c r="W123" s="123">
        <f t="shared" si="6"/>
        <v>13.500828788384037</v>
      </c>
      <c r="X123" s="9">
        <f t="shared" si="7"/>
        <v>82.365538258792512</v>
      </c>
      <c r="Y123" s="9">
        <f t="shared" si="8"/>
        <v>3.8215480872717507</v>
      </c>
      <c r="Z123" s="123">
        <f t="shared" si="9"/>
        <v>9.4432509611510724</v>
      </c>
      <c r="AA123" s="161">
        <f t="shared" si="10"/>
        <v>110.70636862740929</v>
      </c>
    </row>
    <row r="124" spans="6:27" x14ac:dyDescent="0.3">
      <c r="H124" t="s">
        <v>136</v>
      </c>
      <c r="I124" s="26">
        <f>wtstd($D$38:$D$88,I$38:I$88)</f>
        <v>99.283149869669998</v>
      </c>
      <c r="J124" s="26">
        <f t="shared" ref="J124:R124" si="14">wtstd($D$38:$D$88,J$38:J$88)</f>
        <v>0.40179890752255448</v>
      </c>
      <c r="K124" s="26">
        <f t="shared" si="14"/>
        <v>40.179951483159158</v>
      </c>
      <c r="L124" s="26">
        <f t="shared" si="14"/>
        <v>0.24097243451426484</v>
      </c>
      <c r="M124" s="26">
        <f t="shared" si="14"/>
        <v>3.1540146709015593</v>
      </c>
      <c r="N124" s="26">
        <f t="shared" si="14"/>
        <v>21.42375464176569</v>
      </c>
      <c r="O124" s="26">
        <f t="shared" si="14"/>
        <v>8.6701935035225761E-2</v>
      </c>
      <c r="P124" s="26">
        <f t="shared" si="14"/>
        <v>8.6701984911747427</v>
      </c>
      <c r="Q124" s="26">
        <f t="shared" si="14"/>
        <v>0.17645739060393792</v>
      </c>
      <c r="R124" s="26">
        <f t="shared" si="14"/>
        <v>5.0634503190828291</v>
      </c>
      <c r="U124" s="120" t="str">
        <f>H127</f>
        <v>Min</v>
      </c>
      <c r="V124" s="164">
        <f t="shared" si="5"/>
        <v>1.214056926</v>
      </c>
      <c r="W124" s="123">
        <f t="shared" si="6"/>
        <v>2.999999992549188</v>
      </c>
      <c r="X124" s="9">
        <f t="shared" si="7"/>
        <v>18.302329289242348</v>
      </c>
      <c r="Y124" s="9">
        <f t="shared" si="8"/>
        <v>0.90329040000000005</v>
      </c>
      <c r="Z124" s="123">
        <f t="shared" si="9"/>
        <v>2.2320791844564241</v>
      </c>
      <c r="AA124" s="161">
        <f t="shared" si="10"/>
        <v>26.166477538215069</v>
      </c>
    </row>
    <row r="125" spans="6:27" x14ac:dyDescent="0.3">
      <c r="H125" s="11" t="s">
        <v>864</v>
      </c>
      <c r="I125" s="26"/>
      <c r="J125" s="26"/>
      <c r="K125" s="26"/>
      <c r="L125" s="26"/>
      <c r="M125" s="26"/>
      <c r="N125" s="26"/>
      <c r="O125" s="26"/>
      <c r="P125" s="26"/>
      <c r="Q125" s="26"/>
      <c r="R125" s="26"/>
      <c r="U125" s="178" t="str">
        <f>H128</f>
        <v>W. Average</v>
      </c>
      <c r="V125" s="168">
        <f t="shared" si="5"/>
        <v>2.7933215978822816</v>
      </c>
      <c r="W125" s="169">
        <f t="shared" si="6"/>
        <v>6.9024479770023</v>
      </c>
      <c r="X125" s="170">
        <f t="shared" si="7"/>
        <v>38.868669590406391</v>
      </c>
      <c r="Y125" s="170">
        <f t="shared" si="8"/>
        <v>2.3499275151512946</v>
      </c>
      <c r="Z125" s="169">
        <f t="shared" si="9"/>
        <v>5.8067973395384387</v>
      </c>
      <c r="AA125" s="172">
        <f t="shared" si="10"/>
        <v>45.788497727008107</v>
      </c>
    </row>
    <row r="126" spans="6:27" ht="15" thickBot="1" x14ac:dyDescent="0.35">
      <c r="F126" t="s">
        <v>862</v>
      </c>
      <c r="H126" t="s">
        <v>134</v>
      </c>
      <c r="I126" s="26">
        <f>MAX(I$89:I$105)</f>
        <v>1014</v>
      </c>
      <c r="J126" s="26">
        <f t="shared" ref="J126:R126" si="15">MAX(J$89:J$105)</f>
        <v>4.1036580000000002</v>
      </c>
      <c r="K126" s="26">
        <f t="shared" si="15"/>
        <v>410.36579999999998</v>
      </c>
      <c r="L126" s="26">
        <f t="shared" si="15"/>
        <v>5.0926732476404499</v>
      </c>
      <c r="M126" s="26">
        <f t="shared" si="15"/>
        <v>43.048190727591908</v>
      </c>
      <c r="N126" s="26">
        <f t="shared" si="15"/>
        <v>180</v>
      </c>
      <c r="O126" s="26">
        <f t="shared" si="15"/>
        <v>0.72846</v>
      </c>
      <c r="P126" s="26">
        <f t="shared" si="15"/>
        <v>72.846000000000004</v>
      </c>
      <c r="Q126" s="26">
        <f t="shared" si="15"/>
        <v>4.2779739490514288</v>
      </c>
      <c r="R126" s="26">
        <f t="shared" si="15"/>
        <v>51.693852463677317</v>
      </c>
      <c r="U126" s="120" t="str">
        <f>H129</f>
        <v>SD</v>
      </c>
      <c r="V126" s="164">
        <f t="shared" si="5"/>
        <v>0.24097243451426484</v>
      </c>
      <c r="W126" s="123">
        <f t="shared" si="6"/>
        <v>0.5954558524114496</v>
      </c>
      <c r="X126" s="9">
        <f t="shared" si="7"/>
        <v>3.1540146709015593</v>
      </c>
      <c r="Y126" s="9">
        <f t="shared" si="8"/>
        <v>0.17645739060393792</v>
      </c>
      <c r="Z126" s="123">
        <f t="shared" si="9"/>
        <v>0.43603570735451896</v>
      </c>
      <c r="AA126" s="161">
        <f t="shared" si="10"/>
        <v>5.0634503190828291</v>
      </c>
    </row>
    <row r="127" spans="6:27" ht="15" thickBot="1" x14ac:dyDescent="0.35">
      <c r="H127" t="s">
        <v>135</v>
      </c>
      <c r="I127" s="26">
        <f>MIN(I$89:I$105)</f>
        <v>9.5</v>
      </c>
      <c r="J127" s="26">
        <f t="shared" ref="J127:R127" si="16">MIN(J$89:J$105)</f>
        <v>3.8446500000000002E-2</v>
      </c>
      <c r="K127" s="26">
        <f t="shared" si="16"/>
        <v>3.8445135989999999</v>
      </c>
      <c r="L127" s="26">
        <f t="shared" si="16"/>
        <v>2.3228955850799999</v>
      </c>
      <c r="M127" s="26">
        <f t="shared" si="16"/>
        <v>19.635355995622859</v>
      </c>
      <c r="N127" s="26">
        <f t="shared" si="16"/>
        <v>6.1</v>
      </c>
      <c r="O127" s="26">
        <f t="shared" si="16"/>
        <v>2.4686699999999999E-2</v>
      </c>
      <c r="P127" s="26">
        <f t="shared" si="16"/>
        <v>2.4685824161999999</v>
      </c>
      <c r="Q127" s="26">
        <f t="shared" si="16"/>
        <v>1.9343973687599998</v>
      </c>
      <c r="R127" s="26">
        <f t="shared" si="16"/>
        <v>23.375551415448282</v>
      </c>
      <c r="U127" s="173" t="str">
        <f>H125</f>
        <v>18-24%</v>
      </c>
      <c r="V127" s="174"/>
      <c r="W127" s="175"/>
      <c r="X127" s="176"/>
      <c r="Y127" s="176"/>
      <c r="Z127" s="175"/>
      <c r="AA127" s="177"/>
    </row>
    <row r="128" spans="6:27" x14ac:dyDescent="0.3">
      <c r="H128" t="s">
        <v>137</v>
      </c>
      <c r="I128" s="26">
        <f>wtavg($D89:$D105,I$89:I$105)</f>
        <v>449.62944473076953</v>
      </c>
      <c r="J128" s="26">
        <f t="shared" ref="J128:R128" si="17">wtavg($D89:$D105,J$89:J$105)</f>
        <v>1.8196503628254244</v>
      </c>
      <c r="K128" s="26">
        <f t="shared" si="17"/>
        <v>181.9647836057955</v>
      </c>
      <c r="L128" s="26">
        <f t="shared" si="17"/>
        <v>3.6968803137653721</v>
      </c>
      <c r="M128" s="26">
        <f t="shared" si="17"/>
        <v>28.449195075210874</v>
      </c>
      <c r="N128" s="26">
        <f t="shared" si="17"/>
        <v>118.15002281162465</v>
      </c>
      <c r="O128" s="26">
        <f t="shared" si="17"/>
        <v>0.47815314231864492</v>
      </c>
      <c r="P128" s="26">
        <f t="shared" si="17"/>
        <v>47.815282753646407</v>
      </c>
      <c r="Q128" s="26">
        <f t="shared" si="17"/>
        <v>2.564415303853719</v>
      </c>
      <c r="R128" s="26">
        <f t="shared" si="17"/>
        <v>40.107128982575937</v>
      </c>
      <c r="U128" s="120" t="str">
        <f>H121</f>
        <v>Max</v>
      </c>
      <c r="V128" s="164">
        <f t="shared" si="5"/>
        <v>5.0926732476404499</v>
      </c>
      <c r="W128" s="123">
        <f t="shared" si="6"/>
        <v>12.584269631667008</v>
      </c>
      <c r="X128" s="9">
        <f t="shared" si="7"/>
        <v>43.048190727591908</v>
      </c>
      <c r="Y128" s="9">
        <f t="shared" si="8"/>
        <v>4.2779739490514288</v>
      </c>
      <c r="Z128" s="123">
        <f t="shared" si="9"/>
        <v>10.571103825884279</v>
      </c>
      <c r="AA128" s="161">
        <f t="shared" si="10"/>
        <v>51.693852463677317</v>
      </c>
    </row>
    <row r="129" spans="6:27" x14ac:dyDescent="0.3">
      <c r="H129" t="s">
        <v>136</v>
      </c>
      <c r="I129" s="26">
        <f>wtstd($D$89:$D$105,I$89:I$105)</f>
        <v>206.13331114376055</v>
      </c>
      <c r="J129" s="26">
        <f t="shared" ref="J129:R129" si="18">wtstd($D$89:$D$105,J$89:J$105)</f>
        <v>0.8342215101987992</v>
      </c>
      <c r="K129" s="26">
        <f t="shared" si="18"/>
        <v>83.422259750114293</v>
      </c>
      <c r="L129" s="26">
        <f t="shared" si="18"/>
        <v>0.39155160724957577</v>
      </c>
      <c r="M129" s="26">
        <f t="shared" si="18"/>
        <v>3.3418308396162679</v>
      </c>
      <c r="N129" s="26">
        <f t="shared" si="18"/>
        <v>45.492041592046235</v>
      </c>
      <c r="O129" s="26">
        <f t="shared" si="18"/>
        <v>0.18410629232301112</v>
      </c>
      <c r="P129" s="26">
        <f t="shared" si="18"/>
        <v>18.410667441753734</v>
      </c>
      <c r="Q129" s="26">
        <f t="shared" si="18"/>
        <v>0.33165081127264867</v>
      </c>
      <c r="R129" s="26">
        <f t="shared" si="18"/>
        <v>5.0368483903475179</v>
      </c>
      <c r="U129" s="120" t="str">
        <f>H122</f>
        <v>Min</v>
      </c>
      <c r="V129" s="164">
        <f t="shared" si="5"/>
        <v>2.3228955850799999</v>
      </c>
      <c r="W129" s="123">
        <f t="shared" si="6"/>
        <v>5.7399999857441131</v>
      </c>
      <c r="X129" s="9">
        <f t="shared" si="7"/>
        <v>19.635355995622859</v>
      </c>
      <c r="Y129" s="9">
        <f t="shared" si="8"/>
        <v>1.9343973687599998</v>
      </c>
      <c r="Z129" s="123">
        <f t="shared" si="9"/>
        <v>4.7799999881283721</v>
      </c>
      <c r="AA129" s="161">
        <f t="shared" si="10"/>
        <v>23.375551415448282</v>
      </c>
    </row>
    <row r="130" spans="6:27" x14ac:dyDescent="0.3">
      <c r="F130" t="s">
        <v>863</v>
      </c>
      <c r="H130" t="s">
        <v>865</v>
      </c>
      <c r="I130" s="26"/>
      <c r="J130" s="26"/>
      <c r="K130" s="26"/>
      <c r="L130" s="26"/>
      <c r="M130" s="26"/>
      <c r="N130" s="26"/>
      <c r="O130" s="26"/>
      <c r="P130" s="26"/>
      <c r="Q130" s="26"/>
      <c r="R130" s="26"/>
      <c r="U130" s="178" t="str">
        <f>H123</f>
        <v>W. Average</v>
      </c>
      <c r="V130" s="168">
        <f t="shared" si="5"/>
        <v>3.6968803137653721</v>
      </c>
      <c r="W130" s="169">
        <f t="shared" si="6"/>
        <v>9.1351901844439176</v>
      </c>
      <c r="X130" s="170">
        <f t="shared" si="7"/>
        <v>28.449195075210874</v>
      </c>
      <c r="Y130" s="170">
        <f t="shared" si="8"/>
        <v>2.564415303853719</v>
      </c>
      <c r="Z130" s="169">
        <f t="shared" si="9"/>
        <v>6.3368082070100398</v>
      </c>
      <c r="AA130" s="172">
        <f t="shared" si="10"/>
        <v>40.107128982575937</v>
      </c>
    </row>
    <row r="131" spans="6:27" ht="15" thickBot="1" x14ac:dyDescent="0.35">
      <c r="H131" t="s">
        <v>134</v>
      </c>
      <c r="I131" s="26">
        <f>MAX(I$106:I$111)</f>
        <v>1057</v>
      </c>
      <c r="J131" s="26">
        <f t="shared" ref="J131:R131" si="19">MAX(J$106:J$111)</f>
        <v>4.277679</v>
      </c>
      <c r="K131" s="26">
        <f t="shared" si="19"/>
        <v>427.7679</v>
      </c>
      <c r="L131" s="26">
        <f t="shared" si="19"/>
        <v>6.8796559140000006</v>
      </c>
      <c r="M131" s="26">
        <f t="shared" si="19"/>
        <v>33.736924470801412</v>
      </c>
      <c r="N131" s="26">
        <f t="shared" si="19"/>
        <v>178.24</v>
      </c>
      <c r="O131" s="26">
        <f t="shared" si="19"/>
        <v>0.72133728000000008</v>
      </c>
      <c r="P131" s="26">
        <f t="shared" si="19"/>
        <v>72.133728000000005</v>
      </c>
      <c r="Q131" s="26">
        <f t="shared" si="19"/>
        <v>4.3302899999999998</v>
      </c>
      <c r="R131" s="26">
        <f t="shared" si="19"/>
        <v>42.809876138757026</v>
      </c>
      <c r="U131" s="120" t="str">
        <f>H124</f>
        <v>SD</v>
      </c>
      <c r="V131" s="164">
        <f t="shared" si="5"/>
        <v>0.39155160724957577</v>
      </c>
      <c r="W131" s="123">
        <f t="shared" si="6"/>
        <v>0.96754509090568774</v>
      </c>
      <c r="X131" s="9">
        <f t="shared" si="7"/>
        <v>3.3418308396162679</v>
      </c>
      <c r="Y131" s="9">
        <f t="shared" si="8"/>
        <v>0.33165081127264867</v>
      </c>
      <c r="Z131" s="123">
        <f t="shared" si="9"/>
        <v>0.8195270007848694</v>
      </c>
      <c r="AA131" s="161">
        <f t="shared" si="10"/>
        <v>5.0368483903475179</v>
      </c>
    </row>
    <row r="132" spans="6:27" ht="15" thickBot="1" x14ac:dyDescent="0.35">
      <c r="H132" t="s">
        <v>135</v>
      </c>
      <c r="I132" s="26">
        <f>MIN(I$106:I$111)</f>
        <v>1.635</v>
      </c>
      <c r="J132" s="26">
        <f t="shared" ref="J132:R132" si="20">MIN(J$106:J$111)</f>
        <v>6.6168450000000005E-3</v>
      </c>
      <c r="K132" s="26">
        <f t="shared" si="20"/>
        <v>0.66166102466999999</v>
      </c>
      <c r="L132" s="26">
        <f t="shared" si="20"/>
        <v>2.9641113281250004</v>
      </c>
      <c r="M132" s="26">
        <f t="shared" si="20"/>
        <v>14.535094986845738</v>
      </c>
      <c r="N132" s="26">
        <f t="shared" si="20"/>
        <v>0.86</v>
      </c>
      <c r="O132" s="26">
        <f t="shared" si="20"/>
        <v>3.4804200000000001E-3</v>
      </c>
      <c r="P132" s="26">
        <f t="shared" si="20"/>
        <v>0.34804200000000002</v>
      </c>
      <c r="Q132" s="26">
        <f t="shared" si="20"/>
        <v>2.3359095848788751</v>
      </c>
      <c r="R132" s="26">
        <f t="shared" si="20"/>
        <v>23.093141567885755</v>
      </c>
      <c r="U132" s="173" t="str">
        <f>H130</f>
        <v>&gt;24%</v>
      </c>
      <c r="V132" s="174"/>
      <c r="W132" s="175"/>
      <c r="X132" s="176"/>
      <c r="Y132" s="176"/>
      <c r="Z132" s="175"/>
      <c r="AA132" s="177"/>
    </row>
    <row r="133" spans="6:27" x14ac:dyDescent="0.3">
      <c r="H133" t="s">
        <v>137</v>
      </c>
      <c r="I133" s="26">
        <f>wtavg($D106:$D111,I$106:I$111)</f>
        <v>858.68650703557785</v>
      </c>
      <c r="J133" s="26">
        <f t="shared" ref="J133:R133" si="21">wtavg($D106:$D111,J$106:J$111)</f>
        <v>3.4751042939729837</v>
      </c>
      <c r="K133" s="26">
        <f t="shared" si="21"/>
        <v>347.51041032415611</v>
      </c>
      <c r="L133" s="26">
        <f t="shared" si="21"/>
        <v>3.2922248130994434</v>
      </c>
      <c r="M133" s="26">
        <f t="shared" si="21"/>
        <v>30.553460465198349</v>
      </c>
      <c r="N133" s="26">
        <f t="shared" si="21"/>
        <v>149.3378588448366</v>
      </c>
      <c r="O133" s="26">
        <f t="shared" si="21"/>
        <v>0.60437031474505376</v>
      </c>
      <c r="P133" s="26">
        <f t="shared" si="21"/>
        <v>60.437031474505375</v>
      </c>
      <c r="Q133" s="26">
        <f t="shared" si="21"/>
        <v>2.4290295045409191</v>
      </c>
      <c r="R133" s="26">
        <f t="shared" si="21"/>
        <v>41.637737818200137</v>
      </c>
      <c r="U133" s="120" t="str">
        <f>H131</f>
        <v>Max</v>
      </c>
      <c r="V133" s="164">
        <f t="shared" si="5"/>
        <v>6.8796559140000006</v>
      </c>
      <c r="W133" s="123">
        <f t="shared" si="6"/>
        <v>16.999999957778734</v>
      </c>
      <c r="X133" s="9">
        <f t="shared" si="7"/>
        <v>33.736924470801412</v>
      </c>
      <c r="Y133" s="9">
        <f t="shared" si="8"/>
        <v>4.3302899999999998</v>
      </c>
      <c r="Z133" s="123">
        <f t="shared" si="9"/>
        <v>10.700379602904899</v>
      </c>
      <c r="AA133" s="161">
        <f t="shared" si="10"/>
        <v>42.809876138757026</v>
      </c>
    </row>
    <row r="134" spans="6:27" x14ac:dyDescent="0.3">
      <c r="H134" t="s">
        <v>136</v>
      </c>
      <c r="I134" s="26">
        <f>wtstd($D$106:$D$111,I$106:I$111)</f>
        <v>327.64347457024036</v>
      </c>
      <c r="J134" s="26">
        <f t="shared" ref="J134:R134" si="22">wtstd($D$106:$D$111,J$106:J$111)</f>
        <v>1.3259731415857627</v>
      </c>
      <c r="K134" s="26">
        <f t="shared" si="22"/>
        <v>132.59735245428314</v>
      </c>
      <c r="L134" s="26">
        <f t="shared" si="22"/>
        <v>0.28631555714820178</v>
      </c>
      <c r="M134" s="26">
        <f t="shared" si="22"/>
        <v>1.7757714918246512</v>
      </c>
      <c r="N134" s="26">
        <f t="shared" si="22"/>
        <v>60.359824576986526</v>
      </c>
      <c r="O134" s="26">
        <f t="shared" si="22"/>
        <v>0.24427621006306449</v>
      </c>
      <c r="P134" s="26">
        <f t="shared" si="22"/>
        <v>24.427621006306449</v>
      </c>
      <c r="Q134" s="26">
        <f t="shared" si="22"/>
        <v>0.33346623967892131</v>
      </c>
      <c r="R134" s="26">
        <f t="shared" si="22"/>
        <v>3.447724063625158</v>
      </c>
      <c r="U134" s="120" t="str">
        <f>H132</f>
        <v>Min</v>
      </c>
      <c r="V134" s="164">
        <f t="shared" si="5"/>
        <v>2.9641113281250004</v>
      </c>
      <c r="W134" s="123">
        <f t="shared" si="6"/>
        <v>7.3244785906274421</v>
      </c>
      <c r="X134" s="9">
        <f t="shared" si="7"/>
        <v>14.535094986845738</v>
      </c>
      <c r="Y134" s="9">
        <f t="shared" si="8"/>
        <v>2.3359095848788751</v>
      </c>
      <c r="Z134" s="123">
        <f t="shared" si="9"/>
        <v>5.7721582795304629</v>
      </c>
      <c r="AA134" s="161">
        <f t="shared" si="10"/>
        <v>23.093141567885755</v>
      </c>
    </row>
    <row r="135" spans="6:27" x14ac:dyDescent="0.3">
      <c r="U135" s="178" t="str">
        <f>H133</f>
        <v>W. Average</v>
      </c>
      <c r="V135" s="168">
        <f t="shared" si="5"/>
        <v>3.2922248130994434</v>
      </c>
      <c r="W135" s="169">
        <f t="shared" si="6"/>
        <v>8.1352646677859166</v>
      </c>
      <c r="X135" s="170">
        <f t="shared" si="7"/>
        <v>30.553460465198349</v>
      </c>
      <c r="Y135" s="170">
        <f t="shared" si="8"/>
        <v>2.4290295045409191</v>
      </c>
      <c r="Z135" s="169">
        <f t="shared" si="9"/>
        <v>6.0022626117982503</v>
      </c>
      <c r="AA135" s="172">
        <f t="shared" si="10"/>
        <v>41.637737818200137</v>
      </c>
    </row>
    <row r="136" spans="6:27" ht="15" thickBot="1" x14ac:dyDescent="0.35">
      <c r="I136" s="26"/>
      <c r="J136" s="26"/>
      <c r="K136" s="26"/>
      <c r="L136" s="26"/>
      <c r="M136" s="26"/>
      <c r="N136" s="26"/>
      <c r="O136" s="26"/>
      <c r="P136" s="26"/>
      <c r="Q136" s="26"/>
      <c r="R136" s="26"/>
      <c r="U136" s="160" t="str">
        <f>H134</f>
        <v>SD</v>
      </c>
      <c r="V136" s="166">
        <f t="shared" si="5"/>
        <v>0.28631555714820178</v>
      </c>
      <c r="W136" s="167">
        <f t="shared" si="6"/>
        <v>0.70750114835333677</v>
      </c>
      <c r="X136" s="162">
        <f t="shared" si="7"/>
        <v>1.7757714918246512</v>
      </c>
      <c r="Y136" s="162">
        <f t="shared" si="8"/>
        <v>0.33346623967892131</v>
      </c>
      <c r="Z136" s="167">
        <f t="shared" si="9"/>
        <v>0.82401302206497162</v>
      </c>
      <c r="AA136" s="163">
        <f t="shared" si="10"/>
        <v>3.447724063625158</v>
      </c>
    </row>
    <row r="137" spans="6:27" x14ac:dyDescent="0.3">
      <c r="I137" s="26"/>
      <c r="J137" s="26"/>
      <c r="K137" s="26"/>
      <c r="L137" s="26"/>
      <c r="M137" s="26"/>
      <c r="N137" s="26"/>
      <c r="O137" s="26"/>
      <c r="P137" s="26"/>
      <c r="Q137" s="26"/>
      <c r="R137" s="26"/>
      <c r="U137" s="121"/>
      <c r="V137" s="9"/>
      <c r="W137" s="123"/>
      <c r="X137" s="9"/>
      <c r="Y137" s="9"/>
      <c r="Z137" s="123"/>
      <c r="AA137" s="9"/>
    </row>
    <row r="138" spans="6:27" x14ac:dyDescent="0.3">
      <c r="I138" s="26"/>
      <c r="J138" s="26"/>
      <c r="K138" s="26"/>
      <c r="L138" s="26"/>
      <c r="M138" s="26"/>
      <c r="N138" s="26"/>
      <c r="O138" s="26"/>
      <c r="P138" s="26"/>
      <c r="Q138" s="26"/>
      <c r="R138" s="26"/>
      <c r="U138" s="121"/>
      <c r="V138" s="9"/>
      <c r="W138" s="123"/>
      <c r="X138" s="9"/>
      <c r="Y138" s="9"/>
      <c r="Z138" s="123"/>
      <c r="AA138" s="9"/>
    </row>
    <row r="139" spans="6:27" x14ac:dyDescent="0.3">
      <c r="I139" s="26"/>
      <c r="J139" s="26"/>
      <c r="K139" s="26"/>
      <c r="L139" s="26"/>
      <c r="M139" s="26"/>
      <c r="N139" s="26"/>
      <c r="O139" s="26"/>
      <c r="P139" s="26"/>
      <c r="Q139" s="26"/>
      <c r="R139" s="26"/>
      <c r="U139" s="121"/>
      <c r="V139" s="9"/>
      <c r="W139" s="123"/>
      <c r="X139" s="9"/>
      <c r="Y139" s="9"/>
      <c r="Z139" s="123"/>
      <c r="AA139" s="9"/>
    </row>
    <row r="140" spans="6:27" x14ac:dyDescent="0.3">
      <c r="U140" s="213"/>
      <c r="V140" s="214"/>
      <c r="W140" s="226"/>
      <c r="X140" s="214"/>
      <c r="Y140" s="214"/>
      <c r="Z140" s="226"/>
      <c r="AA140" s="214"/>
    </row>
    <row r="141" spans="6:27" x14ac:dyDescent="0.3">
      <c r="U141" s="121"/>
      <c r="V141" s="9"/>
      <c r="W141" s="123"/>
      <c r="X141" s="9"/>
      <c r="Y141" s="9"/>
      <c r="Z141" s="123"/>
      <c r="AA141" s="9"/>
    </row>
  </sheetData>
  <sortState ref="A3:AH194">
    <sortCondition ref="AA3:AA194"/>
  </sortState>
  <customSheetViews>
    <customSheetView guid="{A817C2B6-B412-4BD4-89EB-C78C16183A0C}" scale="70">
      <selection activeCell="AH119" sqref="AH119"/>
      <pageMargins left="0.7" right="0.7" top="0.75" bottom="0.75" header="0.3" footer="0.3"/>
    </customSheetView>
  </customSheetView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H227"/>
  <sheetViews>
    <sheetView topLeftCell="A325" zoomScale="70" zoomScaleNormal="70" workbookViewId="0">
      <selection activeCell="AF247" sqref="AF247"/>
    </sheetView>
  </sheetViews>
  <sheetFormatPr defaultRowHeight="14.4" x14ac:dyDescent="0.3"/>
  <cols>
    <col min="5" max="5" width="5.109375" customWidth="1"/>
    <col min="6" max="7" width="1.88671875" customWidth="1"/>
    <col min="8" max="8" width="3.44140625" customWidth="1"/>
  </cols>
  <sheetData>
    <row r="1" spans="1:34" ht="15" x14ac:dyDescent="0.25">
      <c r="I1" t="s">
        <v>13</v>
      </c>
      <c r="N1" t="s">
        <v>9</v>
      </c>
    </row>
    <row r="2" spans="1:34" x14ac:dyDescent="0.3">
      <c r="A2" t="s">
        <v>0</v>
      </c>
      <c r="B2" t="s">
        <v>1</v>
      </c>
      <c r="C2" t="s">
        <v>2</v>
      </c>
      <c r="D2" t="s">
        <v>62</v>
      </c>
      <c r="E2" t="s">
        <v>63</v>
      </c>
      <c r="F2" t="s">
        <v>5</v>
      </c>
      <c r="G2" t="s">
        <v>6</v>
      </c>
      <c r="H2" t="s">
        <v>7</v>
      </c>
      <c r="I2" t="s">
        <v>10</v>
      </c>
      <c r="J2" t="s">
        <v>11</v>
      </c>
      <c r="K2" t="s">
        <v>12</v>
      </c>
      <c r="L2" t="s">
        <v>14</v>
      </c>
      <c r="M2" t="s">
        <v>22</v>
      </c>
      <c r="N2" t="s">
        <v>10</v>
      </c>
      <c r="O2" t="s">
        <v>11</v>
      </c>
      <c r="P2" t="s">
        <v>12</v>
      </c>
      <c r="Q2" t="s">
        <v>14</v>
      </c>
      <c r="R2" t="s">
        <v>22</v>
      </c>
      <c r="S2" t="s">
        <v>92</v>
      </c>
      <c r="T2" t="s">
        <v>329</v>
      </c>
      <c r="U2" t="s">
        <v>97</v>
      </c>
      <c r="V2" t="s">
        <v>15</v>
      </c>
      <c r="W2" t="s">
        <v>16</v>
      </c>
      <c r="X2" t="s">
        <v>20</v>
      </c>
      <c r="Y2" t="s">
        <v>86</v>
      </c>
      <c r="Z2" t="s">
        <v>93</v>
      </c>
      <c r="AA2" t="s">
        <v>64</v>
      </c>
      <c r="AB2" t="s">
        <v>65</v>
      </c>
      <c r="AC2" t="s">
        <v>68</v>
      </c>
      <c r="AD2" t="s">
        <v>17</v>
      </c>
      <c r="AE2" t="s">
        <v>18</v>
      </c>
      <c r="AF2" t="s">
        <v>251</v>
      </c>
      <c r="AG2" t="s">
        <v>343</v>
      </c>
      <c r="AH2" t="s">
        <v>58</v>
      </c>
    </row>
    <row r="3" spans="1:34" x14ac:dyDescent="0.3">
      <c r="A3" t="s">
        <v>35</v>
      </c>
      <c r="B3" t="s">
        <v>36</v>
      </c>
      <c r="C3">
        <v>2001</v>
      </c>
      <c r="D3" s="18">
        <v>5324</v>
      </c>
      <c r="E3" s="18">
        <v>6480</v>
      </c>
      <c r="G3">
        <v>8400</v>
      </c>
      <c r="H3" t="s">
        <v>37</v>
      </c>
      <c r="I3">
        <v>70</v>
      </c>
      <c r="J3" s="1">
        <v>0.28329000000000004</v>
      </c>
      <c r="K3" s="1">
        <v>28.32799494</v>
      </c>
      <c r="L3" s="1">
        <v>5.3208104695717511</v>
      </c>
      <c r="M3" s="1">
        <v>18.793462529563342</v>
      </c>
      <c r="N3">
        <v>37.19</v>
      </c>
      <c r="O3" s="1">
        <v>0.15050793000000001</v>
      </c>
      <c r="P3" s="1">
        <v>15.050792999999999</v>
      </c>
      <c r="Q3" s="1">
        <v>2.8269708865514649</v>
      </c>
      <c r="R3" s="1">
        <v>35.373551413536809</v>
      </c>
      <c r="S3" s="1">
        <v>0.32301244633615322</v>
      </c>
      <c r="T3" s="1">
        <v>3.0958559378833286</v>
      </c>
      <c r="U3" s="1">
        <v>0.91314678178607256</v>
      </c>
      <c r="V3">
        <v>34.297060999999999</v>
      </c>
      <c r="W3">
        <v>-109.26690000000001</v>
      </c>
      <c r="X3" t="s">
        <v>91</v>
      </c>
      <c r="Y3" t="s">
        <v>88</v>
      </c>
      <c r="Z3" t="s">
        <v>94</v>
      </c>
      <c r="AA3" s="111">
        <v>0.10970000000000001</v>
      </c>
      <c r="AB3" s="111" t="s">
        <v>81</v>
      </c>
      <c r="AC3" s="111" t="s">
        <v>81</v>
      </c>
      <c r="AD3" t="s">
        <v>29</v>
      </c>
      <c r="AE3" t="s">
        <v>80</v>
      </c>
      <c r="AF3" s="111" t="s">
        <v>252</v>
      </c>
      <c r="AG3">
        <v>1</v>
      </c>
      <c r="AH3">
        <v>1</v>
      </c>
    </row>
    <row r="4" spans="1:34" ht="15" x14ac:dyDescent="0.25">
      <c r="A4" t="s">
        <v>26</v>
      </c>
      <c r="B4" t="s">
        <v>542</v>
      </c>
      <c r="C4">
        <v>2003</v>
      </c>
      <c r="D4" s="18">
        <v>1099.1673525834908</v>
      </c>
      <c r="E4" s="18">
        <v>1291</v>
      </c>
      <c r="G4">
        <v>8000</v>
      </c>
      <c r="H4" t="s">
        <v>364</v>
      </c>
      <c r="I4">
        <v>9</v>
      </c>
      <c r="J4" s="1">
        <v>3.6423000000000004E-2</v>
      </c>
      <c r="K4" s="1">
        <v>3.6421707780000001</v>
      </c>
      <c r="L4" s="1">
        <v>3.3135725596647458</v>
      </c>
      <c r="M4" s="1">
        <v>30.177836877343733</v>
      </c>
      <c r="N4">
        <v>6</v>
      </c>
      <c r="O4" s="1">
        <v>2.4282000000000001E-2</v>
      </c>
      <c r="P4" s="1">
        <v>2.4281999999999999</v>
      </c>
      <c r="Q4" s="1">
        <v>2.2091267488001178</v>
      </c>
      <c r="R4" s="1">
        <v>45.266755316015598</v>
      </c>
      <c r="V4">
        <v>34.238880000000002</v>
      </c>
      <c r="W4">
        <v>-116.05292</v>
      </c>
      <c r="X4" t="s">
        <v>91</v>
      </c>
      <c r="Y4" t="s">
        <v>543</v>
      </c>
      <c r="Z4" t="s">
        <v>106</v>
      </c>
      <c r="AA4" s="111"/>
      <c r="AD4" t="s">
        <v>29</v>
      </c>
      <c r="AE4" t="s">
        <v>475</v>
      </c>
      <c r="AF4" s="111" t="s">
        <v>385</v>
      </c>
      <c r="AH4">
        <v>1</v>
      </c>
    </row>
    <row r="5" spans="1:34" ht="15" x14ac:dyDescent="0.25">
      <c r="A5" t="s">
        <v>35</v>
      </c>
      <c r="B5" t="s">
        <v>631</v>
      </c>
      <c r="C5">
        <v>2006</v>
      </c>
      <c r="D5" s="18">
        <v>2409.4838170497901</v>
      </c>
      <c r="E5" s="18">
        <v>2830</v>
      </c>
      <c r="H5" t="s">
        <v>175</v>
      </c>
      <c r="I5">
        <v>19.2</v>
      </c>
      <c r="J5" s="1">
        <v>7.7702400000000005E-2</v>
      </c>
      <c r="K5" s="1">
        <v>7.7699643264000002</v>
      </c>
      <c r="L5" s="1">
        <v>3.2247422752619546</v>
      </c>
      <c r="M5" s="1">
        <v>31.009129924555616</v>
      </c>
      <c r="N5">
        <v>19</v>
      </c>
      <c r="O5" s="1">
        <v>7.6893000000000003E-2</v>
      </c>
      <c r="P5" s="1">
        <v>7.6890271979999998</v>
      </c>
      <c r="Q5" s="1">
        <v>3.1911512098946426</v>
      </c>
      <c r="R5" s="1">
        <v>31.335541818498307</v>
      </c>
      <c r="S5" s="1"/>
      <c r="T5" s="1"/>
      <c r="U5" s="1"/>
      <c r="V5">
        <v>34.677352999999997</v>
      </c>
      <c r="W5">
        <v>-112.405838</v>
      </c>
      <c r="X5" t="s">
        <v>21</v>
      </c>
      <c r="Y5" t="s">
        <v>776</v>
      </c>
      <c r="Z5" t="s">
        <v>96</v>
      </c>
      <c r="AA5" s="111"/>
      <c r="AB5" s="111"/>
      <c r="AC5" s="111"/>
      <c r="AD5" t="s">
        <v>29</v>
      </c>
      <c r="AE5" t="s">
        <v>157</v>
      </c>
      <c r="AF5" s="111" t="s">
        <v>352</v>
      </c>
      <c r="AH5">
        <v>1</v>
      </c>
    </row>
    <row r="6" spans="1:34" ht="15" x14ac:dyDescent="0.25">
      <c r="A6" t="s">
        <v>35</v>
      </c>
      <c r="B6" t="s">
        <v>633</v>
      </c>
      <c r="C6">
        <v>2006</v>
      </c>
      <c r="D6">
        <v>10000</v>
      </c>
      <c r="E6">
        <v>11750</v>
      </c>
      <c r="G6">
        <v>43000</v>
      </c>
      <c r="H6" t="s">
        <v>639</v>
      </c>
      <c r="I6">
        <v>80</v>
      </c>
      <c r="J6" s="1">
        <v>0.32376000000000005</v>
      </c>
      <c r="K6" s="1">
        <v>32.374851360000001</v>
      </c>
      <c r="L6" s="1">
        <v>3.2374851360000001</v>
      </c>
      <c r="M6" s="1">
        <v>30.88707684704719</v>
      </c>
      <c r="V6">
        <v>34.690739999999998</v>
      </c>
      <c r="W6">
        <v>-112.40475000000001</v>
      </c>
      <c r="X6" t="s">
        <v>21</v>
      </c>
      <c r="AA6" s="111"/>
      <c r="AD6" t="s">
        <v>109</v>
      </c>
      <c r="AH6">
        <v>1</v>
      </c>
    </row>
    <row r="7" spans="1:34" ht="15" x14ac:dyDescent="0.25">
      <c r="A7" t="s">
        <v>35</v>
      </c>
      <c r="B7" t="s">
        <v>632</v>
      </c>
      <c r="C7">
        <v>2006</v>
      </c>
      <c r="D7" s="18">
        <v>148.99634911085275</v>
      </c>
      <c r="E7" s="18">
        <v>175</v>
      </c>
      <c r="H7" t="s">
        <v>175</v>
      </c>
      <c r="I7">
        <v>1.635</v>
      </c>
      <c r="J7" s="1">
        <v>6.6168450000000005E-3</v>
      </c>
      <c r="K7" s="1">
        <v>0.66166102466999999</v>
      </c>
      <c r="L7" s="1">
        <v>4.4407868287948897</v>
      </c>
      <c r="M7" s="1">
        <v>22.517733014881372</v>
      </c>
      <c r="N7">
        <v>0.86</v>
      </c>
      <c r="O7" s="1">
        <v>3.4804200000000001E-3</v>
      </c>
      <c r="P7" s="1">
        <v>0.34804200000000002</v>
      </c>
      <c r="Q7" s="1">
        <v>2.3359095848788751</v>
      </c>
      <c r="R7" s="1">
        <v>42.809876138757026</v>
      </c>
      <c r="S7" s="1"/>
      <c r="T7" s="1"/>
      <c r="U7" s="1"/>
      <c r="V7">
        <v>34.674278000000001</v>
      </c>
      <c r="W7">
        <v>-112.406209</v>
      </c>
      <c r="X7" t="s">
        <v>139</v>
      </c>
      <c r="Z7" t="s">
        <v>96</v>
      </c>
      <c r="AA7" s="111">
        <v>0.28999999999999998</v>
      </c>
      <c r="AB7" s="111" t="s">
        <v>177</v>
      </c>
      <c r="AC7" s="111" t="s">
        <v>176</v>
      </c>
      <c r="AD7" t="s">
        <v>29</v>
      </c>
      <c r="AE7" t="s">
        <v>157</v>
      </c>
      <c r="AF7" s="111" t="s">
        <v>352</v>
      </c>
      <c r="AH7">
        <v>1</v>
      </c>
    </row>
    <row r="8" spans="1:34" x14ac:dyDescent="0.3">
      <c r="A8" t="s">
        <v>26</v>
      </c>
      <c r="B8" t="s">
        <v>50</v>
      </c>
      <c r="C8">
        <v>2006</v>
      </c>
      <c r="D8" s="18">
        <v>999.91600000000005</v>
      </c>
      <c r="E8" s="18">
        <v>1160.0999999999999</v>
      </c>
      <c r="G8">
        <v>6816</v>
      </c>
      <c r="H8" t="s">
        <v>8</v>
      </c>
      <c r="I8">
        <v>7.26</v>
      </c>
      <c r="J8" s="1">
        <v>2.938122E-2</v>
      </c>
      <c r="K8" s="1">
        <v>2.9380177609200002</v>
      </c>
      <c r="L8" s="1">
        <v>2.9382645751443124</v>
      </c>
      <c r="M8" s="1">
        <v>34.032487418834208</v>
      </c>
      <c r="N8">
        <v>4.1509999999999998</v>
      </c>
      <c r="O8" s="1">
        <v>1.6799096999999999E-2</v>
      </c>
      <c r="P8" s="1">
        <v>1.6799096999999998</v>
      </c>
      <c r="Q8" s="1">
        <v>1.6800508242692385</v>
      </c>
      <c r="R8" s="1">
        <v>59.522008831784241</v>
      </c>
      <c r="S8" s="1">
        <v>0.44827706048968663</v>
      </c>
      <c r="T8" s="1">
        <v>2.230763267046556</v>
      </c>
      <c r="U8" s="1">
        <v>0.75312824497668929</v>
      </c>
      <c r="V8">
        <v>33.564914000000002</v>
      </c>
      <c r="W8">
        <v>-114.904048</v>
      </c>
      <c r="X8" t="s">
        <v>91</v>
      </c>
      <c r="Y8" t="s">
        <v>87</v>
      </c>
      <c r="Z8" t="s">
        <v>96</v>
      </c>
      <c r="AA8" s="111">
        <v>0.14180000000000001</v>
      </c>
      <c r="AB8" s="111" t="s">
        <v>399</v>
      </c>
      <c r="AC8" s="111" t="s">
        <v>83</v>
      </c>
      <c r="AD8" t="s">
        <v>29</v>
      </c>
      <c r="AE8" t="s">
        <v>51</v>
      </c>
      <c r="AF8" s="111" t="s">
        <v>353</v>
      </c>
      <c r="AH8">
        <v>1</v>
      </c>
    </row>
    <row r="9" spans="1:34" ht="15" x14ac:dyDescent="0.25">
      <c r="A9" t="s">
        <v>3</v>
      </c>
      <c r="B9" t="s">
        <v>41</v>
      </c>
      <c r="C9">
        <v>2007</v>
      </c>
      <c r="D9" s="18">
        <v>5623.5479192981848</v>
      </c>
      <c r="E9" s="18">
        <v>6605</v>
      </c>
      <c r="G9">
        <v>24384</v>
      </c>
      <c r="H9" t="s">
        <v>8</v>
      </c>
      <c r="I9">
        <v>63.1</v>
      </c>
      <c r="J9" s="1">
        <v>0.25536570000000003</v>
      </c>
      <c r="K9" s="1">
        <v>25.535664010200001</v>
      </c>
      <c r="L9" s="1">
        <v>4.5408458106260499</v>
      </c>
      <c r="M9" s="1">
        <v>22.02154760525076</v>
      </c>
      <c r="N9">
        <v>32.770000000000003</v>
      </c>
      <c r="O9" s="1">
        <v>0.13262019000000003</v>
      </c>
      <c r="P9" s="1">
        <v>13.262019000000002</v>
      </c>
      <c r="Q9" s="1">
        <v>2.3583010566139349</v>
      </c>
      <c r="R9" s="1">
        <v>42.403407198392514</v>
      </c>
      <c r="S9" s="1">
        <v>0.38806340610368367</v>
      </c>
      <c r="T9" s="1">
        <v>2.5768984765670426</v>
      </c>
      <c r="U9" s="1">
        <v>0.91517034064751968</v>
      </c>
      <c r="V9">
        <v>37.688524000000001</v>
      </c>
      <c r="W9">
        <v>-105.87646700000001</v>
      </c>
      <c r="X9" t="s">
        <v>21</v>
      </c>
      <c r="Y9" t="s">
        <v>776</v>
      </c>
      <c r="Z9" t="s">
        <v>96</v>
      </c>
      <c r="AA9" s="111">
        <v>0.13919999999999999</v>
      </c>
      <c r="AB9" s="111" t="s">
        <v>399</v>
      </c>
      <c r="AC9" s="111" t="s">
        <v>71</v>
      </c>
      <c r="AD9" t="s">
        <v>29</v>
      </c>
      <c r="AE9" t="s">
        <v>19</v>
      </c>
      <c r="AF9" s="111" t="s">
        <v>353</v>
      </c>
      <c r="AH9">
        <v>1</v>
      </c>
    </row>
    <row r="10" spans="1:34" ht="15" x14ac:dyDescent="0.25">
      <c r="A10" t="s">
        <v>107</v>
      </c>
      <c r="B10" t="s">
        <v>141</v>
      </c>
      <c r="C10">
        <v>2007</v>
      </c>
      <c r="D10" s="18">
        <v>13500</v>
      </c>
      <c r="E10" s="18">
        <v>18000</v>
      </c>
      <c r="G10">
        <v>72416</v>
      </c>
      <c r="I10">
        <v>140</v>
      </c>
      <c r="J10" s="1">
        <v>0.56658000000000008</v>
      </c>
      <c r="K10" s="1">
        <v>56.65598988</v>
      </c>
      <c r="L10" s="1">
        <v>4.1967399911111114</v>
      </c>
      <c r="M10" s="1">
        <v>23.82717356772212</v>
      </c>
      <c r="N10">
        <v>111</v>
      </c>
      <c r="O10" s="1">
        <v>0.44921700000000003</v>
      </c>
      <c r="P10" s="1">
        <v>44.921700000000001</v>
      </c>
      <c r="Q10" s="1">
        <v>3.3275333333333332</v>
      </c>
      <c r="R10" s="1">
        <v>30.052290986316187</v>
      </c>
      <c r="S10" s="1"/>
      <c r="T10" s="1"/>
      <c r="U10" s="1"/>
      <c r="V10">
        <v>36.256827000000001</v>
      </c>
      <c r="W10">
        <v>-115.05431</v>
      </c>
      <c r="X10" t="s">
        <v>21</v>
      </c>
      <c r="Y10" t="s">
        <v>779</v>
      </c>
      <c r="Z10" t="s">
        <v>95</v>
      </c>
      <c r="AA10" s="111"/>
      <c r="AB10" s="111"/>
      <c r="AC10" s="111"/>
      <c r="AD10" t="s">
        <v>29</v>
      </c>
      <c r="AE10" t="s">
        <v>34</v>
      </c>
      <c r="AF10" s="111" t="s">
        <v>353</v>
      </c>
      <c r="AH10">
        <v>1</v>
      </c>
    </row>
    <row r="11" spans="1:34" ht="15" x14ac:dyDescent="0.25">
      <c r="A11" t="s">
        <v>3</v>
      </c>
      <c r="B11" t="s">
        <v>42</v>
      </c>
      <c r="C11">
        <v>2007</v>
      </c>
      <c r="D11" s="18">
        <v>882.90979444545314</v>
      </c>
      <c r="E11" s="18">
        <v>1037</v>
      </c>
      <c r="G11">
        <v>72</v>
      </c>
      <c r="H11" t="s">
        <v>8</v>
      </c>
      <c r="I11">
        <v>11.920014</v>
      </c>
      <c r="J11" s="1">
        <v>4.8240296658000004E-2</v>
      </c>
      <c r="K11" s="1">
        <v>4.8238585182389881</v>
      </c>
      <c r="L11" s="1">
        <v>5.463591579328674</v>
      </c>
      <c r="M11" s="1">
        <v>18.302329289242348</v>
      </c>
      <c r="N11">
        <v>6.1890000000000001</v>
      </c>
      <c r="O11" s="1">
        <v>2.5046883000000002E-2</v>
      </c>
      <c r="P11" s="1">
        <v>2.5046883000000002</v>
      </c>
      <c r="Q11" s="1">
        <v>2.8368563988727411</v>
      </c>
      <c r="R11" s="1">
        <v>35.250286211080756</v>
      </c>
      <c r="S11" s="1">
        <v>0.29180417686556404</v>
      </c>
      <c r="T11" s="1">
        <v>3.4269557438881559</v>
      </c>
      <c r="U11" s="1">
        <v>0.82780654635886841</v>
      </c>
      <c r="V11">
        <v>37.688524000000001</v>
      </c>
      <c r="W11">
        <v>-105.87646700000001</v>
      </c>
      <c r="X11" t="s">
        <v>139</v>
      </c>
      <c r="Z11" t="s">
        <v>96</v>
      </c>
      <c r="AA11" s="111">
        <v>0.14280000000000001</v>
      </c>
      <c r="AB11" s="111" t="s">
        <v>391</v>
      </c>
      <c r="AC11" s="111" t="s">
        <v>72</v>
      </c>
      <c r="AD11" t="s">
        <v>29</v>
      </c>
      <c r="AE11" t="s">
        <v>19</v>
      </c>
      <c r="AF11" s="111" t="s">
        <v>353</v>
      </c>
      <c r="AH11">
        <v>1</v>
      </c>
    </row>
    <row r="12" spans="1:34" ht="15" x14ac:dyDescent="0.25">
      <c r="A12" t="s">
        <v>3</v>
      </c>
      <c r="B12" t="s">
        <v>40</v>
      </c>
      <c r="C12">
        <v>2007</v>
      </c>
      <c r="D12" s="18">
        <v>510.84462552292371</v>
      </c>
      <c r="E12" s="18">
        <v>600</v>
      </c>
      <c r="G12">
        <v>2224</v>
      </c>
      <c r="H12" t="s">
        <v>8</v>
      </c>
      <c r="I12">
        <v>5.949414</v>
      </c>
      <c r="J12" s="1">
        <v>2.4077278458000003E-2</v>
      </c>
      <c r="K12" s="1">
        <v>2.4076424241137881</v>
      </c>
      <c r="L12" s="1">
        <v>4.713062061970831</v>
      </c>
      <c r="M12" s="1">
        <v>21.216875753380204</v>
      </c>
      <c r="N12">
        <v>3.089</v>
      </c>
      <c r="O12" s="1">
        <v>1.2501183000000001E-2</v>
      </c>
      <c r="P12" s="1">
        <v>1.2501183</v>
      </c>
      <c r="Q12" s="1">
        <v>2.4471595423370114</v>
      </c>
      <c r="R12" s="1">
        <v>40.863702701010276</v>
      </c>
      <c r="S12" s="1">
        <v>0.44628667099805092</v>
      </c>
      <c r="T12" s="1">
        <v>2.2407122259861696</v>
      </c>
      <c r="U12" s="1">
        <v>1.0921346855506986</v>
      </c>
      <c r="V12">
        <v>37.688524000000001</v>
      </c>
      <c r="W12">
        <v>-105.87646700000001</v>
      </c>
      <c r="X12" t="s">
        <v>91</v>
      </c>
      <c r="Y12" t="s">
        <v>90</v>
      </c>
      <c r="Z12" t="s">
        <v>96</v>
      </c>
      <c r="AA12" s="111">
        <v>0.13919999999999999</v>
      </c>
      <c r="AB12" s="111" t="s">
        <v>399</v>
      </c>
      <c r="AC12" s="111" t="s">
        <v>71</v>
      </c>
      <c r="AD12" t="s">
        <v>29</v>
      </c>
      <c r="AE12" t="s">
        <v>19</v>
      </c>
      <c r="AF12" s="111" t="s">
        <v>353</v>
      </c>
      <c r="AH12">
        <v>1</v>
      </c>
    </row>
    <row r="13" spans="1:34" ht="15" x14ac:dyDescent="0.25">
      <c r="A13" t="s">
        <v>3</v>
      </c>
      <c r="B13" t="s">
        <v>38</v>
      </c>
      <c r="C13">
        <v>2008</v>
      </c>
      <c r="D13" s="18">
        <v>446.88</v>
      </c>
      <c r="E13" s="18">
        <v>596</v>
      </c>
      <c r="G13">
        <v>3136</v>
      </c>
      <c r="H13" t="s">
        <v>8</v>
      </c>
      <c r="I13">
        <v>4.91</v>
      </c>
      <c r="J13" s="1">
        <v>1.9870770000000003E-2</v>
      </c>
      <c r="K13" s="1">
        <v>1.9870065022200001</v>
      </c>
      <c r="L13" s="1">
        <v>4.4463983669441465</v>
      </c>
      <c r="M13" s="1">
        <v>22.489314706979144</v>
      </c>
      <c r="N13">
        <v>4.22</v>
      </c>
      <c r="O13" s="1">
        <v>1.7078340000000001E-2</v>
      </c>
      <c r="P13" s="1">
        <v>1.7077734092399999</v>
      </c>
      <c r="Q13" s="1">
        <v>3.8215480872717507</v>
      </c>
      <c r="R13" s="1">
        <v>26.166477538215069</v>
      </c>
      <c r="S13" s="1">
        <v>0.33333333333333337</v>
      </c>
      <c r="T13" s="1">
        <v>2.9999999999999996</v>
      </c>
      <c r="U13" s="1">
        <v>1.2738493624239171</v>
      </c>
      <c r="V13">
        <v>37.460360999999999</v>
      </c>
      <c r="W13">
        <v>-105.852617</v>
      </c>
      <c r="X13" t="s">
        <v>21</v>
      </c>
      <c r="Y13" t="s">
        <v>776</v>
      </c>
      <c r="Z13" t="s">
        <v>94</v>
      </c>
      <c r="AA13" s="111">
        <v>0.161</v>
      </c>
      <c r="AB13" s="111" t="s">
        <v>66</v>
      </c>
      <c r="AC13" s="111" t="s">
        <v>69</v>
      </c>
      <c r="AD13" t="s">
        <v>29</v>
      </c>
      <c r="AE13" t="s">
        <v>39</v>
      </c>
      <c r="AF13" s="111" t="s">
        <v>353</v>
      </c>
      <c r="AH13">
        <v>1</v>
      </c>
    </row>
    <row r="14" spans="1:34" ht="15" x14ac:dyDescent="0.25">
      <c r="A14" t="s">
        <v>3</v>
      </c>
      <c r="B14" t="s">
        <v>45</v>
      </c>
      <c r="C14">
        <v>2008</v>
      </c>
      <c r="D14" s="18">
        <v>474.81</v>
      </c>
      <c r="E14" s="18">
        <v>633</v>
      </c>
      <c r="F14">
        <v>4</v>
      </c>
      <c r="G14">
        <v>3332</v>
      </c>
      <c r="H14" t="s">
        <v>8</v>
      </c>
      <c r="I14">
        <v>5.3470000000000004</v>
      </c>
      <c r="J14" s="1">
        <v>2.1639309000000002E-2</v>
      </c>
      <c r="K14" s="1">
        <v>2.1638541277740004</v>
      </c>
      <c r="L14" s="1">
        <v>4.5573052963796057</v>
      </c>
      <c r="M14" s="1">
        <v>21.942013028234864</v>
      </c>
      <c r="N14">
        <v>3.34</v>
      </c>
      <c r="O14" s="1">
        <v>1.351698E-2</v>
      </c>
      <c r="P14" s="1">
        <v>1.3516500442799999</v>
      </c>
      <c r="Q14" s="1">
        <v>2.8467177276805455</v>
      </c>
      <c r="R14" s="1">
        <v>35.12692924011133</v>
      </c>
      <c r="S14" s="1">
        <v>0.38182151365218986</v>
      </c>
      <c r="T14" s="1">
        <v>2.6190247648301015</v>
      </c>
      <c r="U14" s="1">
        <v>1.0869380717235082</v>
      </c>
      <c r="V14">
        <v>39.821038000000001</v>
      </c>
      <c r="W14">
        <v>-105.22041</v>
      </c>
      <c r="X14" t="s">
        <v>21</v>
      </c>
      <c r="Y14" t="s">
        <v>776</v>
      </c>
      <c r="Z14" t="s">
        <v>96</v>
      </c>
      <c r="AA14" s="111">
        <v>0.16400000000000001</v>
      </c>
      <c r="AB14" s="111" t="s">
        <v>66</v>
      </c>
      <c r="AC14" s="111" t="s">
        <v>75</v>
      </c>
      <c r="AD14" t="s">
        <v>29</v>
      </c>
      <c r="AE14" t="s">
        <v>34</v>
      </c>
      <c r="AF14" s="111" t="s">
        <v>353</v>
      </c>
      <c r="AH14">
        <v>1</v>
      </c>
    </row>
    <row r="15" spans="1:34" ht="15" x14ac:dyDescent="0.25">
      <c r="A15" t="s">
        <v>3</v>
      </c>
      <c r="B15" t="s">
        <v>43</v>
      </c>
      <c r="C15">
        <v>2008</v>
      </c>
      <c r="D15" s="18">
        <v>503.16</v>
      </c>
      <c r="E15" s="18">
        <v>600</v>
      </c>
      <c r="G15">
        <v>3531</v>
      </c>
      <c r="H15" t="s">
        <v>8</v>
      </c>
      <c r="I15">
        <v>4.42</v>
      </c>
      <c r="J15" s="1">
        <v>1.7887739999999999E-2</v>
      </c>
      <c r="K15" s="1">
        <v>1.7887105376400001</v>
      </c>
      <c r="L15" s="1">
        <v>3.5549537674695921</v>
      </c>
      <c r="M15" s="1">
        <v>28.128763052235783</v>
      </c>
      <c r="N15">
        <v>3.59</v>
      </c>
      <c r="O15" s="1">
        <v>1.452873E-2</v>
      </c>
      <c r="P15" s="1">
        <v>1.45282145478</v>
      </c>
      <c r="Q15" s="1">
        <v>2.8873945758406867</v>
      </c>
      <c r="R15" s="1">
        <v>34.63207038743235</v>
      </c>
      <c r="S15" s="1">
        <v>0.33467741935483869</v>
      </c>
      <c r="T15" s="1">
        <v>2.987951807228916</v>
      </c>
      <c r="U15" s="1">
        <v>0.96634576530152005</v>
      </c>
      <c r="V15">
        <v>39.531663999999999</v>
      </c>
      <c r="W15">
        <v>-107.757302</v>
      </c>
      <c r="X15" t="s">
        <v>21</v>
      </c>
      <c r="Y15" t="s">
        <v>776</v>
      </c>
      <c r="Z15" t="s">
        <v>94</v>
      </c>
      <c r="AA15" s="111">
        <v>0.13320000000000001</v>
      </c>
      <c r="AB15" s="111" t="s">
        <v>391</v>
      </c>
      <c r="AC15" s="111" t="s">
        <v>73</v>
      </c>
      <c r="AD15" t="s">
        <v>29</v>
      </c>
      <c r="AE15" t="s">
        <v>34</v>
      </c>
      <c r="AF15" s="111" t="s">
        <v>353</v>
      </c>
      <c r="AH15">
        <v>1</v>
      </c>
    </row>
    <row r="16" spans="1:34" ht="15" x14ac:dyDescent="0.25">
      <c r="A16" t="s">
        <v>3</v>
      </c>
      <c r="B16" t="s">
        <v>31</v>
      </c>
      <c r="C16">
        <v>2008</v>
      </c>
      <c r="D16" s="18">
        <v>657.87</v>
      </c>
      <c r="E16" s="18">
        <v>720.72</v>
      </c>
      <c r="G16">
        <v>3696</v>
      </c>
      <c r="H16" t="s">
        <v>8</v>
      </c>
      <c r="I16" s="1">
        <v>5.38</v>
      </c>
      <c r="J16" s="1">
        <v>2.1772860000000002E-2</v>
      </c>
      <c r="K16" s="1">
        <v>2.17720875396</v>
      </c>
      <c r="L16" s="1">
        <v>3.3094817425327197</v>
      </c>
      <c r="M16" s="1">
        <v>30.215139398315145</v>
      </c>
      <c r="N16" s="1">
        <v>3.04</v>
      </c>
      <c r="O16" s="1">
        <v>1.230288E-2</v>
      </c>
      <c r="P16" s="1">
        <v>1.2302443516800001</v>
      </c>
      <c r="Q16" s="1">
        <v>1.8700417281225776</v>
      </c>
      <c r="R16" s="1">
        <v>53.47284538254457</v>
      </c>
      <c r="S16" s="1">
        <v>0.39444444444444449</v>
      </c>
      <c r="T16" s="1">
        <v>2.5352112676056335</v>
      </c>
      <c r="U16" s="1">
        <v>0.73762757053723904</v>
      </c>
      <c r="V16">
        <v>39.744937999999998</v>
      </c>
      <c r="W16">
        <v>-105.176754</v>
      </c>
      <c r="X16" t="s">
        <v>21</v>
      </c>
      <c r="Y16" t="s">
        <v>776</v>
      </c>
      <c r="Z16" t="s">
        <v>95</v>
      </c>
      <c r="AA16" s="111">
        <v>0.161</v>
      </c>
      <c r="AB16" s="111" t="s">
        <v>66</v>
      </c>
      <c r="AC16" s="111" t="s">
        <v>69</v>
      </c>
      <c r="AD16" t="s">
        <v>29</v>
      </c>
      <c r="AE16" t="s">
        <v>19</v>
      </c>
      <c r="AF16" s="111" t="s">
        <v>353</v>
      </c>
      <c r="AH16">
        <v>1</v>
      </c>
    </row>
    <row r="17" spans="1:34" ht="15" x14ac:dyDescent="0.25">
      <c r="A17" t="s">
        <v>26</v>
      </c>
      <c r="B17" t="s">
        <v>166</v>
      </c>
      <c r="C17">
        <v>2008</v>
      </c>
      <c r="D17" s="18">
        <v>851.40770920487284</v>
      </c>
      <c r="E17" s="18">
        <v>1000</v>
      </c>
      <c r="G17">
        <v>5445</v>
      </c>
      <c r="H17" t="s">
        <v>167</v>
      </c>
      <c r="I17">
        <v>5</v>
      </c>
      <c r="J17" s="1">
        <v>2.0235000000000003E-2</v>
      </c>
      <c r="K17" s="1">
        <v>2.0234282100000001</v>
      </c>
      <c r="L17" s="1">
        <v>2.3765678747373262</v>
      </c>
      <c r="M17" s="1">
        <v>42.075992547806905</v>
      </c>
      <c r="N17">
        <v>5</v>
      </c>
      <c r="O17" s="1">
        <v>2.0235000000000003E-2</v>
      </c>
      <c r="P17" s="1">
        <v>2.0234282100000001</v>
      </c>
      <c r="Q17" s="1">
        <v>2.3765678747373262</v>
      </c>
      <c r="R17" s="1">
        <v>42.075992547806905</v>
      </c>
      <c r="S17" s="1"/>
      <c r="T17" s="1"/>
      <c r="U17" s="1"/>
      <c r="V17">
        <v>36.353563999999999</v>
      </c>
      <c r="W17">
        <v>-119.400734</v>
      </c>
      <c r="X17" t="s">
        <v>21</v>
      </c>
      <c r="Y17" t="s">
        <v>776</v>
      </c>
      <c r="Z17" t="s">
        <v>94</v>
      </c>
      <c r="AA17" s="111"/>
      <c r="AB17" s="111"/>
      <c r="AC17" s="111" t="s">
        <v>253</v>
      </c>
      <c r="AD17" t="s">
        <v>29</v>
      </c>
      <c r="AE17" t="s">
        <v>157</v>
      </c>
      <c r="AF17" s="111" t="s">
        <v>352</v>
      </c>
      <c r="AH17">
        <v>1</v>
      </c>
    </row>
    <row r="18" spans="1:34" ht="15" x14ac:dyDescent="0.25">
      <c r="A18" t="s">
        <v>26</v>
      </c>
      <c r="B18" t="s">
        <v>419</v>
      </c>
      <c r="C18">
        <v>2008</v>
      </c>
      <c r="D18" s="18">
        <v>890</v>
      </c>
      <c r="E18" s="18">
        <v>1000</v>
      </c>
      <c r="G18">
        <v>18210</v>
      </c>
      <c r="H18" t="s">
        <v>418</v>
      </c>
      <c r="I18">
        <v>11.2</v>
      </c>
      <c r="J18" s="1">
        <v>4.5326400000000003E-2</v>
      </c>
      <c r="K18" s="1">
        <v>4.5324791904000001</v>
      </c>
      <c r="L18" s="1">
        <v>5.0926732476404499</v>
      </c>
      <c r="M18" s="1">
        <v>19.635355995622859</v>
      </c>
      <c r="N18">
        <v>7.9</v>
      </c>
      <c r="O18" s="1">
        <v>3.1971300000000001E-2</v>
      </c>
      <c r="P18" s="1">
        <v>3.1970165718000003</v>
      </c>
      <c r="Q18" s="1">
        <v>3.5921534514606743</v>
      </c>
      <c r="R18" s="1">
        <v>27.837466727971648</v>
      </c>
      <c r="S18" s="1"/>
      <c r="T18" s="1"/>
      <c r="U18" s="1"/>
      <c r="V18">
        <v>33.964523</v>
      </c>
      <c r="W18">
        <v>-117.674453</v>
      </c>
      <c r="X18" t="s">
        <v>21</v>
      </c>
      <c r="Y18" t="s">
        <v>474</v>
      </c>
      <c r="Z18" t="s">
        <v>95</v>
      </c>
      <c r="AA18" s="111">
        <v>0.19600000000000001</v>
      </c>
      <c r="AB18" s="111" t="s">
        <v>391</v>
      </c>
      <c r="AC18" t="s">
        <v>421</v>
      </c>
      <c r="AD18" t="s">
        <v>60</v>
      </c>
      <c r="AE18" t="s">
        <v>420</v>
      </c>
      <c r="AF18" s="111" t="s">
        <v>385</v>
      </c>
      <c r="AH18">
        <v>1</v>
      </c>
    </row>
    <row r="19" spans="1:34" ht="15" x14ac:dyDescent="0.25">
      <c r="A19" t="s">
        <v>26</v>
      </c>
      <c r="B19" t="s">
        <v>49</v>
      </c>
      <c r="C19">
        <v>2008</v>
      </c>
      <c r="D19" s="18">
        <v>917.91300000000001</v>
      </c>
      <c r="E19" s="18">
        <v>1088.96</v>
      </c>
      <c r="G19">
        <v>5312</v>
      </c>
      <c r="H19" t="s">
        <v>8</v>
      </c>
      <c r="I19">
        <v>7.95</v>
      </c>
      <c r="J19" s="1">
        <v>3.2173650000000005E-2</v>
      </c>
      <c r="K19" s="1">
        <v>3.2172508539</v>
      </c>
      <c r="L19" s="1">
        <v>3.5049627294743622</v>
      </c>
      <c r="M19" s="1">
        <v>28.529961630091702</v>
      </c>
      <c r="N19">
        <v>6.08</v>
      </c>
      <c r="O19" s="1">
        <v>2.4605760000000001E-2</v>
      </c>
      <c r="P19" s="1">
        <v>2.4604887033600003</v>
      </c>
      <c r="Q19" s="1">
        <v>2.6805249553715877</v>
      </c>
      <c r="R19" s="1">
        <v>37.304801802504777</v>
      </c>
      <c r="S19" s="1">
        <v>0.37963021289005539</v>
      </c>
      <c r="T19" s="1">
        <v>2.6341422943847985</v>
      </c>
      <c r="U19" s="1">
        <v>1.0176082594648221</v>
      </c>
      <c r="V19">
        <v>38.231990000000003</v>
      </c>
      <c r="W19">
        <v>-122.092904</v>
      </c>
      <c r="X19" t="s">
        <v>21</v>
      </c>
      <c r="Y19" t="s">
        <v>776</v>
      </c>
      <c r="Z19" t="s">
        <v>94</v>
      </c>
      <c r="AA19" s="111">
        <v>0.14799999999999999</v>
      </c>
      <c r="AB19" s="111" t="s">
        <v>399</v>
      </c>
      <c r="AC19" s="111" t="s">
        <v>78</v>
      </c>
      <c r="AD19" t="s">
        <v>29</v>
      </c>
      <c r="AE19" t="s">
        <v>34</v>
      </c>
      <c r="AF19" s="111" t="s">
        <v>353</v>
      </c>
      <c r="AH19">
        <v>1</v>
      </c>
    </row>
    <row r="20" spans="1:34" ht="15" x14ac:dyDescent="0.25">
      <c r="A20" t="s">
        <v>26</v>
      </c>
      <c r="B20" t="s">
        <v>473</v>
      </c>
      <c r="C20">
        <v>2008</v>
      </c>
      <c r="D20" s="18">
        <v>953.57663430945763</v>
      </c>
      <c r="E20" s="18">
        <v>1120</v>
      </c>
      <c r="G20">
        <v>4870</v>
      </c>
      <c r="H20" t="s">
        <v>389</v>
      </c>
      <c r="I20">
        <v>11.54</v>
      </c>
      <c r="J20" s="1">
        <v>4.6702380000000002E-2</v>
      </c>
      <c r="K20" s="1">
        <v>4.67007230868</v>
      </c>
      <c r="L20" s="1">
        <v>4.8974273704408473</v>
      </c>
      <c r="M20" s="1">
        <v>20.418159295296249</v>
      </c>
      <c r="N20">
        <v>7.6</v>
      </c>
      <c r="O20" s="1">
        <v>3.0757200000000002E-2</v>
      </c>
      <c r="P20" s="1">
        <v>3.0756108792000001</v>
      </c>
      <c r="Q20" s="1">
        <v>3.2253421157149424</v>
      </c>
      <c r="R20" s="1">
        <v>31.003362929962986</v>
      </c>
      <c r="V20">
        <v>33.536287999999999</v>
      </c>
      <c r="W20">
        <v>-117.193406</v>
      </c>
      <c r="X20" t="s">
        <v>21</v>
      </c>
      <c r="Y20" t="s">
        <v>474</v>
      </c>
      <c r="AA20" s="111">
        <v>0.19</v>
      </c>
      <c r="AB20" t="s">
        <v>391</v>
      </c>
      <c r="AC20" t="s">
        <v>421</v>
      </c>
      <c r="AD20" t="s">
        <v>29</v>
      </c>
      <c r="AE20" t="s">
        <v>475</v>
      </c>
      <c r="AF20" s="111" t="s">
        <v>385</v>
      </c>
      <c r="AH20">
        <v>1</v>
      </c>
    </row>
    <row r="21" spans="1:34" ht="15" x14ac:dyDescent="0.25">
      <c r="A21" t="s">
        <v>26</v>
      </c>
      <c r="B21" t="s">
        <v>46</v>
      </c>
      <c r="C21">
        <v>2008</v>
      </c>
      <c r="D21" s="18">
        <v>995.51400000000001</v>
      </c>
      <c r="E21" s="18">
        <v>1179.52</v>
      </c>
      <c r="G21">
        <v>6208</v>
      </c>
      <c r="H21" t="s">
        <v>33</v>
      </c>
      <c r="I21">
        <v>12.13</v>
      </c>
      <c r="J21" s="1">
        <v>4.9090110000000006E-2</v>
      </c>
      <c r="K21" s="1">
        <v>4.9088368374600009</v>
      </c>
      <c r="L21" s="1">
        <v>4.9309571110602173</v>
      </c>
      <c r="M21" s="1">
        <v>20.279318991136908</v>
      </c>
      <c r="N21">
        <v>7.6</v>
      </c>
      <c r="O21" s="1">
        <v>3.0757200000000002E-2</v>
      </c>
      <c r="P21" s="1">
        <v>3.0756108792000001</v>
      </c>
      <c r="Q21" s="1">
        <v>3.0894702427087917</v>
      </c>
      <c r="R21" s="1">
        <v>32.366860442432987</v>
      </c>
      <c r="S21" s="1">
        <v>0.32795698924731181</v>
      </c>
      <c r="T21" s="1">
        <v>3.0491803278688527</v>
      </c>
      <c r="U21" s="1">
        <v>1.0132133591679371</v>
      </c>
      <c r="V21">
        <v>33.563845999999998</v>
      </c>
      <c r="W21">
        <v>-114.918655</v>
      </c>
      <c r="X21" t="s">
        <v>21</v>
      </c>
      <c r="Y21" t="s">
        <v>776</v>
      </c>
      <c r="Z21" t="s">
        <v>94</v>
      </c>
      <c r="AA21" s="111">
        <v>0.12720000000000001</v>
      </c>
      <c r="AB21" s="111" t="s">
        <v>67</v>
      </c>
      <c r="AC21" s="111" t="s">
        <v>76</v>
      </c>
      <c r="AD21" t="s">
        <v>29</v>
      </c>
      <c r="AE21" t="s">
        <v>34</v>
      </c>
      <c r="AF21" s="111" t="s">
        <v>353</v>
      </c>
      <c r="AH21">
        <v>1</v>
      </c>
    </row>
    <row r="22" spans="1:34" ht="15" x14ac:dyDescent="0.25">
      <c r="A22" t="s">
        <v>47</v>
      </c>
      <c r="B22" t="s">
        <v>48</v>
      </c>
      <c r="C22">
        <v>2008</v>
      </c>
      <c r="D22" s="18">
        <v>1000</v>
      </c>
      <c r="E22" s="18">
        <v>1189</v>
      </c>
      <c r="G22">
        <v>5730</v>
      </c>
      <c r="H22" t="s">
        <v>8</v>
      </c>
      <c r="I22">
        <v>9.5</v>
      </c>
      <c r="J22" s="1">
        <v>3.8446500000000002E-2</v>
      </c>
      <c r="K22" s="1">
        <v>3.8445135989999999</v>
      </c>
      <c r="L22" s="1">
        <v>3.8445135989999999</v>
      </c>
      <c r="M22" s="1">
        <v>26.010169976460794</v>
      </c>
      <c r="N22">
        <v>7.66</v>
      </c>
      <c r="O22" s="1">
        <v>3.1000020000000003E-2</v>
      </c>
      <c r="P22" s="1">
        <v>3.0998920177200002</v>
      </c>
      <c r="Q22" s="1">
        <v>3.0998920177200002</v>
      </c>
      <c r="R22" s="1">
        <v>32.258043704487932</v>
      </c>
      <c r="S22" s="1">
        <v>0.33333333333333331</v>
      </c>
      <c r="T22" s="1">
        <v>3</v>
      </c>
      <c r="U22" s="1">
        <v>1.03329733924</v>
      </c>
      <c r="V22">
        <v>34.288353999999998</v>
      </c>
      <c r="W22">
        <v>-77.981172000000001</v>
      </c>
      <c r="X22" t="s">
        <v>21</v>
      </c>
      <c r="Y22" t="s">
        <v>776</v>
      </c>
      <c r="Z22" t="s">
        <v>94</v>
      </c>
      <c r="AA22" s="111">
        <v>0.13800000000000001</v>
      </c>
      <c r="AB22" s="111" t="s">
        <v>399</v>
      </c>
      <c r="AC22" s="111" t="s">
        <v>77</v>
      </c>
      <c r="AD22" t="s">
        <v>29</v>
      </c>
      <c r="AE22" t="s">
        <v>34</v>
      </c>
      <c r="AF22" s="111" t="s">
        <v>353</v>
      </c>
      <c r="AH22">
        <v>1</v>
      </c>
    </row>
    <row r="23" spans="1:34" ht="15" x14ac:dyDescent="0.25">
      <c r="A23" t="s">
        <v>3</v>
      </c>
      <c r="B23" t="s">
        <v>142</v>
      </c>
      <c r="C23">
        <v>2008</v>
      </c>
      <c r="D23" s="18">
        <v>1702.8154184097457</v>
      </c>
      <c r="E23" s="18">
        <v>2000</v>
      </c>
      <c r="G23">
        <v>9254</v>
      </c>
      <c r="I23">
        <v>7.5</v>
      </c>
      <c r="J23" s="1">
        <v>3.0352500000000001E-2</v>
      </c>
      <c r="K23" s="1">
        <v>3.0351423149999999</v>
      </c>
      <c r="L23" s="1">
        <v>1.7824259060529946</v>
      </c>
      <c r="M23" s="1">
        <v>56.10132339707588</v>
      </c>
      <c r="N23">
        <v>9.9600000000000009</v>
      </c>
      <c r="O23" s="1">
        <v>4.0308120000000003E-2</v>
      </c>
      <c r="P23" s="1">
        <v>4.03066899432</v>
      </c>
      <c r="Q23" s="1">
        <v>2.3670616032383767</v>
      </c>
      <c r="R23" s="1">
        <v>42.244972437557138</v>
      </c>
      <c r="S23" s="1"/>
      <c r="T23" s="1"/>
      <c r="U23" s="1"/>
      <c r="V23">
        <v>39.838630000000002</v>
      </c>
      <c r="W23">
        <v>-104.67359</v>
      </c>
      <c r="X23" t="s">
        <v>21</v>
      </c>
      <c r="Y23" t="s">
        <v>776</v>
      </c>
      <c r="Z23" t="s">
        <v>95</v>
      </c>
      <c r="AA23" s="111"/>
      <c r="AB23" s="111"/>
      <c r="AC23" s="111"/>
      <c r="AD23" t="s">
        <v>29</v>
      </c>
      <c r="AE23" t="s">
        <v>110</v>
      </c>
      <c r="AF23" s="111" t="s">
        <v>252</v>
      </c>
      <c r="AH23">
        <v>1</v>
      </c>
    </row>
    <row r="24" spans="1:34" ht="15" x14ac:dyDescent="0.25">
      <c r="A24" t="s">
        <v>26</v>
      </c>
      <c r="B24" t="s">
        <v>502</v>
      </c>
      <c r="C24">
        <v>2008</v>
      </c>
      <c r="D24" s="18">
        <v>863.32741713374105</v>
      </c>
      <c r="E24" s="18">
        <v>1014</v>
      </c>
      <c r="F24">
        <v>8.3000000000000007</v>
      </c>
      <c r="G24">
        <v>4984</v>
      </c>
      <c r="H24" t="s">
        <v>503</v>
      </c>
      <c r="I24">
        <v>10</v>
      </c>
      <c r="J24" s="1">
        <v>4.0470000000000006E-2</v>
      </c>
      <c r="K24" s="1">
        <v>4.0468564200000001</v>
      </c>
      <c r="L24" s="1">
        <v>4.6875106010598149</v>
      </c>
      <c r="M24" s="1">
        <v>21.332528221738102</v>
      </c>
      <c r="N24">
        <v>5.9</v>
      </c>
      <c r="O24" s="1">
        <v>2.3877300000000004E-2</v>
      </c>
      <c r="P24" s="1">
        <v>2.3877300000000004</v>
      </c>
      <c r="Q24" s="1">
        <v>2.7657293775370841</v>
      </c>
      <c r="R24" s="1">
        <v>36.156827494471358</v>
      </c>
      <c r="V24">
        <v>37.966814999999997</v>
      </c>
      <c r="W24">
        <v>-122.379823</v>
      </c>
      <c r="X24" t="s">
        <v>139</v>
      </c>
      <c r="Y24" t="s">
        <v>504</v>
      </c>
      <c r="Z24" t="s">
        <v>371</v>
      </c>
      <c r="AA24" s="111">
        <v>0.14399999999999999</v>
      </c>
      <c r="AB24" t="s">
        <v>399</v>
      </c>
      <c r="AC24" t="s">
        <v>505</v>
      </c>
      <c r="AD24" t="s">
        <v>29</v>
      </c>
      <c r="AE24" t="s">
        <v>506</v>
      </c>
      <c r="AF24" s="111" t="s">
        <v>385</v>
      </c>
      <c r="AH24">
        <v>1</v>
      </c>
    </row>
    <row r="25" spans="1:34" x14ac:dyDescent="0.3">
      <c r="A25" t="s">
        <v>3</v>
      </c>
      <c r="B25" t="s">
        <v>4</v>
      </c>
      <c r="C25">
        <v>2008</v>
      </c>
      <c r="D25" s="18">
        <v>891.48</v>
      </c>
      <c r="E25" s="18">
        <v>1188.6400000000001</v>
      </c>
      <c r="F25">
        <v>6.9</v>
      </c>
      <c r="G25">
        <v>6192</v>
      </c>
      <c r="H25" t="s">
        <v>8</v>
      </c>
      <c r="I25">
        <v>5.7</v>
      </c>
      <c r="J25" s="1">
        <v>2.3067900000000002E-2</v>
      </c>
      <c r="K25" s="1">
        <v>2.3067081594000003</v>
      </c>
      <c r="L25" s="1">
        <v>2.587504104859335</v>
      </c>
      <c r="M25" s="1">
        <v>38.645910551025452</v>
      </c>
      <c r="N25" s="1">
        <v>4.5</v>
      </c>
      <c r="O25" s="1">
        <v>1.8211500000000002E-2</v>
      </c>
      <c r="P25" s="1">
        <v>1.82115</v>
      </c>
      <c r="Q25" s="1">
        <v>2.042838874680307</v>
      </c>
      <c r="R25" s="1">
        <v>48.951486697965571</v>
      </c>
      <c r="S25" s="1">
        <v>0.47540983606557374</v>
      </c>
      <c r="T25" s="1">
        <v>2.103448275862069</v>
      </c>
      <c r="U25" s="1">
        <v>0.97118569452014591</v>
      </c>
      <c r="V25">
        <v>39.724755999999999</v>
      </c>
      <c r="W25">
        <v>-105.118824</v>
      </c>
      <c r="X25" t="s">
        <v>91</v>
      </c>
      <c r="Y25" t="s">
        <v>87</v>
      </c>
      <c r="Z25" t="s">
        <v>95</v>
      </c>
      <c r="AA25" s="111">
        <v>0.12720000000000001</v>
      </c>
      <c r="AB25" s="111" t="s">
        <v>67</v>
      </c>
      <c r="AC25" s="111" t="s">
        <v>79</v>
      </c>
      <c r="AD25" t="s">
        <v>29</v>
      </c>
      <c r="AE25" t="s">
        <v>19</v>
      </c>
      <c r="AF25" s="111" t="s">
        <v>353</v>
      </c>
      <c r="AH25">
        <v>1</v>
      </c>
    </row>
    <row r="26" spans="1:34" ht="15" x14ac:dyDescent="0.25">
      <c r="A26" t="s">
        <v>26</v>
      </c>
      <c r="B26" t="s">
        <v>511</v>
      </c>
      <c r="C26">
        <v>2008</v>
      </c>
      <c r="D26" s="18">
        <v>1064.2596365060911</v>
      </c>
      <c r="E26" s="18">
        <v>1250</v>
      </c>
      <c r="G26">
        <v>17172</v>
      </c>
      <c r="H26" t="s">
        <v>170</v>
      </c>
      <c r="I26">
        <v>8.5</v>
      </c>
      <c r="J26" s="1">
        <v>3.43995E-2</v>
      </c>
      <c r="K26" s="1">
        <v>3.4398279570000003</v>
      </c>
      <c r="L26" s="1">
        <v>3.2321323096427639</v>
      </c>
      <c r="M26" s="1">
        <v>30.938229814563904</v>
      </c>
      <c r="N26">
        <v>6.9</v>
      </c>
      <c r="O26" s="1">
        <v>2.7924300000000003E-2</v>
      </c>
      <c r="P26" s="1">
        <v>2.79243</v>
      </c>
      <c r="Q26" s="1">
        <v>2.6238240220848761</v>
      </c>
      <c r="R26" s="1">
        <v>38.112312090404806</v>
      </c>
      <c r="V26">
        <v>38.449382999999997</v>
      </c>
      <c r="W26">
        <v>-121.16465700000001</v>
      </c>
      <c r="X26" t="s">
        <v>91</v>
      </c>
      <c r="AA26" s="111">
        <v>0.107</v>
      </c>
      <c r="AB26" t="s">
        <v>366</v>
      </c>
      <c r="AC26" t="s">
        <v>146</v>
      </c>
      <c r="AD26" t="s">
        <v>29</v>
      </c>
      <c r="AE26" t="s">
        <v>475</v>
      </c>
      <c r="AF26" s="111" t="s">
        <v>385</v>
      </c>
      <c r="AH26">
        <v>1</v>
      </c>
    </row>
    <row r="27" spans="1:34" ht="15" x14ac:dyDescent="0.25">
      <c r="A27" t="s">
        <v>3</v>
      </c>
      <c r="B27" t="s">
        <v>145</v>
      </c>
      <c r="C27">
        <v>2008</v>
      </c>
      <c r="D27" s="18">
        <v>1702.8154184097457</v>
      </c>
      <c r="E27" s="18">
        <v>2000</v>
      </c>
      <c r="F27">
        <v>13</v>
      </c>
      <c r="G27">
        <v>27588</v>
      </c>
      <c r="I27">
        <v>12.5</v>
      </c>
      <c r="J27" s="1">
        <v>5.0587500000000001E-2</v>
      </c>
      <c r="K27" s="1">
        <v>5.0585705250000004</v>
      </c>
      <c r="L27" s="1">
        <v>2.9707098434216577</v>
      </c>
      <c r="M27" s="1">
        <v>33.660794038245527</v>
      </c>
      <c r="N27">
        <v>10.7</v>
      </c>
      <c r="O27" s="1">
        <v>4.3302899999999998E-2</v>
      </c>
      <c r="P27" s="1">
        <v>4.3302899999999998</v>
      </c>
      <c r="Q27" s="1">
        <v>2.543017847491682</v>
      </c>
      <c r="R27" s="1">
        <v>39.323357521314875</v>
      </c>
      <c r="S27" s="1"/>
      <c r="T27" s="1"/>
      <c r="U27" s="1"/>
      <c r="V27">
        <v>38.722852000000003</v>
      </c>
      <c r="W27">
        <v>-104.78174</v>
      </c>
      <c r="X27" t="s">
        <v>91</v>
      </c>
      <c r="Z27" t="s">
        <v>95</v>
      </c>
      <c r="AA27" s="111">
        <v>0.1069</v>
      </c>
      <c r="AB27" s="111" t="s">
        <v>366</v>
      </c>
      <c r="AC27" s="111" t="s">
        <v>367</v>
      </c>
      <c r="AD27" t="s">
        <v>29</v>
      </c>
      <c r="AE27" t="s">
        <v>110</v>
      </c>
      <c r="AF27" s="111" t="s">
        <v>252</v>
      </c>
      <c r="AH27">
        <v>1</v>
      </c>
    </row>
    <row r="28" spans="1:34" ht="15" x14ac:dyDescent="0.25">
      <c r="A28" t="s">
        <v>168</v>
      </c>
      <c r="B28" t="s">
        <v>178</v>
      </c>
      <c r="C28">
        <v>2008</v>
      </c>
      <c r="D28" s="18">
        <v>2554.2231276146185</v>
      </c>
      <c r="E28" s="18">
        <v>3000</v>
      </c>
      <c r="G28">
        <v>17000</v>
      </c>
      <c r="H28" t="s">
        <v>179</v>
      </c>
      <c r="I28">
        <v>16.5</v>
      </c>
      <c r="J28" s="1">
        <v>6.6775500000000002E-2</v>
      </c>
      <c r="K28" s="1">
        <v>6.6773130930000004</v>
      </c>
      <c r="L28" s="1">
        <v>2.614224662211059</v>
      </c>
      <c r="M28" s="1">
        <v>38.250902316188096</v>
      </c>
      <c r="N28">
        <v>11</v>
      </c>
      <c r="O28" s="1">
        <v>4.4517000000000001E-2</v>
      </c>
      <c r="P28" s="1">
        <v>4.4516999999999998</v>
      </c>
      <c r="Q28" s="1">
        <v>1.7428782755394709</v>
      </c>
      <c r="R28" s="1">
        <v>57.376353474282148</v>
      </c>
      <c r="S28" s="1"/>
      <c r="T28" s="1"/>
      <c r="U28" s="1"/>
      <c r="V28">
        <v>40.148798999999997</v>
      </c>
      <c r="W28">
        <v>-74.777175999999997</v>
      </c>
      <c r="X28" t="s">
        <v>91</v>
      </c>
      <c r="Z28" t="s">
        <v>95</v>
      </c>
      <c r="AA28" s="111"/>
      <c r="AB28" s="111"/>
      <c r="AC28" s="111"/>
      <c r="AD28" t="s">
        <v>29</v>
      </c>
      <c r="AE28" t="s">
        <v>110</v>
      </c>
      <c r="AF28" s="111" t="s">
        <v>252</v>
      </c>
      <c r="AH28">
        <v>1</v>
      </c>
    </row>
    <row r="29" spans="1:34" ht="15" x14ac:dyDescent="0.25">
      <c r="A29" t="s">
        <v>107</v>
      </c>
      <c r="B29" t="s">
        <v>185</v>
      </c>
      <c r="C29">
        <v>2008</v>
      </c>
      <c r="D29" s="18">
        <v>10000</v>
      </c>
      <c r="E29" s="18">
        <v>12000</v>
      </c>
      <c r="G29">
        <v>167000</v>
      </c>
      <c r="H29" t="s">
        <v>186</v>
      </c>
      <c r="I29">
        <v>80</v>
      </c>
      <c r="J29" s="1">
        <v>0.32376000000000005</v>
      </c>
      <c r="K29" s="1">
        <v>32.374851360000001</v>
      </c>
      <c r="L29" s="1">
        <v>3.2374851360000001</v>
      </c>
      <c r="M29" s="1">
        <v>30.88707684704719</v>
      </c>
      <c r="N29">
        <v>70</v>
      </c>
      <c r="O29" s="1">
        <v>0.28329000000000004</v>
      </c>
      <c r="P29" s="1">
        <v>28.329000000000001</v>
      </c>
      <c r="Q29" s="1">
        <v>2.8329</v>
      </c>
      <c r="R29" s="1">
        <v>35.299516396625364</v>
      </c>
      <c r="S29" s="1"/>
      <c r="T29" s="1"/>
      <c r="U29" s="1"/>
      <c r="V29">
        <v>35.788820000000001</v>
      </c>
      <c r="W29">
        <v>-114.99776</v>
      </c>
      <c r="X29" t="s">
        <v>91</v>
      </c>
      <c r="Z29" t="s">
        <v>94</v>
      </c>
      <c r="AA29" s="111">
        <v>0.107</v>
      </c>
      <c r="AB29" s="111"/>
      <c r="AC29" s="111" t="s">
        <v>146</v>
      </c>
      <c r="AD29" t="s">
        <v>29</v>
      </c>
      <c r="AE29" t="s">
        <v>110</v>
      </c>
      <c r="AF29" s="111" t="s">
        <v>252</v>
      </c>
      <c r="AH29">
        <v>1</v>
      </c>
    </row>
    <row r="30" spans="1:34" ht="15" x14ac:dyDescent="0.25">
      <c r="A30" t="s">
        <v>424</v>
      </c>
      <c r="B30" t="s">
        <v>425</v>
      </c>
      <c r="C30">
        <v>2009</v>
      </c>
      <c r="D30" s="18">
        <v>851.40770920487284</v>
      </c>
      <c r="E30" s="18">
        <v>1000</v>
      </c>
      <c r="G30">
        <v>5000</v>
      </c>
      <c r="H30" t="s">
        <v>389</v>
      </c>
      <c r="I30">
        <v>9.5</v>
      </c>
      <c r="J30" s="1">
        <v>3.8446500000000002E-2</v>
      </c>
      <c r="K30" s="1">
        <v>3.8445135989999999</v>
      </c>
      <c r="L30" s="1">
        <v>4.5154789620009197</v>
      </c>
      <c r="M30" s="1">
        <v>22.145259235687849</v>
      </c>
      <c r="N30">
        <v>9</v>
      </c>
      <c r="O30" s="1">
        <v>3.6423000000000004E-2</v>
      </c>
      <c r="P30" s="1">
        <v>3.6423000000000001</v>
      </c>
      <c r="Q30" s="1">
        <v>4.2779739490514288</v>
      </c>
      <c r="R30" s="1">
        <v>23.375551415448282</v>
      </c>
      <c r="S30" s="1"/>
      <c r="T30" s="1"/>
      <c r="U30" s="1"/>
      <c r="V30">
        <v>33.926340000000003</v>
      </c>
      <c r="W30">
        <v>-117.60604600000001</v>
      </c>
      <c r="X30" t="s">
        <v>21</v>
      </c>
      <c r="Y30" t="s">
        <v>426</v>
      </c>
      <c r="Z30" t="s">
        <v>95</v>
      </c>
      <c r="AA30" s="111">
        <v>0.19600000000000001</v>
      </c>
      <c r="AB30" t="s">
        <v>391</v>
      </c>
      <c r="AC30" t="s">
        <v>421</v>
      </c>
      <c r="AD30" t="s">
        <v>60</v>
      </c>
      <c r="AE30" t="s">
        <v>427</v>
      </c>
      <c r="AF30" s="111" t="s">
        <v>385</v>
      </c>
      <c r="AH30">
        <v>1</v>
      </c>
    </row>
    <row r="31" spans="1:34" ht="15" x14ac:dyDescent="0.25">
      <c r="A31" t="s">
        <v>35</v>
      </c>
      <c r="B31" t="s">
        <v>165</v>
      </c>
      <c r="C31">
        <v>2009</v>
      </c>
      <c r="D31" s="18">
        <v>936.54848012536013</v>
      </c>
      <c r="E31" s="18">
        <v>1100</v>
      </c>
      <c r="F31">
        <v>10</v>
      </c>
      <c r="G31">
        <v>5400</v>
      </c>
      <c r="H31" t="s">
        <v>165</v>
      </c>
      <c r="I31">
        <v>9</v>
      </c>
      <c r="J31" s="1">
        <v>3.6423000000000004E-2</v>
      </c>
      <c r="K31" s="1">
        <v>3.6421707780000001</v>
      </c>
      <c r="L31" s="1">
        <v>3.8889292495701699</v>
      </c>
      <c r="M31" s="1">
        <v>25.713106556993111</v>
      </c>
      <c r="N31">
        <v>6.4</v>
      </c>
      <c r="O31" s="1">
        <v>2.5900800000000002E-2</v>
      </c>
      <c r="P31" s="1">
        <v>2.5899881088000001</v>
      </c>
      <c r="Q31" s="1">
        <v>2.7654607996943432</v>
      </c>
      <c r="R31" s="1">
        <v>36.159056095771561</v>
      </c>
      <c r="S31" s="1"/>
      <c r="T31" s="1"/>
      <c r="U31" s="1"/>
      <c r="V31">
        <v>33.052171999999999</v>
      </c>
      <c r="W31">
        <v>-111.489773</v>
      </c>
      <c r="X31" t="s">
        <v>21</v>
      </c>
      <c r="Y31" t="s">
        <v>776</v>
      </c>
      <c r="Z31" t="s">
        <v>96</v>
      </c>
      <c r="AA31" s="111"/>
      <c r="AB31" s="111"/>
      <c r="AD31" t="s">
        <v>29</v>
      </c>
      <c r="AE31" t="s">
        <v>157</v>
      </c>
      <c r="AF31" s="111" t="s">
        <v>352</v>
      </c>
      <c r="AH31">
        <v>1</v>
      </c>
    </row>
    <row r="32" spans="1:34" ht="15" x14ac:dyDescent="0.25">
      <c r="A32" t="s">
        <v>26</v>
      </c>
      <c r="B32" t="s">
        <v>52</v>
      </c>
      <c r="C32">
        <v>2009</v>
      </c>
      <c r="D32" s="18">
        <v>924.13400000000001</v>
      </c>
      <c r="E32" s="18">
        <v>1102.08</v>
      </c>
      <c r="G32">
        <v>5376</v>
      </c>
      <c r="H32" t="s">
        <v>33</v>
      </c>
      <c r="I32">
        <v>9</v>
      </c>
      <c r="J32" s="1">
        <v>3.6423000000000004E-2</v>
      </c>
      <c r="K32" s="1">
        <v>3.6421707780000001</v>
      </c>
      <c r="L32" s="1">
        <v>3.9411717110289199</v>
      </c>
      <c r="M32" s="1">
        <v>25.372264777750321</v>
      </c>
      <c r="N32">
        <v>6.5339999999999998</v>
      </c>
      <c r="O32" s="1">
        <v>2.6443098000000002E-2</v>
      </c>
      <c r="P32" s="1">
        <v>2.644215984828</v>
      </c>
      <c r="Q32" s="1">
        <v>2.8612906622069958</v>
      </c>
      <c r="R32" s="1">
        <v>34.948023109848926</v>
      </c>
      <c r="S32" s="1">
        <v>0.34265793410404016</v>
      </c>
      <c r="T32" s="1">
        <v>2.918362309674035</v>
      </c>
      <c r="U32" s="1">
        <v>0.98044394718303018</v>
      </c>
      <c r="V32">
        <v>34.594321000000001</v>
      </c>
      <c r="W32">
        <v>-117.19450999999999</v>
      </c>
      <c r="X32" t="s">
        <v>21</v>
      </c>
      <c r="Y32" t="s">
        <v>776</v>
      </c>
      <c r="Z32" t="s">
        <v>94</v>
      </c>
      <c r="AA32" s="111">
        <v>0.14799999999999999</v>
      </c>
      <c r="AB32" s="111" t="s">
        <v>399</v>
      </c>
      <c r="AC32" s="111" t="s">
        <v>78</v>
      </c>
      <c r="AD32" t="s">
        <v>29</v>
      </c>
      <c r="AE32" t="s">
        <v>53</v>
      </c>
      <c r="AF32" s="111" t="s">
        <v>353</v>
      </c>
      <c r="AH32">
        <v>1</v>
      </c>
    </row>
    <row r="33" spans="1:34" ht="15" x14ac:dyDescent="0.25">
      <c r="A33" t="s">
        <v>3</v>
      </c>
      <c r="B33" t="s">
        <v>32</v>
      </c>
      <c r="C33">
        <v>2009</v>
      </c>
      <c r="D33" s="18">
        <v>1000</v>
      </c>
      <c r="E33" s="18">
        <v>1083</v>
      </c>
      <c r="G33">
        <v>5670</v>
      </c>
      <c r="H33" t="s">
        <v>33</v>
      </c>
      <c r="I33">
        <v>10.66</v>
      </c>
      <c r="J33" s="1">
        <v>4.3141020000000002E-2</v>
      </c>
      <c r="K33" s="1">
        <v>4.3139489437199998</v>
      </c>
      <c r="L33" s="1">
        <v>4.3139489437199998</v>
      </c>
      <c r="M33" s="1">
        <v>23.179795007164874</v>
      </c>
      <c r="N33">
        <v>6.6</v>
      </c>
      <c r="O33" s="1">
        <v>2.67102E-2</v>
      </c>
      <c r="P33" s="1">
        <v>2.6709252372000001</v>
      </c>
      <c r="Q33" s="1">
        <v>2.6709252372000001</v>
      </c>
      <c r="R33" s="1">
        <v>37.438881026723877</v>
      </c>
      <c r="S33" s="1">
        <v>0.46391787390673017</v>
      </c>
      <c r="T33" s="1">
        <v>2.1555539379822388</v>
      </c>
      <c r="U33" s="1">
        <v>1.2390899574056531</v>
      </c>
      <c r="V33">
        <v>39.909672999999998</v>
      </c>
      <c r="W33">
        <v>-105.231408</v>
      </c>
      <c r="X33" t="s">
        <v>21</v>
      </c>
      <c r="Y33" t="s">
        <v>776</v>
      </c>
      <c r="Z33" t="s">
        <v>95</v>
      </c>
      <c r="AA33" s="111">
        <v>0.1305</v>
      </c>
      <c r="AB33" s="111" t="s">
        <v>67</v>
      </c>
      <c r="AC33" s="111" t="s">
        <v>70</v>
      </c>
      <c r="AD33" t="s">
        <v>29</v>
      </c>
      <c r="AE33" t="s">
        <v>34</v>
      </c>
      <c r="AF33" s="111" t="s">
        <v>353</v>
      </c>
      <c r="AH33">
        <v>1</v>
      </c>
    </row>
    <row r="34" spans="1:34" ht="15" x14ac:dyDescent="0.25">
      <c r="A34" t="s">
        <v>3</v>
      </c>
      <c r="B34" t="s">
        <v>44</v>
      </c>
      <c r="C34">
        <v>2009</v>
      </c>
      <c r="D34" s="18">
        <v>1329.79</v>
      </c>
      <c r="E34" s="18">
        <v>1727</v>
      </c>
      <c r="G34">
        <v>6248</v>
      </c>
      <c r="H34" t="s">
        <v>8</v>
      </c>
      <c r="I34">
        <v>10.78</v>
      </c>
      <c r="J34" s="1">
        <v>4.3626659999999998E-2</v>
      </c>
      <c r="K34" s="1">
        <v>4.3625112207600001</v>
      </c>
      <c r="L34" s="1">
        <v>3.2806016143601622</v>
      </c>
      <c r="M34" s="1">
        <v>30.481132408486005</v>
      </c>
      <c r="N34">
        <v>7.61</v>
      </c>
      <c r="O34" s="1">
        <v>3.0797670000000003E-2</v>
      </c>
      <c r="P34" s="1">
        <v>3.0796577356200001</v>
      </c>
      <c r="Q34" s="1">
        <v>2.3158978001188157</v>
      </c>
      <c r="R34" s="1">
        <v>43.178266407815912</v>
      </c>
      <c r="S34" s="1">
        <v>0.43749957817867674</v>
      </c>
      <c r="T34" s="1">
        <v>2.2857164895176094</v>
      </c>
      <c r="U34" s="1">
        <v>1.0132043106569073</v>
      </c>
      <c r="V34">
        <v>39.525114000000002</v>
      </c>
      <c r="W34">
        <v>-107.814288</v>
      </c>
      <c r="X34" t="s">
        <v>21</v>
      </c>
      <c r="Y34" t="s">
        <v>776</v>
      </c>
      <c r="Z34" t="s">
        <v>96</v>
      </c>
      <c r="AA34" s="111">
        <v>0.13919999999999999</v>
      </c>
      <c r="AB34" s="111" t="s">
        <v>391</v>
      </c>
      <c r="AC34" s="111" t="s">
        <v>74</v>
      </c>
      <c r="AD34" t="s">
        <v>29</v>
      </c>
      <c r="AE34" t="s">
        <v>34</v>
      </c>
      <c r="AF34" s="111" t="s">
        <v>353</v>
      </c>
      <c r="AH34">
        <v>1</v>
      </c>
    </row>
    <row r="35" spans="1:34" ht="15" x14ac:dyDescent="0.25">
      <c r="A35" t="s">
        <v>148</v>
      </c>
      <c r="B35" t="s">
        <v>154</v>
      </c>
      <c r="C35">
        <v>2009</v>
      </c>
      <c r="D35" s="18">
        <v>900</v>
      </c>
      <c r="E35" s="18">
        <v>1000</v>
      </c>
      <c r="H35" t="s">
        <v>155</v>
      </c>
      <c r="I35">
        <v>5.5</v>
      </c>
      <c r="J35" s="1">
        <v>2.2258500000000001E-2</v>
      </c>
      <c r="K35" s="1">
        <v>2.2257710309999998</v>
      </c>
      <c r="L35" s="1">
        <v>2.473078923333333</v>
      </c>
      <c r="M35" s="1">
        <v>40.43399150886178</v>
      </c>
      <c r="N35">
        <v>2.5</v>
      </c>
      <c r="O35" s="1">
        <v>1.0117500000000001E-2</v>
      </c>
      <c r="P35" s="1">
        <v>1.0117499999999999</v>
      </c>
      <c r="Q35" s="1">
        <v>1.1241666666666665</v>
      </c>
      <c r="R35" s="1">
        <v>88.954781319495908</v>
      </c>
      <c r="S35" s="1"/>
      <c r="T35" s="1"/>
      <c r="U35" s="1"/>
      <c r="V35">
        <v>28.518204000000001</v>
      </c>
      <c r="W35">
        <v>-80.646029999999996</v>
      </c>
      <c r="X35" t="s">
        <v>91</v>
      </c>
      <c r="Z35" t="s">
        <v>94</v>
      </c>
      <c r="AA35" s="111"/>
      <c r="AB35" s="111"/>
      <c r="AC35" s="111"/>
      <c r="AD35" t="s">
        <v>29</v>
      </c>
      <c r="AE35" t="s">
        <v>110</v>
      </c>
      <c r="AF35" s="111" t="s">
        <v>252</v>
      </c>
      <c r="AH35">
        <v>1</v>
      </c>
    </row>
    <row r="36" spans="1:34" ht="15" x14ac:dyDescent="0.25">
      <c r="A36" t="s">
        <v>476</v>
      </c>
      <c r="B36" t="s">
        <v>477</v>
      </c>
      <c r="C36">
        <v>2009</v>
      </c>
      <c r="D36" s="18">
        <v>1004.6610968617499</v>
      </c>
      <c r="E36" s="18">
        <v>1180</v>
      </c>
      <c r="F36">
        <v>7</v>
      </c>
      <c r="G36">
        <v>4200</v>
      </c>
      <c r="H36" t="s">
        <v>478</v>
      </c>
      <c r="I36">
        <v>4</v>
      </c>
      <c r="J36" s="1">
        <v>1.6188000000000001E-2</v>
      </c>
      <c r="K36" s="1">
        <v>1.618742568</v>
      </c>
      <c r="L36" s="1">
        <v>1.6112324574490346</v>
      </c>
      <c r="M36" s="1">
        <v>62.062089008015192</v>
      </c>
      <c r="N36">
        <v>2.7</v>
      </c>
      <c r="O36" s="1">
        <v>1.0926900000000002E-2</v>
      </c>
      <c r="P36" s="1">
        <v>1.0926900000000002</v>
      </c>
      <c r="Q36" s="1">
        <v>1.0876204955215496</v>
      </c>
      <c r="R36" s="1">
        <v>91.9438355674299</v>
      </c>
      <c r="V36">
        <v>21.316091</v>
      </c>
      <c r="W36">
        <v>-158.10544400000001</v>
      </c>
      <c r="X36" t="s">
        <v>91</v>
      </c>
      <c r="AA36" s="111">
        <v>0.14430000000000001</v>
      </c>
      <c r="AB36" t="s">
        <v>399</v>
      </c>
      <c r="AC36" t="s">
        <v>479</v>
      </c>
      <c r="AD36" t="s">
        <v>29</v>
      </c>
      <c r="AE36" t="s">
        <v>157</v>
      </c>
      <c r="AF36" s="111" t="s">
        <v>380</v>
      </c>
      <c r="AH36">
        <v>1</v>
      </c>
    </row>
    <row r="37" spans="1:34" ht="15" x14ac:dyDescent="0.25">
      <c r="A37" t="s">
        <v>3</v>
      </c>
      <c r="B37" t="s">
        <v>158</v>
      </c>
      <c r="C37">
        <v>2009</v>
      </c>
      <c r="D37" s="18">
        <v>1021.6892510458474</v>
      </c>
      <c r="E37" s="18">
        <v>1200</v>
      </c>
      <c r="G37">
        <v>6800</v>
      </c>
      <c r="H37" t="s">
        <v>364</v>
      </c>
      <c r="I37">
        <v>4.3</v>
      </c>
      <c r="J37" s="1">
        <v>1.74021E-2</v>
      </c>
      <c r="K37" s="1">
        <v>1.7401482606000001</v>
      </c>
      <c r="L37" s="1">
        <v>1.7032069768950835</v>
      </c>
      <c r="M37" s="1">
        <v>58.710687276009651</v>
      </c>
      <c r="N37">
        <v>3.5</v>
      </c>
      <c r="O37" s="1">
        <v>1.41645E-2</v>
      </c>
      <c r="P37" s="1">
        <v>1.41645</v>
      </c>
      <c r="Q37" s="1">
        <v>1.3863804464518517</v>
      </c>
      <c r="R37" s="1">
        <v>72.130272939097566</v>
      </c>
      <c r="S37" s="1"/>
      <c r="T37" s="1"/>
      <c r="U37" s="1"/>
      <c r="V37">
        <v>38.312379</v>
      </c>
      <c r="W37">
        <v>-104.575934</v>
      </c>
      <c r="X37" t="s">
        <v>91</v>
      </c>
      <c r="Z37" t="s">
        <v>96</v>
      </c>
      <c r="AA37" s="111"/>
      <c r="AB37" s="111"/>
      <c r="AC37" s="111"/>
      <c r="AD37" t="s">
        <v>29</v>
      </c>
      <c r="AE37" t="s">
        <v>157</v>
      </c>
      <c r="AF37" s="111" t="s">
        <v>352</v>
      </c>
      <c r="AH37">
        <v>1</v>
      </c>
    </row>
    <row r="38" spans="1:34" ht="15" x14ac:dyDescent="0.25">
      <c r="A38" t="s">
        <v>3</v>
      </c>
      <c r="B38" t="s">
        <v>143</v>
      </c>
      <c r="C38">
        <v>2009</v>
      </c>
      <c r="D38" s="18">
        <v>1362.2523347277966</v>
      </c>
      <c r="E38" s="18">
        <v>1600</v>
      </c>
      <c r="F38">
        <v>7</v>
      </c>
      <c r="G38">
        <v>7392</v>
      </c>
      <c r="I38">
        <v>9</v>
      </c>
      <c r="J38" s="1">
        <v>3.6423000000000004E-2</v>
      </c>
      <c r="K38" s="1">
        <v>3.6421707780000001</v>
      </c>
      <c r="L38" s="1">
        <v>2.6736388590794919</v>
      </c>
      <c r="M38" s="1">
        <v>37.400882264717254</v>
      </c>
      <c r="N38">
        <v>7.1</v>
      </c>
      <c r="O38" s="1">
        <v>2.8733700000000001E-2</v>
      </c>
      <c r="P38" s="1">
        <v>2.8732680581999999</v>
      </c>
      <c r="Q38" s="1">
        <v>2.1092039888293765</v>
      </c>
      <c r="R38" s="1">
        <v>47.409569067951452</v>
      </c>
      <c r="S38" s="1"/>
      <c r="T38" s="1"/>
      <c r="U38" s="1"/>
      <c r="V38">
        <v>39.900089999999999</v>
      </c>
      <c r="W38">
        <v>-104.673615</v>
      </c>
      <c r="X38" t="s">
        <v>91</v>
      </c>
      <c r="Z38" t="s">
        <v>95</v>
      </c>
      <c r="AA38" s="111"/>
      <c r="AB38" s="111"/>
      <c r="AC38" s="111"/>
      <c r="AD38" t="s">
        <v>29</v>
      </c>
      <c r="AE38" t="s">
        <v>110</v>
      </c>
      <c r="AF38" s="111" t="s">
        <v>252</v>
      </c>
      <c r="AH38">
        <v>1</v>
      </c>
    </row>
    <row r="39" spans="1:34" ht="15" x14ac:dyDescent="0.25">
      <c r="A39" t="s">
        <v>171</v>
      </c>
      <c r="B39" t="s">
        <v>198</v>
      </c>
      <c r="C39">
        <v>2009</v>
      </c>
      <c r="D39" s="18">
        <v>2086.4699999999998</v>
      </c>
      <c r="E39" s="18">
        <v>2151</v>
      </c>
      <c r="G39">
        <v>28260</v>
      </c>
      <c r="H39" t="s">
        <v>199</v>
      </c>
      <c r="I39">
        <v>14</v>
      </c>
      <c r="J39" s="1">
        <v>5.6658E-2</v>
      </c>
      <c r="K39" s="1">
        <v>5.6655989880000002</v>
      </c>
      <c r="L39" s="1">
        <v>2.7153992091906427</v>
      </c>
      <c r="M39" s="1">
        <v>36.825690988033458</v>
      </c>
      <c r="N39">
        <v>11.5</v>
      </c>
      <c r="O39" s="1">
        <v>4.6540500000000005E-2</v>
      </c>
      <c r="P39" s="1">
        <v>4.6540499999999998</v>
      </c>
      <c r="Q39" s="1">
        <v>2.230585630275058</v>
      </c>
      <c r="R39" s="1">
        <v>44.831275985432036</v>
      </c>
      <c r="S39" s="1"/>
      <c r="T39" s="1"/>
      <c r="U39" s="1"/>
      <c r="V39">
        <v>40.860551999999998</v>
      </c>
      <c r="W39">
        <v>-74.822644999999994</v>
      </c>
      <c r="X39" t="s">
        <v>91</v>
      </c>
      <c r="Z39" t="s">
        <v>96</v>
      </c>
      <c r="AA39" s="111">
        <v>0.1</v>
      </c>
      <c r="AB39" s="111" t="s">
        <v>366</v>
      </c>
      <c r="AC39" s="111" t="s">
        <v>200</v>
      </c>
      <c r="AD39" t="s">
        <v>29</v>
      </c>
      <c r="AE39" s="111" t="s">
        <v>110</v>
      </c>
      <c r="AF39" s="111" t="s">
        <v>252</v>
      </c>
      <c r="AH39">
        <v>1</v>
      </c>
    </row>
    <row r="40" spans="1:34" ht="15" x14ac:dyDescent="0.25">
      <c r="A40" t="s">
        <v>171</v>
      </c>
      <c r="B40" t="s">
        <v>182</v>
      </c>
      <c r="C40">
        <v>2009</v>
      </c>
      <c r="D40" s="18">
        <v>3490.7716077399787</v>
      </c>
      <c r="E40" s="18">
        <v>4100</v>
      </c>
      <c r="F40">
        <v>24</v>
      </c>
      <c r="G40">
        <v>13000</v>
      </c>
      <c r="I40">
        <v>28</v>
      </c>
      <c r="J40" s="1">
        <v>0.113316</v>
      </c>
      <c r="K40" s="1">
        <v>11.331197976</v>
      </c>
      <c r="L40" s="1">
        <v>3.2460439264704939</v>
      </c>
      <c r="M40" s="1">
        <v>30.805637401072918</v>
      </c>
      <c r="N40">
        <v>15</v>
      </c>
      <c r="O40" s="1">
        <v>6.0705000000000002E-2</v>
      </c>
      <c r="P40" s="1">
        <v>6.0705</v>
      </c>
      <c r="Q40" s="1">
        <v>1.7390138004274098</v>
      </c>
      <c r="R40" s="1">
        <v>57.503856482002782</v>
      </c>
      <c r="S40" s="1">
        <v>0.32301244633615322</v>
      </c>
      <c r="T40" s="1">
        <v>3.0958559378833286</v>
      </c>
      <c r="U40" s="1"/>
      <c r="V40">
        <v>39.464311000000002</v>
      </c>
      <c r="W40">
        <v>-75.067610000000002</v>
      </c>
      <c r="X40" t="s">
        <v>91</v>
      </c>
      <c r="Y40" t="s">
        <v>183</v>
      </c>
      <c r="Z40" t="s">
        <v>94</v>
      </c>
      <c r="AA40" s="111"/>
      <c r="AB40" s="111" t="s">
        <v>391</v>
      </c>
      <c r="AC40" s="111"/>
      <c r="AD40" t="s">
        <v>29</v>
      </c>
      <c r="AE40" t="s">
        <v>110</v>
      </c>
      <c r="AF40" s="111" t="s">
        <v>252</v>
      </c>
      <c r="AH40">
        <v>1</v>
      </c>
    </row>
    <row r="41" spans="1:34" ht="15" x14ac:dyDescent="0.25">
      <c r="A41" t="s">
        <v>148</v>
      </c>
      <c r="B41" t="s">
        <v>149</v>
      </c>
      <c r="C41">
        <v>2009</v>
      </c>
      <c r="D41" s="18">
        <v>25000</v>
      </c>
      <c r="E41" s="18">
        <v>28000</v>
      </c>
      <c r="G41">
        <v>90000</v>
      </c>
      <c r="H41" t="s">
        <v>151</v>
      </c>
      <c r="I41">
        <v>235</v>
      </c>
      <c r="J41" s="1">
        <v>0.95104500000000003</v>
      </c>
      <c r="K41" s="1">
        <v>95.104500000000002</v>
      </c>
      <c r="L41" s="1">
        <v>3.8041800000000001</v>
      </c>
      <c r="M41" s="1">
        <v>26.286873912380592</v>
      </c>
      <c r="N41">
        <v>180</v>
      </c>
      <c r="O41" s="1">
        <v>0.72846</v>
      </c>
      <c r="P41" s="1">
        <v>72.846000000000004</v>
      </c>
      <c r="Q41" s="1">
        <v>2.91384</v>
      </c>
      <c r="R41" s="1">
        <v>34.318974274496881</v>
      </c>
      <c r="S41" s="1"/>
      <c r="T41" s="1"/>
      <c r="U41" s="1"/>
      <c r="V41">
        <v>27.316666666666698</v>
      </c>
      <c r="W41">
        <v>-81.8</v>
      </c>
      <c r="X41" t="s">
        <v>21</v>
      </c>
      <c r="Y41" t="s">
        <v>776</v>
      </c>
      <c r="Z41" t="s">
        <v>96</v>
      </c>
      <c r="AA41" s="111">
        <v>0.19</v>
      </c>
      <c r="AB41" s="111" t="s">
        <v>391</v>
      </c>
      <c r="AC41" s="111" t="s">
        <v>150</v>
      </c>
      <c r="AD41" t="s">
        <v>29</v>
      </c>
      <c r="AE41" t="s">
        <v>110</v>
      </c>
      <c r="AF41" s="111" t="s">
        <v>252</v>
      </c>
      <c r="AH41">
        <v>1</v>
      </c>
    </row>
    <row r="42" spans="1:34" ht="15" x14ac:dyDescent="0.25">
      <c r="A42" t="s">
        <v>26</v>
      </c>
      <c r="B42" t="s">
        <v>184</v>
      </c>
      <c r="C42">
        <v>2009</v>
      </c>
      <c r="D42" s="18">
        <v>21000</v>
      </c>
      <c r="E42" s="18">
        <v>25200</v>
      </c>
      <c r="G42">
        <v>351000</v>
      </c>
      <c r="H42" t="s">
        <v>102</v>
      </c>
      <c r="I42">
        <v>186</v>
      </c>
      <c r="J42" s="1">
        <v>0.75274200000000002</v>
      </c>
      <c r="K42" s="1">
        <v>75.274200000000008</v>
      </c>
      <c r="L42" s="1">
        <v>3.5844857142857145</v>
      </c>
      <c r="M42" s="1">
        <v>27.898004894107142</v>
      </c>
      <c r="N42">
        <v>134.4</v>
      </c>
      <c r="O42" s="1">
        <v>0.54391680000000009</v>
      </c>
      <c r="P42" s="1">
        <v>54.391680000000001</v>
      </c>
      <c r="Q42" s="1">
        <v>2.5900799999999999</v>
      </c>
      <c r="R42" s="1">
        <v>38.608846058808986</v>
      </c>
      <c r="S42" s="1"/>
      <c r="T42" s="1"/>
      <c r="U42" s="1"/>
      <c r="V42">
        <v>33.591261000000003</v>
      </c>
      <c r="W42">
        <v>-114.748228</v>
      </c>
      <c r="X42" t="s">
        <v>91</v>
      </c>
      <c r="Z42" t="s">
        <v>96</v>
      </c>
      <c r="AA42" s="111">
        <v>0.1</v>
      </c>
      <c r="AB42" s="111"/>
      <c r="AC42" s="111" t="s">
        <v>102</v>
      </c>
      <c r="AD42" t="s">
        <v>29</v>
      </c>
      <c r="AE42" s="111" t="s">
        <v>110</v>
      </c>
      <c r="AF42" s="111" t="s">
        <v>252</v>
      </c>
      <c r="AG42">
        <v>1</v>
      </c>
      <c r="AH42">
        <v>1</v>
      </c>
    </row>
    <row r="43" spans="1:34" ht="15" x14ac:dyDescent="0.25">
      <c r="A43" t="s">
        <v>527</v>
      </c>
      <c r="B43" t="s">
        <v>526</v>
      </c>
      <c r="C43">
        <v>2010</v>
      </c>
      <c r="D43" s="18">
        <v>940</v>
      </c>
      <c r="E43" s="18">
        <v>1000</v>
      </c>
      <c r="G43">
        <v>4500</v>
      </c>
      <c r="H43" t="s">
        <v>389</v>
      </c>
      <c r="I43">
        <v>10</v>
      </c>
      <c r="J43" s="1">
        <v>4.0470000000000006E-2</v>
      </c>
      <c r="K43" s="1">
        <v>4.0468564200000001</v>
      </c>
      <c r="L43" s="1">
        <v>4.3051664042553197</v>
      </c>
      <c r="M43" s="1">
        <v>23.227081788979486</v>
      </c>
      <c r="N43">
        <v>6.1</v>
      </c>
      <c r="O43" s="1">
        <v>2.4686699999999999E-2</v>
      </c>
      <c r="P43" s="1">
        <v>2.4685824161999999</v>
      </c>
      <c r="Q43" s="1">
        <v>2.6261515065957446</v>
      </c>
      <c r="R43" s="1">
        <v>38.077183260622114</v>
      </c>
      <c r="V43">
        <v>35.25421</v>
      </c>
      <c r="W43">
        <v>-81.595889999999997</v>
      </c>
      <c r="X43" t="s">
        <v>21</v>
      </c>
      <c r="Y43" t="s">
        <v>776</v>
      </c>
      <c r="Z43" t="s">
        <v>96</v>
      </c>
      <c r="AA43" s="111">
        <v>0.19</v>
      </c>
      <c r="AB43" t="s">
        <v>391</v>
      </c>
      <c r="AC43" t="s">
        <v>389</v>
      </c>
      <c r="AD43" t="s">
        <v>60</v>
      </c>
      <c r="AE43" t="s">
        <v>157</v>
      </c>
      <c r="AF43" s="111" t="s">
        <v>380</v>
      </c>
      <c r="AH43">
        <v>1</v>
      </c>
    </row>
    <row r="44" spans="1:34" ht="15" x14ac:dyDescent="0.25">
      <c r="A44" t="s">
        <v>3</v>
      </c>
      <c r="B44" t="s">
        <v>156</v>
      </c>
      <c r="C44">
        <v>2010</v>
      </c>
      <c r="D44" s="18">
        <v>1702.8154184097457</v>
      </c>
      <c r="E44" s="18">
        <v>2000</v>
      </c>
      <c r="G44">
        <v>8000</v>
      </c>
      <c r="H44" t="s">
        <v>159</v>
      </c>
      <c r="I44">
        <v>15</v>
      </c>
      <c r="J44" s="1">
        <v>6.0705000000000002E-2</v>
      </c>
      <c r="K44" s="1">
        <v>6.0702846299999997</v>
      </c>
      <c r="L44" s="1">
        <v>3.5648518121059891</v>
      </c>
      <c r="M44" s="1">
        <v>28.05066169853794</v>
      </c>
      <c r="N44">
        <v>12.8</v>
      </c>
      <c r="O44" s="1">
        <v>5.1801600000000003E-2</v>
      </c>
      <c r="P44" s="1">
        <v>5.1799762176000002</v>
      </c>
      <c r="Q44" s="1">
        <v>3.0420068796637776</v>
      </c>
      <c r="R44" s="1">
        <v>32.871869177974148</v>
      </c>
      <c r="S44" s="1"/>
      <c r="T44" s="1"/>
      <c r="U44" s="1"/>
      <c r="V44">
        <v>40.592049000000003</v>
      </c>
      <c r="W44">
        <v>-105.14837</v>
      </c>
      <c r="X44" t="s">
        <v>21</v>
      </c>
      <c r="Y44" t="s">
        <v>776</v>
      </c>
      <c r="Z44" t="s">
        <v>94</v>
      </c>
      <c r="AA44" s="111"/>
      <c r="AB44" s="111"/>
      <c r="AC44" s="111" t="s">
        <v>254</v>
      </c>
      <c r="AD44" t="s">
        <v>29</v>
      </c>
      <c r="AE44" t="s">
        <v>157</v>
      </c>
      <c r="AF44" s="111" t="s">
        <v>352</v>
      </c>
      <c r="AH44">
        <v>1</v>
      </c>
    </row>
    <row r="45" spans="1:34" ht="15" x14ac:dyDescent="0.25">
      <c r="A45" t="s">
        <v>47</v>
      </c>
      <c r="B45" t="s">
        <v>414</v>
      </c>
      <c r="C45">
        <v>2010</v>
      </c>
      <c r="D45" s="18">
        <v>1873.0969602507203</v>
      </c>
      <c r="E45" s="18">
        <v>2200</v>
      </c>
      <c r="G45">
        <v>10276</v>
      </c>
      <c r="H45" t="s">
        <v>415</v>
      </c>
      <c r="I45">
        <v>17</v>
      </c>
      <c r="J45" s="1">
        <v>6.8798999999999999E-2</v>
      </c>
      <c r="K45" s="1">
        <v>6.8796559140000006</v>
      </c>
      <c r="L45" s="1">
        <v>3.6728776245940495</v>
      </c>
      <c r="M45" s="1">
        <v>27.225642236816238</v>
      </c>
      <c r="N45">
        <v>12</v>
      </c>
      <c r="O45" s="1">
        <v>4.8564000000000003E-2</v>
      </c>
      <c r="P45" s="1">
        <v>4.8562277040000001</v>
      </c>
      <c r="Q45" s="1">
        <v>2.5926194997134466</v>
      </c>
      <c r="R45" s="1">
        <v>38.569659835489666</v>
      </c>
      <c r="S45" s="1"/>
      <c r="T45" s="1"/>
      <c r="U45" s="1"/>
      <c r="V45">
        <v>35.813828999999998</v>
      </c>
      <c r="W45">
        <v>-78.750386000000006</v>
      </c>
      <c r="X45" t="s">
        <v>21</v>
      </c>
      <c r="Y45" t="s">
        <v>776</v>
      </c>
      <c r="Z45" t="s">
        <v>95</v>
      </c>
      <c r="AA45" s="111">
        <v>0.1547</v>
      </c>
      <c r="AB45" t="s">
        <v>603</v>
      </c>
      <c r="AC45" t="s">
        <v>416</v>
      </c>
      <c r="AD45" t="s">
        <v>60</v>
      </c>
      <c r="AE45" t="s">
        <v>417</v>
      </c>
      <c r="AF45" s="111" t="s">
        <v>7</v>
      </c>
      <c r="AH45">
        <v>1</v>
      </c>
    </row>
    <row r="46" spans="1:34" ht="15" x14ac:dyDescent="0.25">
      <c r="A46" t="s">
        <v>171</v>
      </c>
      <c r="B46" t="s">
        <v>379</v>
      </c>
      <c r="C46">
        <v>2010</v>
      </c>
      <c r="D46" s="18">
        <v>3490.7716077399787</v>
      </c>
      <c r="E46" s="18">
        <v>4100</v>
      </c>
      <c r="G46">
        <v>13469</v>
      </c>
      <c r="H46" t="s">
        <v>381</v>
      </c>
      <c r="I46">
        <v>25</v>
      </c>
      <c r="J46" s="1">
        <v>0.101175</v>
      </c>
      <c r="K46" s="1">
        <v>10.117141050000001</v>
      </c>
      <c r="L46" s="1">
        <v>2.8982535057772272</v>
      </c>
      <c r="M46" s="1">
        <v>34.502313889201666</v>
      </c>
      <c r="N46">
        <v>18.649999999999999</v>
      </c>
      <c r="O46" s="1">
        <v>7.5476550000000003E-2</v>
      </c>
      <c r="P46" s="1">
        <v>7.5473872232999994</v>
      </c>
      <c r="Q46" s="1">
        <v>2.1620971153098112</v>
      </c>
      <c r="R46" s="1">
        <v>46.249750521718056</v>
      </c>
      <c r="S46" s="1">
        <v>0.44827706048968663</v>
      </c>
      <c r="T46" s="1">
        <v>2.230763267046556</v>
      </c>
      <c r="U46" s="1">
        <v>0.96921853934431323</v>
      </c>
      <c r="V46">
        <v>40.292326000000003</v>
      </c>
      <c r="W46">
        <v>-74.855862000000002</v>
      </c>
      <c r="X46" t="s">
        <v>21</v>
      </c>
      <c r="Y46">
        <v>0</v>
      </c>
      <c r="Z46" t="s">
        <v>96</v>
      </c>
      <c r="AA46" s="111"/>
      <c r="AB46" s="111"/>
      <c r="AC46" s="111"/>
      <c r="AD46" t="s">
        <v>29</v>
      </c>
      <c r="AE46" t="s">
        <v>157</v>
      </c>
      <c r="AF46" s="111" t="s">
        <v>380</v>
      </c>
      <c r="AH46">
        <v>1</v>
      </c>
    </row>
    <row r="47" spans="1:34" ht="15" x14ac:dyDescent="0.25">
      <c r="A47" t="s">
        <v>171</v>
      </c>
      <c r="B47" t="s">
        <v>435</v>
      </c>
      <c r="C47">
        <v>2010</v>
      </c>
      <c r="D47" s="18">
        <v>3746.1939205014405</v>
      </c>
      <c r="E47" s="18">
        <v>4400</v>
      </c>
      <c r="G47">
        <v>15750</v>
      </c>
      <c r="H47" t="s">
        <v>438</v>
      </c>
      <c r="I47">
        <v>15.7</v>
      </c>
      <c r="J47" s="1">
        <v>6.3537899999999994E-2</v>
      </c>
      <c r="K47" s="1">
        <v>6.3535645793999995</v>
      </c>
      <c r="L47" s="1">
        <v>1.696005256062546</v>
      </c>
      <c r="M47" s="1">
        <v>58.959989557436444</v>
      </c>
      <c r="N47">
        <v>14.1</v>
      </c>
      <c r="O47" s="1">
        <v>5.7062700000000001E-2</v>
      </c>
      <c r="P47" s="1">
        <v>5.7060675522000004</v>
      </c>
      <c r="Q47" s="1">
        <v>1.5231639560816499</v>
      </c>
      <c r="R47" s="1">
        <v>65.6504848263654</v>
      </c>
      <c r="V47">
        <v>40.168641999999998</v>
      </c>
      <c r="W47">
        <v>-74.657978999999997</v>
      </c>
      <c r="X47" t="s">
        <v>21</v>
      </c>
      <c r="Z47" t="s">
        <v>95</v>
      </c>
      <c r="AA47" s="111">
        <v>0.14399999999999999</v>
      </c>
      <c r="AB47" t="s">
        <v>399</v>
      </c>
      <c r="AC47" t="s">
        <v>440</v>
      </c>
      <c r="AD47" t="s">
        <v>29</v>
      </c>
      <c r="AE47" t="s">
        <v>433</v>
      </c>
      <c r="AF47" s="111" t="s">
        <v>7</v>
      </c>
      <c r="AH47">
        <v>1</v>
      </c>
    </row>
    <row r="48" spans="1:34" ht="15" x14ac:dyDescent="0.25">
      <c r="A48" t="s">
        <v>26</v>
      </c>
      <c r="B48" t="s">
        <v>298</v>
      </c>
      <c r="C48">
        <v>2010</v>
      </c>
      <c r="D48" s="18">
        <v>5108.4462552292371</v>
      </c>
      <c r="E48" s="18">
        <v>6000</v>
      </c>
      <c r="F48">
        <v>20</v>
      </c>
      <c r="G48">
        <v>30000</v>
      </c>
      <c r="I48">
        <v>40</v>
      </c>
      <c r="J48" s="1">
        <v>0.16188000000000002</v>
      </c>
      <c r="K48" s="1">
        <v>16.18742568</v>
      </c>
      <c r="L48" s="1">
        <v>3.1687571663164351</v>
      </c>
      <c r="M48" s="1">
        <v>31.556994410855175</v>
      </c>
      <c r="N48">
        <v>27.5</v>
      </c>
      <c r="O48" s="1">
        <v>0.1112925</v>
      </c>
      <c r="P48" s="1">
        <v>11.128855155</v>
      </c>
      <c r="Q48" s="1">
        <v>2.1785205518425492</v>
      </c>
      <c r="R48" s="1">
        <v>45.901082779425714</v>
      </c>
      <c r="S48" s="1"/>
      <c r="T48" s="1"/>
      <c r="U48" s="1"/>
      <c r="V48">
        <v>38.608604999999997</v>
      </c>
      <c r="W48">
        <v>-121.16918</v>
      </c>
      <c r="X48" t="s">
        <v>21</v>
      </c>
      <c r="Y48" t="s">
        <v>776</v>
      </c>
      <c r="Z48" t="s">
        <v>95</v>
      </c>
      <c r="AA48" s="111"/>
      <c r="AB48" s="111" t="s">
        <v>399</v>
      </c>
      <c r="AC48" s="111" t="s">
        <v>299</v>
      </c>
      <c r="AD48" t="s">
        <v>29</v>
      </c>
      <c r="AE48" t="s">
        <v>125</v>
      </c>
      <c r="AF48" s="111" t="s">
        <v>252</v>
      </c>
      <c r="AH48">
        <v>1</v>
      </c>
    </row>
    <row r="49" spans="1:34" ht="15" x14ac:dyDescent="0.25">
      <c r="A49" t="s">
        <v>180</v>
      </c>
      <c r="B49" t="s">
        <v>181</v>
      </c>
      <c r="C49">
        <v>2010</v>
      </c>
      <c r="D49" s="18">
        <v>8514.0770920487284</v>
      </c>
      <c r="E49" s="18">
        <v>10000</v>
      </c>
      <c r="F49">
        <v>62</v>
      </c>
      <c r="G49">
        <v>32292</v>
      </c>
      <c r="H49" t="s">
        <v>362</v>
      </c>
      <c r="I49">
        <v>41</v>
      </c>
      <c r="J49" s="1">
        <v>0.16592700000000002</v>
      </c>
      <c r="K49" s="1">
        <v>16.592111322000001</v>
      </c>
      <c r="L49" s="1">
        <v>1.9487856572846076</v>
      </c>
      <c r="M49" s="1">
        <v>51.312186033910862</v>
      </c>
      <c r="N49">
        <v>32</v>
      </c>
      <c r="O49" s="1">
        <v>0.12950400000000001</v>
      </c>
      <c r="P49" s="1">
        <v>12.9504</v>
      </c>
      <c r="Q49" s="1">
        <v>1.5210574041071745</v>
      </c>
      <c r="R49" s="1">
        <v>65.743738355948295</v>
      </c>
      <c r="S49" s="1"/>
      <c r="T49" s="1"/>
      <c r="U49" s="1"/>
      <c r="V49">
        <v>41.674954999999997</v>
      </c>
      <c r="W49">
        <v>-87.650760000000005</v>
      </c>
      <c r="X49" t="s">
        <v>21</v>
      </c>
      <c r="Y49" t="s">
        <v>776</v>
      </c>
      <c r="Z49" t="s">
        <v>94</v>
      </c>
      <c r="AA49" s="111"/>
      <c r="AB49" s="111"/>
      <c r="AC49" s="111"/>
      <c r="AD49" t="s">
        <v>29</v>
      </c>
      <c r="AE49" t="s">
        <v>110</v>
      </c>
      <c r="AF49" s="111" t="s">
        <v>252</v>
      </c>
      <c r="AH49">
        <v>1</v>
      </c>
    </row>
    <row r="50" spans="1:34" ht="15" x14ac:dyDescent="0.25">
      <c r="A50" t="s">
        <v>160</v>
      </c>
      <c r="B50" t="s">
        <v>467</v>
      </c>
      <c r="C50">
        <v>2010</v>
      </c>
      <c r="D50" s="18">
        <v>986.78153496844766</v>
      </c>
      <c r="E50" s="18">
        <v>1159</v>
      </c>
      <c r="G50">
        <v>5367</v>
      </c>
      <c r="H50" t="s">
        <v>8</v>
      </c>
      <c r="I50">
        <v>9.5</v>
      </c>
      <c r="J50" s="1">
        <v>3.8446500000000002E-2</v>
      </c>
      <c r="K50" s="1">
        <v>3.8445135989999999</v>
      </c>
      <c r="L50" s="1">
        <v>3.8960129094054525</v>
      </c>
      <c r="M50" s="1">
        <v>25.666355454162215</v>
      </c>
      <c r="N50">
        <v>9</v>
      </c>
      <c r="O50" s="1">
        <v>3.6423000000000004E-2</v>
      </c>
      <c r="P50" s="1">
        <v>3.6423000000000001</v>
      </c>
      <c r="Q50" s="1">
        <v>3.6910905513817327</v>
      </c>
      <c r="R50" s="1">
        <v>27.09226409050456</v>
      </c>
      <c r="V50">
        <v>36.942748999999999</v>
      </c>
      <c r="W50">
        <v>-120.158908</v>
      </c>
      <c r="X50" t="s">
        <v>139</v>
      </c>
      <c r="Z50" t="s">
        <v>95</v>
      </c>
      <c r="AA50" s="111">
        <v>0.14000000000000001</v>
      </c>
      <c r="AB50" t="s">
        <v>399</v>
      </c>
      <c r="AC50" t="s">
        <v>468</v>
      </c>
      <c r="AD50" t="s">
        <v>29</v>
      </c>
      <c r="AE50" t="s">
        <v>157</v>
      </c>
      <c r="AF50" s="111" t="s">
        <v>385</v>
      </c>
      <c r="AH50">
        <v>1</v>
      </c>
    </row>
    <row r="51" spans="1:34" x14ac:dyDescent="0.3">
      <c r="A51" t="s">
        <v>3</v>
      </c>
      <c r="B51" t="s">
        <v>23</v>
      </c>
      <c r="C51">
        <v>2010</v>
      </c>
      <c r="D51" s="18">
        <v>953.57663430945763</v>
      </c>
      <c r="E51" s="18">
        <v>1120</v>
      </c>
      <c r="F51">
        <v>7.3</v>
      </c>
      <c r="G51">
        <v>5040</v>
      </c>
      <c r="H51" t="s">
        <v>25</v>
      </c>
      <c r="I51">
        <v>3.8</v>
      </c>
      <c r="J51" s="1">
        <v>1.5378600000000001E-2</v>
      </c>
      <c r="K51" s="1">
        <v>1.5378054396</v>
      </c>
      <c r="L51" s="1">
        <v>1.6126710578574712</v>
      </c>
      <c r="M51" s="1">
        <v>62.006725859925972</v>
      </c>
      <c r="N51">
        <v>3.2</v>
      </c>
      <c r="O51" s="1">
        <v>1.2950400000000001E-2</v>
      </c>
      <c r="P51" s="1">
        <v>1.2950400000000002</v>
      </c>
      <c r="Q51" s="1">
        <v>1.3580869679528345</v>
      </c>
      <c r="R51" s="1">
        <v>73.632986958662087</v>
      </c>
      <c r="S51" s="1">
        <v>0.31015609944112549</v>
      </c>
      <c r="T51" s="1">
        <v>3.224182925313781</v>
      </c>
      <c r="U51" s="1">
        <v>0.42121895668207593</v>
      </c>
      <c r="V51">
        <v>39.700001999999998</v>
      </c>
      <c r="W51">
        <v>-104.757407</v>
      </c>
      <c r="X51" t="s">
        <v>91</v>
      </c>
      <c r="Y51" t="s">
        <v>89</v>
      </c>
      <c r="Z51" t="s">
        <v>96</v>
      </c>
      <c r="AA51" s="111">
        <v>0.1419</v>
      </c>
      <c r="AB51" s="111" t="s">
        <v>391</v>
      </c>
      <c r="AC51" s="111" t="s">
        <v>82</v>
      </c>
      <c r="AD51" t="s">
        <v>29</v>
      </c>
      <c r="AE51" t="s">
        <v>19</v>
      </c>
      <c r="AF51" s="111" t="s">
        <v>353</v>
      </c>
      <c r="AH51">
        <v>1</v>
      </c>
    </row>
    <row r="52" spans="1:34" ht="15" x14ac:dyDescent="0.25">
      <c r="A52" t="s">
        <v>3</v>
      </c>
      <c r="B52" t="s">
        <v>613</v>
      </c>
      <c r="C52">
        <v>2010</v>
      </c>
      <c r="D52" s="18">
        <v>1106.8300219663347</v>
      </c>
      <c r="E52" s="18">
        <v>1300</v>
      </c>
      <c r="G52">
        <v>8000</v>
      </c>
      <c r="H52" t="s">
        <v>365</v>
      </c>
      <c r="I52">
        <v>13.13</v>
      </c>
      <c r="J52" s="1">
        <v>5.3137110000000008E-2</v>
      </c>
      <c r="K52" s="1">
        <v>5.3135224794600004</v>
      </c>
      <c r="L52" s="1">
        <v>4.8006671069693994</v>
      </c>
      <c r="M52" s="1">
        <v>20.829699281092527</v>
      </c>
      <c r="N52">
        <v>11.9</v>
      </c>
      <c r="O52" s="1">
        <v>4.8159300000000002E-2</v>
      </c>
      <c r="P52" s="1">
        <v>4.8159299999999998</v>
      </c>
      <c r="Q52" s="1">
        <v>4.3511017088642729</v>
      </c>
      <c r="R52" s="1">
        <v>22.982685005104614</v>
      </c>
      <c r="S52" s="1"/>
      <c r="T52" s="1"/>
      <c r="U52" s="1"/>
      <c r="V52">
        <v>40.592049000000003</v>
      </c>
      <c r="W52">
        <v>-105.14837</v>
      </c>
      <c r="X52" t="s">
        <v>91</v>
      </c>
      <c r="Z52" t="s">
        <v>94</v>
      </c>
      <c r="AA52" s="111"/>
      <c r="AB52" s="111"/>
      <c r="AC52" s="111" t="s">
        <v>254</v>
      </c>
      <c r="AD52" t="s">
        <v>29</v>
      </c>
      <c r="AE52" t="s">
        <v>157</v>
      </c>
      <c r="AF52" s="111" t="s">
        <v>352</v>
      </c>
      <c r="AH52">
        <v>1</v>
      </c>
    </row>
    <row r="53" spans="1:34" ht="15" x14ac:dyDescent="0.25">
      <c r="A53" t="s">
        <v>491</v>
      </c>
      <c r="B53" t="s">
        <v>488</v>
      </c>
      <c r="C53">
        <v>2010</v>
      </c>
      <c r="D53" s="18">
        <v>1575.1042620290148</v>
      </c>
      <c r="E53" s="18">
        <v>1850</v>
      </c>
      <c r="F53">
        <v>9.5</v>
      </c>
      <c r="G53">
        <v>6534</v>
      </c>
      <c r="H53" t="s">
        <v>489</v>
      </c>
      <c r="I53">
        <v>9.25</v>
      </c>
      <c r="J53" s="1">
        <v>3.7434750000000003E-2</v>
      </c>
      <c r="K53" s="1">
        <v>3.7433421885000002</v>
      </c>
      <c r="L53" s="1">
        <v>2.3765678747373262</v>
      </c>
      <c r="M53" s="1">
        <v>42.075992547806905</v>
      </c>
      <c r="N53">
        <v>6.2</v>
      </c>
      <c r="O53" s="1">
        <v>2.5091400000000003E-2</v>
      </c>
      <c r="P53" s="1">
        <v>2.5091399999999999</v>
      </c>
      <c r="Q53" s="1">
        <v>1.5929993083554868</v>
      </c>
      <c r="R53" s="1">
        <v>62.774666301163528</v>
      </c>
      <c r="V53">
        <v>42.452694000000001</v>
      </c>
      <c r="W53">
        <v>-73.240791000000002</v>
      </c>
      <c r="X53" t="s">
        <v>91</v>
      </c>
      <c r="Z53" t="s">
        <v>95</v>
      </c>
      <c r="AA53" s="111">
        <v>0.14399999999999999</v>
      </c>
      <c r="AB53" t="s">
        <v>399</v>
      </c>
      <c r="AC53" t="s">
        <v>492</v>
      </c>
      <c r="AD53" t="s">
        <v>29</v>
      </c>
      <c r="AE53" t="s">
        <v>493</v>
      </c>
      <c r="AF53" s="111" t="s">
        <v>494</v>
      </c>
      <c r="AH53">
        <v>1</v>
      </c>
    </row>
    <row r="54" spans="1:34" ht="15" x14ac:dyDescent="0.25">
      <c r="A54" t="s">
        <v>171</v>
      </c>
      <c r="B54" t="s">
        <v>434</v>
      </c>
      <c r="C54">
        <v>2010</v>
      </c>
      <c r="D54" s="18">
        <v>1787.956189330233</v>
      </c>
      <c r="E54" s="18">
        <v>2100</v>
      </c>
      <c r="G54">
        <v>8800</v>
      </c>
      <c r="H54" t="s">
        <v>438</v>
      </c>
      <c r="I54">
        <v>8</v>
      </c>
      <c r="J54" s="1">
        <v>3.2376000000000002E-2</v>
      </c>
      <c r="K54" s="1">
        <v>3.2374851360000001</v>
      </c>
      <c r="L54" s="1">
        <v>1.8107183807522484</v>
      </c>
      <c r="M54" s="1">
        <v>55.224740218996565</v>
      </c>
      <c r="N54">
        <v>5.7</v>
      </c>
      <c r="O54" s="1">
        <v>2.3067900000000002E-2</v>
      </c>
      <c r="P54" s="1">
        <v>2.3067899999999999</v>
      </c>
      <c r="Q54" s="1">
        <v>1.2901826195551926</v>
      </c>
      <c r="R54" s="1">
        <v>77.508407324907452</v>
      </c>
      <c r="V54">
        <v>40.494008000000001</v>
      </c>
      <c r="W54">
        <v>-74.398899</v>
      </c>
      <c r="X54" t="s">
        <v>91</v>
      </c>
      <c r="Z54" t="s">
        <v>95</v>
      </c>
      <c r="AA54" s="111">
        <v>0.14069999999999999</v>
      </c>
      <c r="AB54" t="s">
        <v>399</v>
      </c>
      <c r="AC54" t="s">
        <v>439</v>
      </c>
      <c r="AD54" t="s">
        <v>29</v>
      </c>
      <c r="AE54" t="s">
        <v>433</v>
      </c>
      <c r="AF54" s="111" t="s">
        <v>7</v>
      </c>
      <c r="AH54">
        <v>1</v>
      </c>
    </row>
    <row r="55" spans="1:34" ht="15" x14ac:dyDescent="0.25">
      <c r="A55" t="s">
        <v>26</v>
      </c>
      <c r="B55" t="s">
        <v>544</v>
      </c>
      <c r="C55">
        <v>2010</v>
      </c>
      <c r="D55" s="18">
        <v>2000</v>
      </c>
      <c r="E55" s="18">
        <v>2592</v>
      </c>
      <c r="G55">
        <v>9600</v>
      </c>
      <c r="H55" t="s">
        <v>545</v>
      </c>
      <c r="I55">
        <v>13.7</v>
      </c>
      <c r="J55" s="1">
        <v>5.5443899999999997E-2</v>
      </c>
      <c r="K55" s="1">
        <v>5.5441932953999995</v>
      </c>
      <c r="L55" s="1">
        <v>2.7720966476999997</v>
      </c>
      <c r="M55" s="1">
        <v>36.072498507500377</v>
      </c>
      <c r="N55">
        <v>8.84</v>
      </c>
      <c r="O55" s="1">
        <v>3.5775479999999998E-2</v>
      </c>
      <c r="P55" s="1">
        <v>3.5775480000000002</v>
      </c>
      <c r="Q55" s="1">
        <v>1.7887740000000001</v>
      </c>
      <c r="R55" s="1">
        <v>55.904211487868231</v>
      </c>
      <c r="V55">
        <v>38.411070000000002</v>
      </c>
      <c r="W55">
        <v>-121.92645</v>
      </c>
      <c r="X55" t="s">
        <v>91</v>
      </c>
      <c r="AA55" s="111">
        <v>0.13769999999999999</v>
      </c>
      <c r="AB55" t="s">
        <v>399</v>
      </c>
      <c r="AC55" t="s">
        <v>546</v>
      </c>
      <c r="AD55" t="s">
        <v>29</v>
      </c>
      <c r="AE55" t="s">
        <v>475</v>
      </c>
      <c r="AF55" s="111" t="s">
        <v>385</v>
      </c>
      <c r="AH55">
        <v>1</v>
      </c>
    </row>
    <row r="56" spans="1:34" ht="15" x14ac:dyDescent="0.25">
      <c r="A56" t="s">
        <v>168</v>
      </c>
      <c r="B56" t="s">
        <v>169</v>
      </c>
      <c r="C56">
        <v>2010</v>
      </c>
      <c r="D56" s="18">
        <v>2554.2231276146185</v>
      </c>
      <c r="E56" s="18">
        <v>3000</v>
      </c>
      <c r="G56">
        <v>40000</v>
      </c>
      <c r="H56" t="s">
        <v>170</v>
      </c>
      <c r="I56">
        <v>23.2</v>
      </c>
      <c r="J56" s="1">
        <v>9.3890399999999999E-2</v>
      </c>
      <c r="K56" s="1">
        <v>9.3887068944000003</v>
      </c>
      <c r="L56" s="1">
        <v>3.6757583129270648</v>
      </c>
      <c r="M56" s="1">
        <v>27.204305526599295</v>
      </c>
      <c r="N56">
        <v>15.2</v>
      </c>
      <c r="O56" s="1">
        <v>6.1514400000000004E-2</v>
      </c>
      <c r="P56" s="1">
        <v>6.15144</v>
      </c>
      <c r="Q56" s="1">
        <v>2.4083408898363596</v>
      </c>
      <c r="R56" s="1">
        <v>41.522361066914712</v>
      </c>
      <c r="S56" s="1"/>
      <c r="T56" s="1"/>
      <c r="U56" s="1"/>
      <c r="V56">
        <v>41.061152</v>
      </c>
      <c r="W56">
        <v>-75.514830000000003</v>
      </c>
      <c r="X56" t="s">
        <v>91</v>
      </c>
      <c r="Z56" t="s">
        <v>94</v>
      </c>
      <c r="AA56" s="111"/>
      <c r="AB56" s="111"/>
      <c r="AC56" s="111"/>
      <c r="AD56" t="s">
        <v>109</v>
      </c>
      <c r="AE56" t="s">
        <v>157</v>
      </c>
      <c r="AF56" s="111" t="s">
        <v>352</v>
      </c>
      <c r="AH56">
        <v>1</v>
      </c>
    </row>
    <row r="57" spans="1:34" ht="15" x14ac:dyDescent="0.25">
      <c r="A57" t="s">
        <v>3</v>
      </c>
      <c r="B57" t="s">
        <v>144</v>
      </c>
      <c r="C57">
        <v>2010</v>
      </c>
      <c r="D57" s="18">
        <v>3746.1939205014405</v>
      </c>
      <c r="E57" s="18">
        <v>4400</v>
      </c>
      <c r="I57">
        <v>30</v>
      </c>
      <c r="J57" s="1">
        <v>0.12141</v>
      </c>
      <c r="K57" s="1">
        <v>12.140569259999999</v>
      </c>
      <c r="L57" s="1">
        <v>3.2407743746418078</v>
      </c>
      <c r="M57" s="1">
        <v>30.855727868391735</v>
      </c>
      <c r="N57">
        <v>22.9</v>
      </c>
      <c r="O57" s="1">
        <v>9.2676300000000003E-2</v>
      </c>
      <c r="P57" s="1">
        <v>9.2673012018000005</v>
      </c>
      <c r="Q57" s="1">
        <v>2.4737911059765803</v>
      </c>
      <c r="R57" s="1">
        <v>40.42235091929048</v>
      </c>
      <c r="S57" s="1"/>
      <c r="T57" s="1"/>
      <c r="U57" s="1"/>
      <c r="V57">
        <v>39.902560000000001</v>
      </c>
      <c r="W57">
        <v>-104.65940999999999</v>
      </c>
      <c r="X57" t="s">
        <v>21</v>
      </c>
      <c r="Z57" t="s">
        <v>94</v>
      </c>
      <c r="AA57" s="111"/>
      <c r="AB57" s="111"/>
      <c r="AC57" s="111"/>
      <c r="AD57" t="s">
        <v>29</v>
      </c>
      <c r="AE57" t="s">
        <v>110</v>
      </c>
      <c r="AF57" s="111" t="s">
        <v>252</v>
      </c>
      <c r="AH57">
        <v>1</v>
      </c>
    </row>
    <row r="58" spans="1:34" ht="15" x14ac:dyDescent="0.25">
      <c r="A58" t="s">
        <v>26</v>
      </c>
      <c r="B58" t="s">
        <v>382</v>
      </c>
      <c r="C58">
        <v>2010</v>
      </c>
      <c r="D58" s="18">
        <v>4257.0385460243642</v>
      </c>
      <c r="E58" s="18">
        <v>5000</v>
      </c>
      <c r="G58">
        <v>25000</v>
      </c>
      <c r="H58" t="s">
        <v>167</v>
      </c>
      <c r="I58">
        <v>13</v>
      </c>
      <c r="J58" s="1">
        <v>5.2611000000000005E-2</v>
      </c>
      <c r="K58" s="1">
        <v>5.2609133460000006</v>
      </c>
      <c r="L58" s="1">
        <v>1.2358152948634098</v>
      </c>
      <c r="M58" s="1">
        <v>80.915370284244048</v>
      </c>
      <c r="N58">
        <v>13</v>
      </c>
      <c r="O58" s="1">
        <v>5.2611000000000005E-2</v>
      </c>
      <c r="P58" s="1">
        <v>5.2610999999999999</v>
      </c>
      <c r="Q58" s="1">
        <v>1.2358591408370794</v>
      </c>
      <c r="R58" s="1">
        <v>80.915370284244048</v>
      </c>
      <c r="S58" s="1">
        <v>0.44827706048968663</v>
      </c>
      <c r="T58" s="1">
        <v>2.230763267046556</v>
      </c>
      <c r="U58" s="1">
        <v>0.55400730283375554</v>
      </c>
      <c r="V58">
        <v>37.749599456787102</v>
      </c>
      <c r="W58">
        <v>-122.48329925537099</v>
      </c>
      <c r="X58" t="s">
        <v>91</v>
      </c>
      <c r="Z58" t="s">
        <v>96</v>
      </c>
      <c r="AA58" s="111"/>
      <c r="AB58" s="111"/>
      <c r="AC58" s="111"/>
      <c r="AD58" t="s">
        <v>29</v>
      </c>
      <c r="AE58" t="s">
        <v>157</v>
      </c>
      <c r="AF58" s="111" t="s">
        <v>380</v>
      </c>
      <c r="AH58">
        <v>1</v>
      </c>
    </row>
    <row r="59" spans="1:34" x14ac:dyDescent="0.3">
      <c r="A59" t="s">
        <v>26</v>
      </c>
      <c r="B59" t="s">
        <v>173</v>
      </c>
      <c r="C59">
        <v>2010</v>
      </c>
      <c r="D59" s="18">
        <v>5000</v>
      </c>
      <c r="E59" s="18">
        <v>6200</v>
      </c>
      <c r="G59">
        <v>50000</v>
      </c>
      <c r="I59">
        <v>48.7</v>
      </c>
      <c r="J59" s="1">
        <v>0.19708890000000001</v>
      </c>
      <c r="K59" s="1">
        <v>19.708190765400001</v>
      </c>
      <c r="L59" s="1">
        <v>3.9416381530800004</v>
      </c>
      <c r="M59" s="1">
        <v>25.369262297369357</v>
      </c>
      <c r="N59">
        <v>37.5</v>
      </c>
      <c r="O59" s="1">
        <v>0.15176250000000002</v>
      </c>
      <c r="P59" s="1">
        <v>15.175711575000001</v>
      </c>
      <c r="Q59" s="1">
        <v>3.0351423150000003</v>
      </c>
      <c r="R59" s="1">
        <v>32.946215303517</v>
      </c>
      <c r="S59" s="1"/>
      <c r="T59" s="1"/>
      <c r="U59" s="1"/>
      <c r="V59">
        <v>36.759613000000002</v>
      </c>
      <c r="W59" t="s">
        <v>255</v>
      </c>
      <c r="X59" t="s">
        <v>91</v>
      </c>
      <c r="Z59" t="s">
        <v>96</v>
      </c>
      <c r="AA59" s="111">
        <v>0.09</v>
      </c>
      <c r="AB59" s="111" t="s">
        <v>216</v>
      </c>
      <c r="AC59" s="111" t="s">
        <v>174</v>
      </c>
      <c r="AD59" t="s">
        <v>29</v>
      </c>
      <c r="AE59" t="s">
        <v>157</v>
      </c>
      <c r="AF59" s="111" t="s">
        <v>352</v>
      </c>
      <c r="AH59">
        <v>1</v>
      </c>
    </row>
    <row r="60" spans="1:34" ht="15" x14ac:dyDescent="0.25">
      <c r="A60" t="s">
        <v>148</v>
      </c>
      <c r="B60" t="s">
        <v>152</v>
      </c>
      <c r="C60">
        <v>2010</v>
      </c>
      <c r="D60" s="18">
        <v>10000</v>
      </c>
      <c r="E60" s="18">
        <v>11745.254232357105</v>
      </c>
      <c r="F60">
        <v>74</v>
      </c>
      <c r="G60">
        <v>35000</v>
      </c>
      <c r="H60" t="s">
        <v>153</v>
      </c>
      <c r="I60">
        <v>45</v>
      </c>
      <c r="J60" s="1">
        <v>0.182115</v>
      </c>
      <c r="K60" s="1">
        <v>18.210853889999999</v>
      </c>
      <c r="L60" s="1">
        <v>1.8210853889999998</v>
      </c>
      <c r="M60" s="1">
        <v>54.910358839195013</v>
      </c>
      <c r="N60">
        <v>30</v>
      </c>
      <c r="O60" s="1">
        <v>0.12141</v>
      </c>
      <c r="P60" s="1">
        <v>12.141</v>
      </c>
      <c r="Q60" s="1">
        <v>1.2141</v>
      </c>
      <c r="R60" s="1">
        <v>82.365538258792512</v>
      </c>
      <c r="S60" s="1"/>
      <c r="T60" s="1"/>
      <c r="U60" s="1"/>
      <c r="V60">
        <v>28.48742</v>
      </c>
      <c r="W60">
        <v>-80.679969999999997</v>
      </c>
      <c r="X60" t="s">
        <v>91</v>
      </c>
      <c r="Z60" t="s">
        <v>95</v>
      </c>
      <c r="AA60" s="111"/>
      <c r="AB60" s="111"/>
      <c r="AC60" s="111"/>
      <c r="AD60" t="s">
        <v>29</v>
      </c>
      <c r="AE60" t="s">
        <v>110</v>
      </c>
      <c r="AF60" s="111" t="s">
        <v>252</v>
      </c>
      <c r="AG60">
        <v>1</v>
      </c>
      <c r="AH60">
        <v>1</v>
      </c>
    </row>
    <row r="61" spans="1:34" ht="15" x14ac:dyDescent="0.25">
      <c r="A61" t="s">
        <v>196</v>
      </c>
      <c r="B61" t="s">
        <v>197</v>
      </c>
      <c r="C61">
        <v>2010</v>
      </c>
      <c r="D61" s="18">
        <v>10000</v>
      </c>
      <c r="E61" s="18">
        <v>12600</v>
      </c>
      <c r="G61">
        <v>159200</v>
      </c>
      <c r="H61" t="s">
        <v>199</v>
      </c>
      <c r="I61">
        <v>77</v>
      </c>
      <c r="J61" s="1">
        <v>0.31161900000000003</v>
      </c>
      <c r="K61" s="1">
        <v>31.160794434</v>
      </c>
      <c r="L61" s="1">
        <v>3.1160794433999999</v>
      </c>
      <c r="M61" s="1">
        <v>32.090469451477603</v>
      </c>
      <c r="N61">
        <v>83.9</v>
      </c>
      <c r="O61" s="1">
        <v>0.33954330000000005</v>
      </c>
      <c r="P61" s="1">
        <v>33.954330000000006</v>
      </c>
      <c r="Q61" s="1">
        <v>3.3954330000000006</v>
      </c>
      <c r="R61" s="1">
        <v>29.451324764764902</v>
      </c>
      <c r="S61" s="1">
        <v>0.32301244633615322</v>
      </c>
      <c r="T61" s="1">
        <v>3.0958559378833286</v>
      </c>
      <c r="U61" s="1"/>
      <c r="V61">
        <v>40.880769999999998</v>
      </c>
      <c r="W61">
        <v>-83.318020000000004</v>
      </c>
      <c r="X61" t="s">
        <v>91</v>
      </c>
      <c r="Z61" t="s">
        <v>94</v>
      </c>
      <c r="AA61" s="111">
        <v>0.107</v>
      </c>
      <c r="AB61" s="111" t="s">
        <v>366</v>
      </c>
      <c r="AC61" s="111" t="s">
        <v>146</v>
      </c>
      <c r="AD61" t="s">
        <v>29</v>
      </c>
      <c r="AE61" t="s">
        <v>110</v>
      </c>
      <c r="AF61" s="111" t="s">
        <v>252</v>
      </c>
      <c r="AH61">
        <v>1</v>
      </c>
    </row>
    <row r="62" spans="1:34" x14ac:dyDescent="0.3">
      <c r="A62" t="s">
        <v>148</v>
      </c>
      <c r="B62" t="s">
        <v>195</v>
      </c>
      <c r="C62">
        <v>2010</v>
      </c>
      <c r="D62" s="18">
        <v>12600</v>
      </c>
      <c r="E62" s="18">
        <v>15010</v>
      </c>
      <c r="G62">
        <v>200000</v>
      </c>
      <c r="H62" t="s">
        <v>192</v>
      </c>
      <c r="I62">
        <v>96</v>
      </c>
      <c r="J62" s="1">
        <v>0.38851200000000002</v>
      </c>
      <c r="K62" s="1">
        <v>38.849821632000001</v>
      </c>
      <c r="L62" s="1">
        <v>3.0833191771428572</v>
      </c>
      <c r="M62" s="1">
        <v>32.431430689399555</v>
      </c>
      <c r="N62">
        <v>70.400000000000006</v>
      </c>
      <c r="O62" s="1">
        <v>0.28490880000000002</v>
      </c>
      <c r="P62" s="1">
        <v>28.490880000000004</v>
      </c>
      <c r="Q62" s="1">
        <v>2.2611809523809527</v>
      </c>
      <c r="R62" s="1">
        <v>44.224678212817572</v>
      </c>
      <c r="S62" s="1"/>
      <c r="T62" s="1"/>
      <c r="U62" s="1"/>
      <c r="V62">
        <v>30.320170000000001</v>
      </c>
      <c r="W62" t="s">
        <v>256</v>
      </c>
      <c r="X62" t="s">
        <v>91</v>
      </c>
      <c r="Z62" t="s">
        <v>96</v>
      </c>
      <c r="AA62" s="111">
        <v>0.11</v>
      </c>
      <c r="AB62" s="111" t="s">
        <v>366</v>
      </c>
      <c r="AC62" s="111" t="s">
        <v>602</v>
      </c>
      <c r="AD62" t="s">
        <v>109</v>
      </c>
      <c r="AE62" t="s">
        <v>157</v>
      </c>
      <c r="AF62" s="111" t="s">
        <v>352</v>
      </c>
      <c r="AH62">
        <v>1</v>
      </c>
    </row>
    <row r="63" spans="1:34" ht="15" x14ac:dyDescent="0.25">
      <c r="A63" t="s">
        <v>190</v>
      </c>
      <c r="B63" t="s">
        <v>191</v>
      </c>
      <c r="C63">
        <v>2010</v>
      </c>
      <c r="D63" s="18">
        <v>14000</v>
      </c>
      <c r="E63" s="18">
        <v>16100</v>
      </c>
      <c r="G63">
        <v>214500</v>
      </c>
      <c r="H63" t="s">
        <v>192</v>
      </c>
      <c r="I63">
        <v>108</v>
      </c>
      <c r="J63" s="1">
        <v>0.43707600000000002</v>
      </c>
      <c r="K63" s="1">
        <v>43.706049336</v>
      </c>
      <c r="L63" s="1">
        <v>3.1218606668571427</v>
      </c>
      <c r="M63" s="1">
        <v>32.031042656197087</v>
      </c>
      <c r="N63">
        <v>83.2</v>
      </c>
      <c r="O63" s="1">
        <v>0.33671040000000002</v>
      </c>
      <c r="P63" s="1">
        <v>33.671040000000005</v>
      </c>
      <c r="Q63" s="1">
        <v>2.4050742857142859</v>
      </c>
      <c r="R63" s="1">
        <v>41.57875729410199</v>
      </c>
      <c r="S63" s="1"/>
      <c r="T63" s="1"/>
      <c r="U63" s="1"/>
      <c r="V63">
        <v>29.300809999999998</v>
      </c>
      <c r="W63">
        <v>-98.392099999999999</v>
      </c>
      <c r="X63" t="s">
        <v>91</v>
      </c>
      <c r="Y63" t="s">
        <v>600</v>
      </c>
      <c r="Z63" t="s">
        <v>95</v>
      </c>
      <c r="AA63" s="111"/>
      <c r="AB63" s="111"/>
      <c r="AC63" s="111"/>
      <c r="AD63" t="s">
        <v>109</v>
      </c>
      <c r="AE63" t="s">
        <v>110</v>
      </c>
      <c r="AF63" s="111" t="s">
        <v>252</v>
      </c>
      <c r="AG63">
        <v>1</v>
      </c>
      <c r="AH63">
        <v>1</v>
      </c>
    </row>
    <row r="64" spans="1:34" ht="15" x14ac:dyDescent="0.25">
      <c r="A64" t="s">
        <v>171</v>
      </c>
      <c r="B64" t="s">
        <v>436</v>
      </c>
      <c r="C64">
        <v>2010</v>
      </c>
      <c r="D64" s="18">
        <v>2724.5046694555931</v>
      </c>
      <c r="E64" s="18">
        <v>3200</v>
      </c>
      <c r="G64">
        <v>11484</v>
      </c>
      <c r="H64" t="s">
        <v>438</v>
      </c>
      <c r="I64">
        <v>10</v>
      </c>
      <c r="J64" s="1">
        <v>4.0470000000000006E-2</v>
      </c>
      <c r="K64" s="1">
        <v>4.0468564200000001</v>
      </c>
      <c r="L64" s="1">
        <v>1.4853549217108288</v>
      </c>
      <c r="M64" s="1">
        <v>67.321588076491054</v>
      </c>
      <c r="N64" t="s">
        <v>598</v>
      </c>
      <c r="O64" s="1"/>
      <c r="P64" s="1"/>
      <c r="Q64" s="1"/>
      <c r="R64" s="1"/>
      <c r="V64" t="s">
        <v>442</v>
      </c>
      <c r="X64" t="s">
        <v>203</v>
      </c>
      <c r="AA64" s="111"/>
      <c r="AD64" t="s">
        <v>29</v>
      </c>
      <c r="AE64" t="s">
        <v>157</v>
      </c>
      <c r="AF64" s="111" t="s">
        <v>444</v>
      </c>
      <c r="AH64">
        <v>1</v>
      </c>
    </row>
    <row r="65" spans="1:34" x14ac:dyDescent="0.3">
      <c r="A65" t="s">
        <v>3</v>
      </c>
      <c r="B65" t="s">
        <v>388</v>
      </c>
      <c r="C65">
        <v>2010</v>
      </c>
      <c r="D65" s="18">
        <v>17000</v>
      </c>
      <c r="E65" s="18">
        <v>20000</v>
      </c>
      <c r="G65">
        <v>50000</v>
      </c>
      <c r="H65" t="s">
        <v>389</v>
      </c>
      <c r="I65">
        <v>200</v>
      </c>
      <c r="J65" s="1">
        <v>0.80940000000000001</v>
      </c>
      <c r="K65" s="1">
        <v>80.94</v>
      </c>
      <c r="L65" s="1">
        <v>4.7611764705882349</v>
      </c>
      <c r="M65" s="1">
        <v>21.003212255992093</v>
      </c>
      <c r="N65" t="s">
        <v>598</v>
      </c>
      <c r="O65" s="1"/>
      <c r="P65" s="1"/>
      <c r="Q65" s="1"/>
      <c r="R65" s="1"/>
      <c r="S65" s="1"/>
      <c r="T65" s="1"/>
      <c r="U65" s="1"/>
      <c r="X65" t="s">
        <v>21</v>
      </c>
      <c r="Y65">
        <v>20</v>
      </c>
      <c r="AA65" s="111">
        <v>0.19600000000000001</v>
      </c>
      <c r="AB65" t="s">
        <v>391</v>
      </c>
      <c r="AC65" t="s">
        <v>857</v>
      </c>
      <c r="AD65" t="s">
        <v>29</v>
      </c>
      <c r="AE65" t="s">
        <v>157</v>
      </c>
      <c r="AF65" s="111" t="s">
        <v>252</v>
      </c>
      <c r="AH65">
        <v>1</v>
      </c>
    </row>
    <row r="66" spans="1:34" ht="15" x14ac:dyDescent="0.25">
      <c r="A66" t="s">
        <v>160</v>
      </c>
      <c r="B66" t="s">
        <v>161</v>
      </c>
      <c r="C66">
        <v>2010</v>
      </c>
      <c r="D66" s="18">
        <v>18730.969602507204</v>
      </c>
      <c r="E66" s="18">
        <v>22000</v>
      </c>
      <c r="F66">
        <v>130</v>
      </c>
      <c r="H66" t="s">
        <v>162</v>
      </c>
      <c r="I66">
        <v>160</v>
      </c>
      <c r="J66" s="1">
        <v>0.6475200000000001</v>
      </c>
      <c r="K66" s="1">
        <v>64.751999999999995</v>
      </c>
      <c r="L66" s="1">
        <v>3.4569486456981231</v>
      </c>
      <c r="M66" s="1">
        <v>28.927244876617252</v>
      </c>
      <c r="O66" s="1"/>
      <c r="P66" s="1"/>
      <c r="Q66" s="1"/>
      <c r="R66" s="1"/>
      <c r="S66" s="1"/>
      <c r="T66" s="1"/>
      <c r="U66" s="1"/>
      <c r="X66" t="s">
        <v>91</v>
      </c>
      <c r="Z66" t="s">
        <v>106</v>
      </c>
      <c r="AA66" s="111"/>
      <c r="AB66" s="111"/>
      <c r="AC66" s="111"/>
      <c r="AD66" t="s">
        <v>109</v>
      </c>
      <c r="AE66" t="s">
        <v>157</v>
      </c>
      <c r="AF66" s="111" t="s">
        <v>352</v>
      </c>
      <c r="AH66">
        <v>1</v>
      </c>
    </row>
    <row r="67" spans="1:34" ht="15" x14ac:dyDescent="0.25">
      <c r="A67" t="s">
        <v>160</v>
      </c>
      <c r="B67" t="s">
        <v>204</v>
      </c>
      <c r="C67">
        <v>2010</v>
      </c>
      <c r="D67" s="18">
        <v>30000</v>
      </c>
      <c r="E67" s="18">
        <v>35235.762697071317</v>
      </c>
      <c r="G67">
        <v>500000</v>
      </c>
      <c r="H67" t="s">
        <v>102</v>
      </c>
      <c r="I67">
        <v>250</v>
      </c>
      <c r="J67" s="1">
        <v>1.0117500000000001</v>
      </c>
      <c r="K67" s="1">
        <v>101.175</v>
      </c>
      <c r="L67" s="1">
        <v>3.3725000000000001</v>
      </c>
      <c r="M67" s="1">
        <v>29.651593773165303</v>
      </c>
      <c r="N67">
        <v>222</v>
      </c>
      <c r="O67" s="1">
        <v>0.89843400000000007</v>
      </c>
      <c r="P67" s="1">
        <v>89.843400000000003</v>
      </c>
      <c r="Q67" s="1">
        <v>2.99478</v>
      </c>
      <c r="R67" s="1">
        <v>33.391434429240206</v>
      </c>
      <c r="S67" s="1"/>
      <c r="T67" s="1"/>
      <c r="U67" s="1"/>
      <c r="V67">
        <v>36.466596000000003</v>
      </c>
      <c r="W67">
        <v>-104.638834</v>
      </c>
      <c r="X67" t="s">
        <v>91</v>
      </c>
      <c r="Z67" t="s">
        <v>94</v>
      </c>
      <c r="AA67" s="111">
        <v>0.1</v>
      </c>
      <c r="AB67" s="111" t="s">
        <v>366</v>
      </c>
      <c r="AC67" s="111"/>
      <c r="AD67" t="s">
        <v>29</v>
      </c>
      <c r="AE67" t="s">
        <v>110</v>
      </c>
      <c r="AF67" s="111" t="s">
        <v>252</v>
      </c>
      <c r="AH67">
        <v>1</v>
      </c>
    </row>
    <row r="68" spans="1:34" ht="15" x14ac:dyDescent="0.25">
      <c r="A68" t="s">
        <v>26</v>
      </c>
      <c r="B68" t="s">
        <v>187</v>
      </c>
      <c r="C68">
        <v>2010</v>
      </c>
      <c r="D68" s="18">
        <v>48000</v>
      </c>
      <c r="E68" s="18">
        <v>58000</v>
      </c>
      <c r="F68">
        <v>141</v>
      </c>
      <c r="G68">
        <v>775000</v>
      </c>
      <c r="H68" t="s">
        <v>375</v>
      </c>
      <c r="I68">
        <v>380</v>
      </c>
      <c r="J68" s="1">
        <v>1.53786</v>
      </c>
      <c r="K68" s="1">
        <v>153.786</v>
      </c>
      <c r="L68" s="1">
        <v>3.203875</v>
      </c>
      <c r="M68" s="1">
        <v>31.212203971752956</v>
      </c>
      <c r="N68">
        <v>326</v>
      </c>
      <c r="O68" s="1">
        <v>1.3193220000000001</v>
      </c>
      <c r="P68" s="1">
        <v>131.93219999999999</v>
      </c>
      <c r="Q68" s="1">
        <v>2.7485874999999997</v>
      </c>
      <c r="R68" s="1">
        <v>36.382323648055589</v>
      </c>
      <c r="S68" s="1"/>
      <c r="T68" s="1"/>
      <c r="U68" s="1"/>
      <c r="V68">
        <v>35.783332999999999</v>
      </c>
      <c r="W68">
        <v>-114.99166700000001</v>
      </c>
      <c r="X68" t="s">
        <v>91</v>
      </c>
      <c r="Z68" t="s">
        <v>96</v>
      </c>
      <c r="AA68" s="111">
        <v>0.1</v>
      </c>
      <c r="AB68" s="111" t="s">
        <v>366</v>
      </c>
      <c r="AC68" s="111" t="s">
        <v>102</v>
      </c>
      <c r="AD68" t="s">
        <v>24</v>
      </c>
      <c r="AE68" t="s">
        <v>110</v>
      </c>
      <c r="AF68" s="111" t="s">
        <v>252</v>
      </c>
      <c r="AH68">
        <v>1</v>
      </c>
    </row>
    <row r="69" spans="1:34" ht="15" x14ac:dyDescent="0.25">
      <c r="A69" t="s">
        <v>35</v>
      </c>
      <c r="B69" t="s">
        <v>537</v>
      </c>
      <c r="C69">
        <v>2011</v>
      </c>
      <c r="D69" s="18">
        <v>823.1</v>
      </c>
      <c r="E69" s="18">
        <v>1069</v>
      </c>
      <c r="G69">
        <v>3960</v>
      </c>
      <c r="H69" t="s">
        <v>539</v>
      </c>
      <c r="I69">
        <v>6.5</v>
      </c>
      <c r="J69" s="1">
        <v>2.6305500000000002E-2</v>
      </c>
      <c r="K69" s="1">
        <v>2.6304566730000003</v>
      </c>
      <c r="L69" s="1">
        <v>3.1957923375045563</v>
      </c>
      <c r="M69" s="1">
        <v>31.290034403451749</v>
      </c>
      <c r="N69">
        <v>4.91</v>
      </c>
      <c r="O69" s="1">
        <v>1.9870770000000003E-2</v>
      </c>
      <c r="P69" s="1">
        <v>1.9870065022200001</v>
      </c>
      <c r="Q69" s="1">
        <v>2.4140523657149799</v>
      </c>
      <c r="R69" s="1">
        <v>41.422652468927971</v>
      </c>
      <c r="V69">
        <v>32.29</v>
      </c>
      <c r="W69">
        <v>-111.03294</v>
      </c>
      <c r="X69" t="s">
        <v>21</v>
      </c>
      <c r="Y69" t="s">
        <v>540</v>
      </c>
      <c r="Z69" t="s">
        <v>95</v>
      </c>
      <c r="AA69" s="111">
        <v>0.13769999999999999</v>
      </c>
      <c r="AB69" t="s">
        <v>399</v>
      </c>
      <c r="AC69" t="s">
        <v>538</v>
      </c>
      <c r="AD69" t="s">
        <v>60</v>
      </c>
      <c r="AE69" t="s">
        <v>475</v>
      </c>
      <c r="AF69" s="111" t="s">
        <v>541</v>
      </c>
      <c r="AH69">
        <v>1</v>
      </c>
    </row>
    <row r="70" spans="1:34" ht="15" x14ac:dyDescent="0.25">
      <c r="A70" t="s">
        <v>160</v>
      </c>
      <c r="B70" t="s">
        <v>519</v>
      </c>
      <c r="C70">
        <v>2011</v>
      </c>
      <c r="D70" s="18">
        <v>1000</v>
      </c>
      <c r="E70" s="18">
        <v>1140.48</v>
      </c>
      <c r="F70">
        <v>5</v>
      </c>
      <c r="G70">
        <v>4224</v>
      </c>
      <c r="H70" t="s">
        <v>8</v>
      </c>
      <c r="I70">
        <v>9.1539999999999999</v>
      </c>
      <c r="J70" s="1">
        <v>3.7046238000000002E-2</v>
      </c>
      <c r="K70" s="1">
        <v>3.7044923668680001</v>
      </c>
      <c r="L70" s="1">
        <v>3.7044923668680001</v>
      </c>
      <c r="M70" s="1">
        <v>26.993294163904036</v>
      </c>
      <c r="N70">
        <v>6.91</v>
      </c>
      <c r="O70" s="1">
        <v>2.7964770000000003E-2</v>
      </c>
      <c r="P70" s="1">
        <v>2.7963777862200003</v>
      </c>
      <c r="Q70" s="1">
        <v>2.7963777862200003</v>
      </c>
      <c r="R70" s="1">
        <v>35.759278549403405</v>
      </c>
      <c r="V70">
        <v>35.629170000000002</v>
      </c>
      <c r="W70">
        <v>-106.08602999999999</v>
      </c>
      <c r="X70" t="s">
        <v>21</v>
      </c>
      <c r="Y70" t="s">
        <v>776</v>
      </c>
      <c r="AA70" s="111">
        <v>0.13900000000000001</v>
      </c>
      <c r="AB70" t="s">
        <v>399</v>
      </c>
      <c r="AC70" t="s">
        <v>521</v>
      </c>
      <c r="AD70" t="s">
        <v>60</v>
      </c>
      <c r="AE70" t="s">
        <v>475</v>
      </c>
      <c r="AF70" s="111" t="s">
        <v>385</v>
      </c>
      <c r="AH70">
        <v>1</v>
      </c>
    </row>
    <row r="71" spans="1:34" ht="15" x14ac:dyDescent="0.25">
      <c r="A71" t="s">
        <v>26</v>
      </c>
      <c r="B71" t="s">
        <v>451</v>
      </c>
      <c r="C71">
        <v>2011</v>
      </c>
      <c r="D71" s="18">
        <v>1000</v>
      </c>
      <c r="E71" s="18">
        <v>1159.2</v>
      </c>
      <c r="F71">
        <v>5.7</v>
      </c>
      <c r="G71">
        <v>5152</v>
      </c>
      <c r="H71" t="s">
        <v>452</v>
      </c>
      <c r="I71">
        <v>11.4</v>
      </c>
      <c r="J71" s="1">
        <v>4.6135800000000005E-2</v>
      </c>
      <c r="K71" s="1">
        <v>4.6134163188000006</v>
      </c>
      <c r="L71" s="1">
        <v>4.6134163188000006</v>
      </c>
      <c r="M71" s="1">
        <v>21.675141647050662</v>
      </c>
      <c r="N71">
        <v>7.44</v>
      </c>
      <c r="O71" s="1">
        <v>3.0109680000000003E-2</v>
      </c>
      <c r="P71" s="1">
        <v>3.0108611764800002</v>
      </c>
      <c r="Q71" s="1">
        <v>3.0108611764800002</v>
      </c>
      <c r="R71" s="1">
        <v>33.211910588222786</v>
      </c>
      <c r="V71">
        <v>37.633339999999997</v>
      </c>
      <c r="W71">
        <v>-122.139881</v>
      </c>
      <c r="X71" t="s">
        <v>21</v>
      </c>
      <c r="Y71" t="s">
        <v>776</v>
      </c>
      <c r="Z71" t="s">
        <v>96</v>
      </c>
      <c r="AA71" s="111">
        <v>0.13600000000000001</v>
      </c>
      <c r="AB71" t="s">
        <v>399</v>
      </c>
      <c r="AC71" t="s">
        <v>453</v>
      </c>
      <c r="AD71" t="s">
        <v>29</v>
      </c>
      <c r="AE71" t="s">
        <v>157</v>
      </c>
      <c r="AF71" s="111" t="s">
        <v>380</v>
      </c>
      <c r="AH71">
        <v>1</v>
      </c>
    </row>
    <row r="72" spans="1:34" ht="15" x14ac:dyDescent="0.25">
      <c r="A72" t="s">
        <v>413</v>
      </c>
      <c r="B72" t="s">
        <v>410</v>
      </c>
      <c r="C72">
        <v>2011</v>
      </c>
      <c r="D72" s="18">
        <v>1702.8154184097457</v>
      </c>
      <c r="E72" s="18">
        <v>2000</v>
      </c>
      <c r="F72">
        <v>6.6</v>
      </c>
      <c r="G72">
        <v>7142</v>
      </c>
      <c r="H72" t="s">
        <v>411</v>
      </c>
      <c r="I72">
        <v>13</v>
      </c>
      <c r="J72" s="1">
        <v>5.2611000000000005E-2</v>
      </c>
      <c r="K72" s="1">
        <v>5.2609133460000006</v>
      </c>
      <c r="L72" s="1">
        <v>3.089538237158524</v>
      </c>
      <c r="M72" s="1">
        <v>32.366148113697619</v>
      </c>
      <c r="N72">
        <v>9</v>
      </c>
      <c r="O72" s="1">
        <v>3.6423000000000004E-2</v>
      </c>
      <c r="P72" s="1">
        <v>3.6421707780000001</v>
      </c>
      <c r="Q72" s="1">
        <v>2.1389110872635935</v>
      </c>
      <c r="R72" s="1">
        <v>46.751102830896563</v>
      </c>
      <c r="S72" s="1"/>
      <c r="T72" s="1"/>
      <c r="U72" s="1"/>
      <c r="V72">
        <v>37.031095999999998</v>
      </c>
      <c r="W72">
        <v>-86.333764000000002</v>
      </c>
      <c r="X72" t="s">
        <v>21</v>
      </c>
      <c r="Y72">
        <v>0</v>
      </c>
      <c r="Z72" t="s">
        <v>95</v>
      </c>
      <c r="AA72" s="111"/>
      <c r="AC72" t="s">
        <v>412</v>
      </c>
      <c r="AD72" t="s">
        <v>60</v>
      </c>
      <c r="AE72" t="s">
        <v>157</v>
      </c>
      <c r="AF72" s="111" t="s">
        <v>380</v>
      </c>
      <c r="AH72">
        <v>1</v>
      </c>
    </row>
    <row r="73" spans="1:34" ht="15" x14ac:dyDescent="0.25">
      <c r="A73" t="s">
        <v>148</v>
      </c>
      <c r="B73" t="s">
        <v>480</v>
      </c>
      <c r="C73">
        <v>2011</v>
      </c>
      <c r="D73" s="18">
        <v>5031.8195614007982</v>
      </c>
      <c r="E73" s="18">
        <v>5910</v>
      </c>
      <c r="G73">
        <v>25172</v>
      </c>
      <c r="H73" t="s">
        <v>481</v>
      </c>
      <c r="I73">
        <v>35</v>
      </c>
      <c r="J73" s="1">
        <v>0.14164500000000002</v>
      </c>
      <c r="K73" s="1">
        <v>14.16399747</v>
      </c>
      <c r="L73" s="1">
        <v>2.8148858076415029</v>
      </c>
      <c r="M73" s="1">
        <v>35.524159422505541</v>
      </c>
      <c r="N73">
        <v>24.748000000000001</v>
      </c>
      <c r="O73" s="1">
        <v>0.10015515600000001</v>
      </c>
      <c r="P73" s="1">
        <v>10.015160268216</v>
      </c>
      <c r="Q73" s="1">
        <v>1.9903655419289119</v>
      </c>
      <c r="R73" s="1">
        <v>50.240244859693476</v>
      </c>
      <c r="V73">
        <v>28.488683999999999</v>
      </c>
      <c r="W73">
        <v>-81.181970000000007</v>
      </c>
      <c r="X73" t="s">
        <v>21</v>
      </c>
      <c r="Y73" t="s">
        <v>776</v>
      </c>
      <c r="Z73" t="s">
        <v>95</v>
      </c>
      <c r="AA73" s="111"/>
      <c r="AD73" t="s">
        <v>29</v>
      </c>
      <c r="AE73" t="s">
        <v>427</v>
      </c>
      <c r="AF73" s="111" t="s">
        <v>385</v>
      </c>
      <c r="AH73">
        <v>1</v>
      </c>
    </row>
    <row r="74" spans="1:34" ht="15" x14ac:dyDescent="0.25">
      <c r="A74" t="s">
        <v>47</v>
      </c>
      <c r="B74" t="s">
        <v>727</v>
      </c>
      <c r="C74">
        <v>2011</v>
      </c>
      <c r="D74">
        <v>5000</v>
      </c>
      <c r="E74">
        <v>6400</v>
      </c>
      <c r="H74" t="s">
        <v>728</v>
      </c>
      <c r="I74">
        <v>28.7</v>
      </c>
      <c r="J74" s="1">
        <v>0.1161489</v>
      </c>
      <c r="K74" s="1">
        <v>11.614477925399999</v>
      </c>
      <c r="L74" s="1">
        <v>2.3228955850799999</v>
      </c>
      <c r="M74" s="1">
        <v>43.048190727591908</v>
      </c>
      <c r="N74">
        <v>23.9</v>
      </c>
      <c r="O74" s="1">
        <v>9.6723299999999998E-2</v>
      </c>
      <c r="P74" s="1">
        <v>9.6719868437999992</v>
      </c>
      <c r="Q74" s="1">
        <v>1.9343973687599998</v>
      </c>
      <c r="R74" s="1">
        <v>51.693852463677317</v>
      </c>
      <c r="V74">
        <v>36.424790000000002</v>
      </c>
      <c r="W74">
        <v>-77.06438</v>
      </c>
      <c r="X74" t="s">
        <v>21</v>
      </c>
      <c r="Y74" t="s">
        <v>776</v>
      </c>
      <c r="AA74" s="111">
        <v>0.19</v>
      </c>
      <c r="AB74" t="s">
        <v>391</v>
      </c>
      <c r="AC74" t="s">
        <v>389</v>
      </c>
      <c r="AD74" t="s">
        <v>29</v>
      </c>
      <c r="AE74" t="s">
        <v>475</v>
      </c>
      <c r="AF74" t="s">
        <v>252</v>
      </c>
      <c r="AH74">
        <v>1</v>
      </c>
    </row>
    <row r="75" spans="1:34" ht="15" x14ac:dyDescent="0.25">
      <c r="A75" t="s">
        <v>3</v>
      </c>
      <c r="B75" t="s">
        <v>422</v>
      </c>
      <c r="C75">
        <v>2011</v>
      </c>
      <c r="D75" s="18">
        <v>5108.4462552292371</v>
      </c>
      <c r="E75" s="18">
        <v>6000</v>
      </c>
      <c r="G75">
        <v>18888</v>
      </c>
      <c r="H75" t="s">
        <v>389</v>
      </c>
      <c r="I75">
        <v>43</v>
      </c>
      <c r="J75" s="1">
        <v>0.17402100000000001</v>
      </c>
      <c r="K75" s="1">
        <v>17.401482606000002</v>
      </c>
      <c r="L75" s="1">
        <v>3.4064139537901679</v>
      </c>
      <c r="M75" s="1">
        <v>29.355343638004818</v>
      </c>
      <c r="N75">
        <v>26.75</v>
      </c>
      <c r="O75" s="1">
        <v>0.10825725000000001</v>
      </c>
      <c r="P75" s="1">
        <v>10.825340923500001</v>
      </c>
      <c r="Q75" s="1">
        <v>2.1191063549741163</v>
      </c>
      <c r="R75" s="1">
        <v>47.188029025577833</v>
      </c>
      <c r="S75" s="1"/>
      <c r="T75" s="1"/>
      <c r="U75" s="1"/>
      <c r="V75">
        <v>38.956650000000003</v>
      </c>
      <c r="W75">
        <v>-104.80674</v>
      </c>
      <c r="X75" t="s">
        <v>21</v>
      </c>
      <c r="Y75" t="s">
        <v>776</v>
      </c>
      <c r="Z75" t="s">
        <v>96</v>
      </c>
      <c r="AA75" s="111"/>
      <c r="AD75" t="s">
        <v>29</v>
      </c>
      <c r="AF75" s="111"/>
      <c r="AH75">
        <v>1</v>
      </c>
    </row>
    <row r="76" spans="1:34" ht="15" x14ac:dyDescent="0.25">
      <c r="A76" t="s">
        <v>160</v>
      </c>
      <c r="B76" t="s">
        <v>458</v>
      </c>
      <c r="C76">
        <v>2011</v>
      </c>
      <c r="D76" s="18">
        <v>9110.0624884921399</v>
      </c>
      <c r="E76" s="18">
        <v>10700</v>
      </c>
      <c r="G76">
        <v>38528</v>
      </c>
      <c r="H76" t="s">
        <v>8</v>
      </c>
      <c r="I76">
        <v>100</v>
      </c>
      <c r="J76" s="1">
        <v>0.4047</v>
      </c>
      <c r="K76" s="1">
        <v>40.468564200000003</v>
      </c>
      <c r="L76" s="1">
        <v>4.4421829434342541</v>
      </c>
      <c r="M76" s="1">
        <v>22.510656013076698</v>
      </c>
      <c r="N76">
        <v>73.599999999999994</v>
      </c>
      <c r="O76" s="1">
        <v>0.29785919999999999</v>
      </c>
      <c r="P76" s="1">
        <v>29.785919999999997</v>
      </c>
      <c r="Q76" s="1">
        <v>3.2695626443425243</v>
      </c>
      <c r="R76" s="1">
        <v>30.585130452549866</v>
      </c>
      <c r="V76">
        <v>32.195472717285199</v>
      </c>
      <c r="W76">
        <v>-103.191032409668</v>
      </c>
      <c r="X76" t="s">
        <v>21</v>
      </c>
      <c r="Y76" t="s">
        <v>776</v>
      </c>
      <c r="AC76" t="s">
        <v>464</v>
      </c>
      <c r="AD76" t="s">
        <v>29</v>
      </c>
      <c r="AE76" t="s">
        <v>157</v>
      </c>
      <c r="AF76" s="111" t="s">
        <v>444</v>
      </c>
      <c r="AH76">
        <v>1</v>
      </c>
    </row>
    <row r="77" spans="1:34" ht="15" x14ac:dyDescent="0.25">
      <c r="A77" t="s">
        <v>160</v>
      </c>
      <c r="B77" t="s">
        <v>456</v>
      </c>
      <c r="C77">
        <v>2011</v>
      </c>
      <c r="D77" s="18">
        <v>9195.2032594126267</v>
      </c>
      <c r="E77" s="18">
        <v>10800</v>
      </c>
      <c r="G77">
        <v>38888.074766355137</v>
      </c>
      <c r="H77" t="s">
        <v>8</v>
      </c>
      <c r="I77">
        <v>85.71</v>
      </c>
      <c r="J77" s="1">
        <v>0.34686836999999998</v>
      </c>
      <c r="K77" s="1">
        <v>34.685606375820001</v>
      </c>
      <c r="L77" s="1">
        <v>3.7721413434025228</v>
      </c>
      <c r="M77" s="1">
        <v>26.50920076515661</v>
      </c>
      <c r="N77">
        <v>76.900000000000006</v>
      </c>
      <c r="O77" s="1">
        <v>0.31121430000000005</v>
      </c>
      <c r="P77" s="1">
        <v>31.121430000000004</v>
      </c>
      <c r="Q77" s="1">
        <v>3.3845287724491246</v>
      </c>
      <c r="R77" s="1">
        <v>29.546210631749968</v>
      </c>
      <c r="V77">
        <v>32.341262817382798</v>
      </c>
      <c r="W77">
        <v>-104.23040008544901</v>
      </c>
      <c r="X77" t="s">
        <v>21</v>
      </c>
      <c r="Y77" t="s">
        <v>776</v>
      </c>
      <c r="AA77" s="111"/>
      <c r="AC77" t="s">
        <v>464</v>
      </c>
      <c r="AD77" t="s">
        <v>29</v>
      </c>
      <c r="AE77" t="s">
        <v>157</v>
      </c>
      <c r="AF77" s="111" t="s">
        <v>444</v>
      </c>
      <c r="AH77">
        <v>1</v>
      </c>
    </row>
    <row r="78" spans="1:34" ht="15" x14ac:dyDescent="0.25">
      <c r="A78" t="s">
        <v>26</v>
      </c>
      <c r="B78" t="s">
        <v>652</v>
      </c>
      <c r="C78">
        <v>2011</v>
      </c>
      <c r="D78">
        <v>9400</v>
      </c>
      <c r="E78">
        <v>12000</v>
      </c>
      <c r="H78" t="s">
        <v>167</v>
      </c>
      <c r="I78">
        <v>73.849999999999994</v>
      </c>
      <c r="J78" s="1">
        <v>0.29887094999999997</v>
      </c>
      <c r="K78" s="1">
        <v>29.886034661699998</v>
      </c>
      <c r="L78" s="1">
        <v>3.1793653895425531</v>
      </c>
      <c r="M78" s="1">
        <v>31.451701813106965</v>
      </c>
      <c r="N78">
        <v>55.127000000000002</v>
      </c>
      <c r="O78" s="1">
        <v>0.22309896900000004</v>
      </c>
      <c r="P78" s="1">
        <v>22.309896900000002</v>
      </c>
      <c r="Q78" s="1">
        <v>2.3733932872340429</v>
      </c>
      <c r="R78" s="1">
        <v>42.133767099569155</v>
      </c>
      <c r="V78">
        <v>38.464930000000003</v>
      </c>
      <c r="W78">
        <v>-121.17901000000001</v>
      </c>
      <c r="X78" t="s">
        <v>21</v>
      </c>
      <c r="Y78" t="s">
        <v>776</v>
      </c>
      <c r="Z78" t="s">
        <v>95</v>
      </c>
      <c r="AA78" s="111">
        <v>0.14699999999999999</v>
      </c>
      <c r="AB78" t="s">
        <v>399</v>
      </c>
      <c r="AC78" t="s">
        <v>649</v>
      </c>
      <c r="AD78" t="s">
        <v>29</v>
      </c>
      <c r="AE78" t="s">
        <v>475</v>
      </c>
      <c r="AF78" t="s">
        <v>252</v>
      </c>
      <c r="AH78">
        <v>1</v>
      </c>
    </row>
    <row r="79" spans="1:34" ht="15" x14ac:dyDescent="0.25">
      <c r="A79" t="s">
        <v>429</v>
      </c>
      <c r="B79" t="s">
        <v>430</v>
      </c>
      <c r="C79">
        <v>2011</v>
      </c>
      <c r="D79" s="18">
        <v>10000</v>
      </c>
      <c r="E79" s="18">
        <v>11745.254232357105</v>
      </c>
      <c r="F79">
        <v>50</v>
      </c>
      <c r="G79">
        <v>34258</v>
      </c>
      <c r="H79" t="s">
        <v>432</v>
      </c>
      <c r="I79">
        <v>103</v>
      </c>
      <c r="J79" s="1">
        <v>0.41684100000000002</v>
      </c>
      <c r="K79" s="1">
        <v>41.682621126000001</v>
      </c>
      <c r="L79" s="1">
        <v>4.1682621125999999</v>
      </c>
      <c r="M79" s="1">
        <v>23.989962599648305</v>
      </c>
      <c r="N79">
        <v>50.33</v>
      </c>
      <c r="O79" s="1">
        <v>0.20368551000000001</v>
      </c>
      <c r="P79" s="1">
        <v>20.368551</v>
      </c>
      <c r="Q79" s="1">
        <v>2.0368550999999999</v>
      </c>
      <c r="R79" s="1">
        <v>49.095294014777977</v>
      </c>
      <c r="V79">
        <v>39.184851000000002</v>
      </c>
      <c r="W79">
        <v>-75.502167</v>
      </c>
      <c r="X79" t="s">
        <v>21</v>
      </c>
      <c r="Y79" t="s">
        <v>776</v>
      </c>
      <c r="Z79" t="s">
        <v>96</v>
      </c>
      <c r="AA79" s="111">
        <v>0.20100000000000001</v>
      </c>
      <c r="AB79" t="s">
        <v>391</v>
      </c>
      <c r="AC79" t="s">
        <v>431</v>
      </c>
      <c r="AD79" t="s">
        <v>60</v>
      </c>
      <c r="AE79" t="s">
        <v>433</v>
      </c>
      <c r="AF79" s="111" t="s">
        <v>380</v>
      </c>
      <c r="AH79">
        <v>1</v>
      </c>
    </row>
    <row r="80" spans="1:34" ht="15" x14ac:dyDescent="0.25">
      <c r="A80" t="s">
        <v>26</v>
      </c>
      <c r="B80" t="s">
        <v>646</v>
      </c>
      <c r="C80">
        <v>2011</v>
      </c>
      <c r="D80">
        <v>15000</v>
      </c>
      <c r="E80">
        <v>16438.8</v>
      </c>
      <c r="G80">
        <v>58710</v>
      </c>
      <c r="H80" t="s">
        <v>167</v>
      </c>
      <c r="I80">
        <v>119.67</v>
      </c>
      <c r="J80">
        <v>0.48430449000000003</v>
      </c>
      <c r="K80" s="1">
        <v>48.42873077814</v>
      </c>
      <c r="L80">
        <v>3.2285820518760002</v>
      </c>
      <c r="M80">
        <v>30.972250536021253</v>
      </c>
      <c r="N80">
        <v>84.744</v>
      </c>
      <c r="O80" s="1">
        <v>0.34295896800000003</v>
      </c>
      <c r="P80" s="1">
        <v>34.295896800000001</v>
      </c>
      <c r="Q80" s="1">
        <v>2.2863931200000001</v>
      </c>
      <c r="R80" s="1">
        <v>43.737010545238164</v>
      </c>
      <c r="V80">
        <v>38.347709999999999</v>
      </c>
      <c r="W80">
        <v>-121.41285000000001</v>
      </c>
      <c r="X80" t="s">
        <v>21</v>
      </c>
      <c r="Y80" t="s">
        <v>776</v>
      </c>
      <c r="Z80" t="s">
        <v>94</v>
      </c>
      <c r="AA80" s="111">
        <v>0.14699999999999999</v>
      </c>
      <c r="AB80" t="s">
        <v>399</v>
      </c>
      <c r="AC80" t="s">
        <v>649</v>
      </c>
      <c r="AD80" t="s">
        <v>29</v>
      </c>
      <c r="AE80" t="s">
        <v>641</v>
      </c>
      <c r="AF80" t="s">
        <v>647</v>
      </c>
      <c r="AH80">
        <v>1</v>
      </c>
    </row>
    <row r="81" spans="1:34" ht="15" x14ac:dyDescent="0.25">
      <c r="A81" t="s">
        <v>26</v>
      </c>
      <c r="B81" t="s">
        <v>651</v>
      </c>
      <c r="C81">
        <v>2011</v>
      </c>
      <c r="D81">
        <v>15000</v>
      </c>
      <c r="E81">
        <v>16609</v>
      </c>
      <c r="G81">
        <v>59318</v>
      </c>
      <c r="H81" t="s">
        <v>167</v>
      </c>
      <c r="I81">
        <v>116.61</v>
      </c>
      <c r="J81" s="1">
        <v>0.47192067000000004</v>
      </c>
      <c r="K81" s="1">
        <v>47.19039271362</v>
      </c>
      <c r="L81" s="1">
        <v>3.1460261809080001</v>
      </c>
      <c r="M81" s="1">
        <v>31.785003187082268</v>
      </c>
      <c r="N81">
        <v>100.38</v>
      </c>
      <c r="O81" s="1">
        <v>0.40623786000000001</v>
      </c>
      <c r="P81" s="1">
        <v>40.623785999999996</v>
      </c>
      <c r="Q81" s="1">
        <v>2.7082523999999997</v>
      </c>
      <c r="R81" s="1">
        <v>36.92418033119808</v>
      </c>
      <c r="V81">
        <v>38.365569999999998</v>
      </c>
      <c r="W81">
        <v>-121.41294000000001</v>
      </c>
      <c r="X81" t="s">
        <v>21</v>
      </c>
      <c r="Y81" t="s">
        <v>648</v>
      </c>
      <c r="Z81" t="s">
        <v>96</v>
      </c>
      <c r="AA81" s="111">
        <v>0.14699999999999999</v>
      </c>
      <c r="AB81" t="s">
        <v>399</v>
      </c>
      <c r="AC81" t="s">
        <v>649</v>
      </c>
      <c r="AD81" t="s">
        <v>29</v>
      </c>
      <c r="AE81" t="s">
        <v>641</v>
      </c>
      <c r="AF81" t="s">
        <v>647</v>
      </c>
      <c r="AH81">
        <v>1</v>
      </c>
    </row>
    <row r="82" spans="1:34" ht="15" x14ac:dyDescent="0.25">
      <c r="A82" t="s">
        <v>47</v>
      </c>
      <c r="B82" t="s">
        <v>188</v>
      </c>
      <c r="C82">
        <v>2011</v>
      </c>
      <c r="D82">
        <v>15500</v>
      </c>
      <c r="E82" s="18">
        <v>17200</v>
      </c>
      <c r="F82">
        <v>173</v>
      </c>
      <c r="G82">
        <v>64000</v>
      </c>
      <c r="H82" t="s">
        <v>189</v>
      </c>
      <c r="I82">
        <v>200</v>
      </c>
      <c r="J82" s="1">
        <v>0.80940000000000001</v>
      </c>
      <c r="K82" s="1">
        <v>80.937128400000006</v>
      </c>
      <c r="L82" s="1">
        <v>5.2217502193548393</v>
      </c>
      <c r="M82" s="1">
        <v>19.149987645169261</v>
      </c>
      <c r="N82">
        <v>116.5</v>
      </c>
      <c r="O82" s="1">
        <v>0.47147550000000005</v>
      </c>
      <c r="P82" s="1">
        <v>47.147550000000003</v>
      </c>
      <c r="Q82" s="1">
        <v>3.041777419354839</v>
      </c>
      <c r="R82" s="1">
        <v>32.875515270676843</v>
      </c>
      <c r="S82" s="1"/>
      <c r="T82" s="1"/>
      <c r="U82" s="1"/>
      <c r="V82">
        <v>35.749160000000003</v>
      </c>
      <c r="W82">
        <v>-80.292460000000005</v>
      </c>
      <c r="X82" t="s">
        <v>21</v>
      </c>
      <c r="Y82" t="s">
        <v>777</v>
      </c>
      <c r="Z82" t="s">
        <v>96</v>
      </c>
      <c r="AA82" s="111"/>
      <c r="AB82" s="111"/>
      <c r="AC82" s="111"/>
      <c r="AD82" t="s">
        <v>29</v>
      </c>
      <c r="AE82" t="s">
        <v>110</v>
      </c>
      <c r="AF82" s="111" t="s">
        <v>252</v>
      </c>
      <c r="AH82">
        <v>1</v>
      </c>
    </row>
    <row r="83" spans="1:34" ht="15" x14ac:dyDescent="0.25">
      <c r="A83" t="s">
        <v>35</v>
      </c>
      <c r="B83" t="s">
        <v>637</v>
      </c>
      <c r="C83">
        <v>2011</v>
      </c>
      <c r="D83">
        <v>18000</v>
      </c>
      <c r="E83">
        <v>21000</v>
      </c>
      <c r="G83">
        <v>75168</v>
      </c>
      <c r="H83" t="s">
        <v>643</v>
      </c>
      <c r="I83">
        <v>145</v>
      </c>
      <c r="J83" s="1">
        <v>0.58681500000000009</v>
      </c>
      <c r="K83" s="1">
        <v>58.679418089999999</v>
      </c>
      <c r="L83" s="1">
        <v>3.2599676716666668</v>
      </c>
      <c r="M83" s="1">
        <v>30.674062523964107</v>
      </c>
      <c r="V83">
        <v>33.031500000000001</v>
      </c>
      <c r="W83">
        <v>-112.6606</v>
      </c>
      <c r="X83" t="s">
        <v>21</v>
      </c>
      <c r="AA83" s="111"/>
      <c r="AC83" t="s">
        <v>593</v>
      </c>
      <c r="AD83" t="s">
        <v>29</v>
      </c>
      <c r="AE83" t="s">
        <v>645</v>
      </c>
      <c r="AF83" t="s">
        <v>380</v>
      </c>
      <c r="AH83">
        <v>1</v>
      </c>
    </row>
    <row r="84" spans="1:34" ht="15" x14ac:dyDescent="0.25">
      <c r="A84" t="s">
        <v>26</v>
      </c>
      <c r="B84" t="s">
        <v>445</v>
      </c>
      <c r="C84">
        <v>2011</v>
      </c>
      <c r="D84" s="18">
        <v>891.4238715375019</v>
      </c>
      <c r="E84" s="18">
        <v>1047</v>
      </c>
      <c r="G84">
        <v>119</v>
      </c>
      <c r="H84" t="s">
        <v>445</v>
      </c>
      <c r="I84">
        <v>6.8</v>
      </c>
      <c r="J84" s="1">
        <v>2.7519600000000002E-2</v>
      </c>
      <c r="K84" s="1">
        <v>2.7518623656000001</v>
      </c>
      <c r="L84" s="1">
        <v>3.0870413654658675</v>
      </c>
      <c r="M84" s="1">
        <v>32.392326615848411</v>
      </c>
      <c r="N84">
        <v>6.8</v>
      </c>
      <c r="O84" s="1">
        <v>2.7519600000000002E-2</v>
      </c>
      <c r="P84" s="1">
        <v>2.75196</v>
      </c>
      <c r="Q84" s="1">
        <v>3.0871508918125556</v>
      </c>
      <c r="R84" s="1">
        <v>32.392326615848411</v>
      </c>
      <c r="V84">
        <v>36.271884</v>
      </c>
      <c r="W84">
        <v>-119.478266</v>
      </c>
      <c r="X84" t="s">
        <v>139</v>
      </c>
      <c r="Z84" t="s">
        <v>94</v>
      </c>
      <c r="AA84" s="111">
        <v>0.25</v>
      </c>
      <c r="AC84" t="s">
        <v>446</v>
      </c>
      <c r="AD84" t="s">
        <v>29</v>
      </c>
      <c r="AE84" t="s">
        <v>157</v>
      </c>
      <c r="AF84" s="111" t="s">
        <v>380</v>
      </c>
      <c r="AH84">
        <v>1</v>
      </c>
    </row>
    <row r="85" spans="1:34" x14ac:dyDescent="0.3">
      <c r="A85" t="s">
        <v>160</v>
      </c>
      <c r="B85" t="s">
        <v>495</v>
      </c>
      <c r="C85">
        <v>2011</v>
      </c>
      <c r="D85" s="18">
        <v>1000</v>
      </c>
      <c r="E85" s="18">
        <v>1174.5254232357104</v>
      </c>
      <c r="F85">
        <v>10</v>
      </c>
      <c r="G85">
        <v>173</v>
      </c>
      <c r="H85" t="s">
        <v>496</v>
      </c>
      <c r="I85">
        <v>17</v>
      </c>
      <c r="J85" s="1">
        <v>6.8798999999999999E-2</v>
      </c>
      <c r="K85" s="1">
        <v>6.8796559140000006</v>
      </c>
      <c r="L85" s="1">
        <v>6.8796559140000006</v>
      </c>
      <c r="M85" s="1">
        <v>14.535094986845738</v>
      </c>
      <c r="N85">
        <v>10.7</v>
      </c>
      <c r="O85" s="1">
        <v>4.3302899999999998E-2</v>
      </c>
      <c r="P85" s="1">
        <v>4.3302899999999998</v>
      </c>
      <c r="Q85" s="1">
        <v>4.3302899999999998</v>
      </c>
      <c r="R85" s="1">
        <v>23.093141567885755</v>
      </c>
      <c r="V85">
        <v>36.706257000000001</v>
      </c>
      <c r="W85">
        <v>-105.624189</v>
      </c>
      <c r="X85" t="s">
        <v>139</v>
      </c>
      <c r="Z85" t="s">
        <v>95</v>
      </c>
      <c r="AA85" s="111">
        <v>0.25</v>
      </c>
      <c r="AB85" t="s">
        <v>501</v>
      </c>
      <c r="AC85" t="s">
        <v>497</v>
      </c>
      <c r="AD85" t="s">
        <v>29</v>
      </c>
      <c r="AF85" s="111"/>
      <c r="AH85">
        <v>1</v>
      </c>
    </row>
    <row r="86" spans="1:34" ht="15" x14ac:dyDescent="0.25">
      <c r="A86" t="s">
        <v>529</v>
      </c>
      <c r="B86" t="s">
        <v>528</v>
      </c>
      <c r="C86">
        <v>2011</v>
      </c>
      <c r="D86" s="18">
        <v>1873.0969602507203</v>
      </c>
      <c r="E86" s="18">
        <v>2200</v>
      </c>
      <c r="F86">
        <v>12</v>
      </c>
      <c r="G86">
        <v>9000</v>
      </c>
      <c r="H86" t="s">
        <v>530</v>
      </c>
      <c r="I86">
        <v>27</v>
      </c>
      <c r="J86" s="1">
        <v>0.10926900000000001</v>
      </c>
      <c r="K86" s="1">
        <v>10.926512334</v>
      </c>
      <c r="L86" s="1">
        <v>5.8333938743552549</v>
      </c>
      <c r="M86" s="1">
        <v>17.142071037995407</v>
      </c>
      <c r="N86">
        <v>22</v>
      </c>
      <c r="O86" s="1">
        <v>8.9034000000000002E-2</v>
      </c>
      <c r="P86" s="1">
        <v>8.9033999999999995</v>
      </c>
      <c r="Q86" s="1">
        <v>4.7533043878349197</v>
      </c>
      <c r="R86" s="1">
        <v>21.037996273903456</v>
      </c>
      <c r="V86">
        <v>44.435600000000001</v>
      </c>
      <c r="W86">
        <v>-73.146010000000004</v>
      </c>
      <c r="X86" t="s">
        <v>139</v>
      </c>
      <c r="Y86" t="s">
        <v>531</v>
      </c>
      <c r="Z86" t="s">
        <v>96</v>
      </c>
      <c r="AA86" s="111"/>
      <c r="AC86" t="s">
        <v>532</v>
      </c>
      <c r="AD86" t="s">
        <v>29</v>
      </c>
      <c r="AE86" t="s">
        <v>157</v>
      </c>
      <c r="AF86" s="111" t="s">
        <v>385</v>
      </c>
      <c r="AH86">
        <v>1</v>
      </c>
    </row>
    <row r="87" spans="1:34" ht="15" x14ac:dyDescent="0.25">
      <c r="A87" t="s">
        <v>160</v>
      </c>
      <c r="B87" t="s">
        <v>447</v>
      </c>
      <c r="C87">
        <v>2011</v>
      </c>
      <c r="D87" s="18">
        <v>5040</v>
      </c>
      <c r="E87" s="18">
        <v>6468</v>
      </c>
      <c r="G87">
        <v>84</v>
      </c>
      <c r="H87" t="s">
        <v>448</v>
      </c>
      <c r="I87">
        <v>39</v>
      </c>
      <c r="J87" s="1">
        <v>0.157833</v>
      </c>
      <c r="K87" s="1">
        <v>15.782740038</v>
      </c>
      <c r="L87" s="1">
        <v>3.1314960392857141</v>
      </c>
      <c r="M87" s="1">
        <v>31.932485601870333</v>
      </c>
      <c r="N87">
        <v>30.28</v>
      </c>
      <c r="O87" s="1">
        <v>0.12254316000000001</v>
      </c>
      <c r="P87" s="1">
        <v>12.254316000000001</v>
      </c>
      <c r="Q87" s="1">
        <v>2.4314119047619052</v>
      </c>
      <c r="R87" s="1">
        <v>41.12836652816852</v>
      </c>
      <c r="V87">
        <v>32.627780000000001</v>
      </c>
      <c r="W87">
        <v>-107.25798</v>
      </c>
      <c r="X87" t="s">
        <v>139</v>
      </c>
      <c r="Z87" t="s">
        <v>96</v>
      </c>
      <c r="AA87" s="111">
        <v>0.28999999999999998</v>
      </c>
      <c r="AC87" t="s">
        <v>449</v>
      </c>
      <c r="AD87" t="s">
        <v>29</v>
      </c>
      <c r="AE87" t="s">
        <v>450</v>
      </c>
      <c r="AF87" s="111" t="s">
        <v>444</v>
      </c>
      <c r="AH87">
        <v>1</v>
      </c>
    </row>
    <row r="88" spans="1:34" ht="15" x14ac:dyDescent="0.25">
      <c r="A88" t="s">
        <v>407</v>
      </c>
      <c r="B88" t="s">
        <v>406</v>
      </c>
      <c r="C88">
        <v>2011</v>
      </c>
      <c r="D88" s="18">
        <v>851.40770920487284</v>
      </c>
      <c r="E88" s="18">
        <v>1000</v>
      </c>
      <c r="G88">
        <v>4340</v>
      </c>
      <c r="H88" t="s">
        <v>408</v>
      </c>
      <c r="I88">
        <v>4.8499999999999996</v>
      </c>
      <c r="J88" s="1">
        <v>1.9627949999999998E-2</v>
      </c>
      <c r="K88" s="1">
        <v>1.9627253636999999</v>
      </c>
      <c r="L88" s="1">
        <v>2.3052708384952063</v>
      </c>
      <c r="M88" s="1">
        <v>43.377311904955583</v>
      </c>
      <c r="N88" t="s">
        <v>598</v>
      </c>
      <c r="O88" s="1"/>
      <c r="P88" s="1"/>
      <c r="Q88" s="1"/>
      <c r="R88" s="1"/>
      <c r="S88" s="1"/>
      <c r="T88" s="1"/>
      <c r="U88" s="1"/>
      <c r="V88">
        <v>34.842637000000003</v>
      </c>
      <c r="W88">
        <v>-84.033394000000001</v>
      </c>
      <c r="X88" t="s">
        <v>91</v>
      </c>
      <c r="Z88" t="s">
        <v>94</v>
      </c>
      <c r="AA88" s="111"/>
      <c r="AC88" t="s">
        <v>409</v>
      </c>
      <c r="AD88" t="s">
        <v>29</v>
      </c>
      <c r="AE88" t="s">
        <v>157</v>
      </c>
      <c r="AF88" s="111" t="s">
        <v>380</v>
      </c>
      <c r="AH88">
        <v>1</v>
      </c>
    </row>
    <row r="89" spans="1:34" ht="15" x14ac:dyDescent="0.25">
      <c r="A89" t="s">
        <v>557</v>
      </c>
      <c r="B89" t="s">
        <v>553</v>
      </c>
      <c r="C89">
        <v>2011</v>
      </c>
      <c r="D89" s="18">
        <v>1013.1751739537987</v>
      </c>
      <c r="E89" s="18">
        <v>1190</v>
      </c>
      <c r="G89">
        <v>5940</v>
      </c>
      <c r="H89" t="s">
        <v>170</v>
      </c>
      <c r="I89">
        <v>9.4</v>
      </c>
      <c r="J89" s="1">
        <v>3.8041800000000001E-2</v>
      </c>
      <c r="K89" s="1">
        <v>3.8040450348000001</v>
      </c>
      <c r="L89" s="1">
        <v>3.7545778189127508</v>
      </c>
      <c r="M89" s="1">
        <v>26.633208048877776</v>
      </c>
      <c r="N89" t="s">
        <v>598</v>
      </c>
      <c r="O89" s="1"/>
      <c r="P89" s="1"/>
      <c r="Q89" s="1"/>
      <c r="R89" s="1"/>
      <c r="V89">
        <v>45.113630000000001</v>
      </c>
      <c r="W89">
        <v>-123.2368</v>
      </c>
      <c r="X89" t="s">
        <v>91</v>
      </c>
      <c r="AA89" s="111">
        <v>9.9900000000000003E-2</v>
      </c>
      <c r="AB89" t="s">
        <v>554</v>
      </c>
      <c r="AC89" t="s">
        <v>555</v>
      </c>
      <c r="AD89" t="s">
        <v>29</v>
      </c>
      <c r="AE89" t="s">
        <v>475</v>
      </c>
      <c r="AF89" s="111" t="s">
        <v>385</v>
      </c>
      <c r="AH89">
        <v>1</v>
      </c>
    </row>
    <row r="90" spans="1:34" ht="15" x14ac:dyDescent="0.25">
      <c r="A90" t="s">
        <v>429</v>
      </c>
      <c r="B90" t="s">
        <v>454</v>
      </c>
      <c r="C90">
        <v>2011</v>
      </c>
      <c r="D90" s="18">
        <v>1021.6892510458474</v>
      </c>
      <c r="E90" s="18">
        <v>1200</v>
      </c>
      <c r="F90">
        <v>7</v>
      </c>
      <c r="G90">
        <v>6000</v>
      </c>
      <c r="H90" t="s">
        <v>455</v>
      </c>
      <c r="I90">
        <v>6</v>
      </c>
      <c r="J90" s="1">
        <v>2.4282000000000001E-2</v>
      </c>
      <c r="K90" s="1">
        <v>2.4281138520000001</v>
      </c>
      <c r="L90" s="1">
        <v>2.3765678747373258</v>
      </c>
      <c r="M90" s="1">
        <v>42.075992547806912</v>
      </c>
      <c r="N90">
        <v>5.6588000000000003</v>
      </c>
      <c r="O90" s="1">
        <v>2.2901163600000003E-2</v>
      </c>
      <c r="P90" s="1">
        <v>2.2901163600000003</v>
      </c>
      <c r="Q90" s="1">
        <v>2.2414999058233542</v>
      </c>
      <c r="R90" s="1">
        <v>44.612984252286964</v>
      </c>
      <c r="V90">
        <v>38.991762999999999</v>
      </c>
      <c r="W90">
        <v>-75.440185999999997</v>
      </c>
      <c r="X90" t="s">
        <v>91</v>
      </c>
      <c r="AA90" s="111"/>
      <c r="AD90" t="s">
        <v>342</v>
      </c>
      <c r="AE90" t="s">
        <v>157</v>
      </c>
      <c r="AF90" s="111" t="s">
        <v>444</v>
      </c>
      <c r="AH90">
        <v>1</v>
      </c>
    </row>
    <row r="91" spans="1:34" ht="15" x14ac:dyDescent="0.25">
      <c r="A91" t="s">
        <v>47</v>
      </c>
      <c r="B91" t="s">
        <v>471</v>
      </c>
      <c r="C91">
        <v>2011</v>
      </c>
      <c r="D91" s="18">
        <v>1021.6892510458474</v>
      </c>
      <c r="E91" s="18">
        <v>1200</v>
      </c>
      <c r="F91">
        <v>5</v>
      </c>
      <c r="G91">
        <v>5000</v>
      </c>
      <c r="H91" t="s">
        <v>472</v>
      </c>
      <c r="I91">
        <v>6</v>
      </c>
      <c r="J91" s="1">
        <v>2.4282000000000001E-2</v>
      </c>
      <c r="K91" s="1">
        <v>2.4281138520000001</v>
      </c>
      <c r="L91" s="1">
        <v>2.3765678747373258</v>
      </c>
      <c r="M91" s="1">
        <v>42.075992547806912</v>
      </c>
      <c r="N91" t="s">
        <v>598</v>
      </c>
      <c r="V91">
        <v>36.477252999999997</v>
      </c>
      <c r="W91">
        <v>-80.599850000000004</v>
      </c>
      <c r="X91" t="s">
        <v>91</v>
      </c>
      <c r="AA91" s="111">
        <v>0.14000000000000001</v>
      </c>
      <c r="AB91" t="s">
        <v>399</v>
      </c>
      <c r="AC91" t="s">
        <v>469</v>
      </c>
      <c r="AD91" t="s">
        <v>470</v>
      </c>
      <c r="AE91" t="s">
        <v>157</v>
      </c>
      <c r="AF91" s="111" t="s">
        <v>385</v>
      </c>
      <c r="AH91">
        <v>1</v>
      </c>
    </row>
    <row r="92" spans="1:34" ht="15" x14ac:dyDescent="0.25">
      <c r="A92" t="s">
        <v>47</v>
      </c>
      <c r="B92" t="s">
        <v>498</v>
      </c>
      <c r="C92">
        <v>2011</v>
      </c>
      <c r="D92" s="18">
        <v>1111.0870605123591</v>
      </c>
      <c r="E92" s="18">
        <v>1305</v>
      </c>
      <c r="F92">
        <v>4.3</v>
      </c>
      <c r="G92">
        <v>4600</v>
      </c>
      <c r="H92" t="s">
        <v>499</v>
      </c>
      <c r="I92">
        <v>10</v>
      </c>
      <c r="J92" s="1">
        <v>4.0470000000000006E-2</v>
      </c>
      <c r="K92" s="1">
        <v>4.0468564200000001</v>
      </c>
      <c r="L92" s="1">
        <v>3.6422496164556724</v>
      </c>
      <c r="M92" s="1">
        <v>27.454585137444006</v>
      </c>
      <c r="N92" t="s">
        <v>598</v>
      </c>
      <c r="O92" s="1"/>
      <c r="P92" s="1"/>
      <c r="Q92" s="1"/>
      <c r="R92" s="1"/>
      <c r="V92">
        <v>35.720629000000002</v>
      </c>
      <c r="W92">
        <v>-78.486500000000007</v>
      </c>
      <c r="X92" t="s">
        <v>91</v>
      </c>
      <c r="AA92" s="111">
        <v>0.14399999999999999</v>
      </c>
      <c r="AB92" t="s">
        <v>399</v>
      </c>
      <c r="AC92" t="s">
        <v>500</v>
      </c>
      <c r="AD92" t="s">
        <v>29</v>
      </c>
      <c r="AE92" t="s">
        <v>157</v>
      </c>
      <c r="AF92" s="111" t="s">
        <v>385</v>
      </c>
      <c r="AH92">
        <v>1</v>
      </c>
    </row>
    <row r="93" spans="1:34" ht="15" x14ac:dyDescent="0.25">
      <c r="A93" t="s">
        <v>557</v>
      </c>
      <c r="B93" t="s">
        <v>556</v>
      </c>
      <c r="C93">
        <v>2011</v>
      </c>
      <c r="D93" s="18">
        <v>1413.3367972800888</v>
      </c>
      <c r="E93" s="18">
        <v>1660</v>
      </c>
      <c r="G93">
        <v>8316</v>
      </c>
      <c r="H93" t="s">
        <v>170</v>
      </c>
      <c r="I93">
        <v>11.9</v>
      </c>
      <c r="J93" s="1">
        <v>4.8159300000000002E-2</v>
      </c>
      <c r="K93" s="1">
        <v>4.8157591397999999</v>
      </c>
      <c r="L93" s="1">
        <v>3.4073683987197811</v>
      </c>
      <c r="M93" s="1">
        <v>29.347120852672042</v>
      </c>
      <c r="N93" t="s">
        <v>598</v>
      </c>
      <c r="O93" s="1"/>
      <c r="P93" s="1"/>
      <c r="Q93" s="1"/>
      <c r="R93" s="1"/>
      <c r="V93">
        <v>45.110570000000003</v>
      </c>
      <c r="W93">
        <v>-123.2795</v>
      </c>
      <c r="X93" t="s">
        <v>91</v>
      </c>
      <c r="AA93" s="111">
        <v>9.9900000000000003E-2</v>
      </c>
      <c r="AB93" t="s">
        <v>554</v>
      </c>
      <c r="AC93" t="s">
        <v>555</v>
      </c>
      <c r="AD93" t="s">
        <v>29</v>
      </c>
      <c r="AE93" t="s">
        <v>475</v>
      </c>
      <c r="AF93" s="111" t="s">
        <v>385</v>
      </c>
      <c r="AH93">
        <v>1</v>
      </c>
    </row>
    <row r="94" spans="1:34" ht="15" x14ac:dyDescent="0.25">
      <c r="A94" t="s">
        <v>491</v>
      </c>
      <c r="B94" t="s">
        <v>523</v>
      </c>
      <c r="C94">
        <v>2011</v>
      </c>
      <c r="D94" s="18">
        <v>1702.8154184097457</v>
      </c>
      <c r="E94" s="18">
        <v>2000</v>
      </c>
      <c r="G94">
        <v>8332</v>
      </c>
      <c r="H94" t="s">
        <v>524</v>
      </c>
      <c r="I94">
        <v>9.17</v>
      </c>
      <c r="J94" s="1">
        <v>3.7110990000000003E-2</v>
      </c>
      <c r="K94" s="1">
        <v>3.71096733714</v>
      </c>
      <c r="L94" s="1">
        <v>2.1793127411341282</v>
      </c>
      <c r="M94" s="1">
        <v>45.884397543955188</v>
      </c>
      <c r="N94">
        <v>8</v>
      </c>
      <c r="O94" s="1">
        <v>3.2376000000000002E-2</v>
      </c>
      <c r="P94" s="1">
        <v>3.2376</v>
      </c>
      <c r="Q94" s="1">
        <v>1.9013217551339681</v>
      </c>
      <c r="R94" s="1">
        <v>52.594990684758635</v>
      </c>
      <c r="V94">
        <v>42.114750000000001</v>
      </c>
      <c r="W94">
        <v>-73.405109999999993</v>
      </c>
      <c r="X94" t="s">
        <v>91</v>
      </c>
      <c r="Z94" t="s">
        <v>95</v>
      </c>
      <c r="AA94" s="111">
        <v>0.14499999999999999</v>
      </c>
      <c r="AB94" t="s">
        <v>391</v>
      </c>
      <c r="AC94" t="s">
        <v>525</v>
      </c>
      <c r="AD94" t="s">
        <v>29</v>
      </c>
      <c r="AE94" t="s">
        <v>157</v>
      </c>
      <c r="AF94" s="111" t="s">
        <v>385</v>
      </c>
      <c r="AH94">
        <v>1</v>
      </c>
    </row>
    <row r="95" spans="1:34" ht="15" x14ac:dyDescent="0.25">
      <c r="A95" t="s">
        <v>160</v>
      </c>
      <c r="B95" t="s">
        <v>383</v>
      </c>
      <c r="C95">
        <v>2011</v>
      </c>
      <c r="D95" s="18">
        <v>1702.8154184097457</v>
      </c>
      <c r="E95" s="18">
        <v>2000</v>
      </c>
      <c r="G95">
        <v>30000</v>
      </c>
      <c r="H95" t="s">
        <v>428</v>
      </c>
      <c r="I95">
        <v>18.5</v>
      </c>
      <c r="J95" s="1">
        <v>7.4869500000000005E-2</v>
      </c>
      <c r="K95" s="1">
        <v>7.4866843770000004</v>
      </c>
      <c r="L95" s="1">
        <v>4.3966505682640538</v>
      </c>
      <c r="M95" s="1">
        <v>22.743779755571303</v>
      </c>
      <c r="N95">
        <v>10.87</v>
      </c>
      <c r="O95" s="1">
        <v>4.3990889999999998E-2</v>
      </c>
      <c r="P95" s="1">
        <v>4.399089</v>
      </c>
      <c r="Q95" s="1">
        <v>2.5834209347882791</v>
      </c>
      <c r="R95" s="1">
        <v>38.708364809389984</v>
      </c>
      <c r="S95" s="1">
        <v>0.44827706048968663</v>
      </c>
      <c r="T95" s="1">
        <v>2.230763267046556</v>
      </c>
      <c r="U95" s="1">
        <v>1.1580883426544082</v>
      </c>
      <c r="V95">
        <v>35.170215606689503</v>
      </c>
      <c r="W95">
        <v>-106.601098106934</v>
      </c>
      <c r="X95" t="s">
        <v>91</v>
      </c>
      <c r="Z95" t="s">
        <v>94</v>
      </c>
      <c r="AA95" s="111">
        <v>0.107</v>
      </c>
      <c r="AB95" s="111" t="s">
        <v>366</v>
      </c>
      <c r="AC95" s="111" t="s">
        <v>146</v>
      </c>
      <c r="AD95" t="s">
        <v>29</v>
      </c>
      <c r="AE95" t="s">
        <v>157</v>
      </c>
      <c r="AF95" s="111" t="s">
        <v>385</v>
      </c>
      <c r="AH95">
        <v>1</v>
      </c>
    </row>
    <row r="96" spans="1:34" ht="15" x14ac:dyDescent="0.25">
      <c r="A96" t="s">
        <v>171</v>
      </c>
      <c r="B96" t="s">
        <v>441</v>
      </c>
      <c r="C96">
        <v>2011</v>
      </c>
      <c r="D96" s="18">
        <v>2554.2231276146185</v>
      </c>
      <c r="E96" s="18">
        <v>3000</v>
      </c>
      <c r="F96">
        <v>18</v>
      </c>
      <c r="G96">
        <v>12506</v>
      </c>
      <c r="H96" t="s">
        <v>443</v>
      </c>
      <c r="I96">
        <v>13</v>
      </c>
      <c r="J96" s="1">
        <v>5.2611000000000005E-2</v>
      </c>
      <c r="K96" s="1">
        <v>5.2609133460000006</v>
      </c>
      <c r="L96" s="1">
        <v>2.0596921581056828</v>
      </c>
      <c r="M96" s="1">
        <v>48.549222170546429</v>
      </c>
      <c r="N96" t="s">
        <v>598</v>
      </c>
      <c r="V96">
        <v>40.751061</v>
      </c>
      <c r="W96">
        <v>-74.109864000000002</v>
      </c>
      <c r="X96" t="s">
        <v>91</v>
      </c>
      <c r="Z96" t="s">
        <v>95</v>
      </c>
      <c r="AA96" s="111"/>
      <c r="AD96" t="s">
        <v>29</v>
      </c>
      <c r="AE96" t="s">
        <v>157</v>
      </c>
      <c r="AF96" s="111" t="s">
        <v>380</v>
      </c>
      <c r="AH96">
        <v>1</v>
      </c>
    </row>
    <row r="97" spans="1:34" ht="15" x14ac:dyDescent="0.25">
      <c r="A97" t="s">
        <v>160</v>
      </c>
      <c r="B97" t="s">
        <v>461</v>
      </c>
      <c r="C97">
        <v>2011</v>
      </c>
      <c r="D97" s="18">
        <v>4257.0385460243642</v>
      </c>
      <c r="E97" s="18">
        <v>5000</v>
      </c>
      <c r="G97">
        <v>78000</v>
      </c>
      <c r="H97" t="s">
        <v>462</v>
      </c>
      <c r="I97">
        <v>50</v>
      </c>
      <c r="J97" s="1">
        <v>0.20235</v>
      </c>
      <c r="K97" s="1">
        <v>20.234282100000001</v>
      </c>
      <c r="L97" s="1">
        <v>4.7531357494746524</v>
      </c>
      <c r="M97" s="1">
        <v>21.037996273903456</v>
      </c>
      <c r="N97">
        <v>34.08</v>
      </c>
      <c r="O97" s="1">
        <v>0.13792176</v>
      </c>
      <c r="P97" s="1">
        <v>13.792176</v>
      </c>
      <c r="Q97" s="1">
        <v>3.2398522707482815</v>
      </c>
      <c r="R97" s="1">
        <v>30.865604861947556</v>
      </c>
      <c r="V97">
        <v>32.166899889707601</v>
      </c>
      <c r="W97">
        <v>-107.751079872251</v>
      </c>
      <c r="X97" t="s">
        <v>91</v>
      </c>
      <c r="Y97" t="s">
        <v>463</v>
      </c>
      <c r="AA97" s="111">
        <v>0.107</v>
      </c>
      <c r="AB97" t="s">
        <v>366</v>
      </c>
      <c r="AC97" t="s">
        <v>102</v>
      </c>
      <c r="AD97" t="s">
        <v>29</v>
      </c>
      <c r="AE97" t="s">
        <v>157</v>
      </c>
      <c r="AF97" s="111" t="s">
        <v>444</v>
      </c>
      <c r="AG97">
        <v>1</v>
      </c>
      <c r="AH97">
        <v>1</v>
      </c>
    </row>
    <row r="98" spans="1:34" ht="15" x14ac:dyDescent="0.25">
      <c r="A98" t="s">
        <v>491</v>
      </c>
      <c r="B98" t="s">
        <v>700</v>
      </c>
      <c r="C98">
        <v>2011</v>
      </c>
      <c r="D98">
        <v>5000</v>
      </c>
      <c r="E98">
        <v>5742</v>
      </c>
      <c r="F98">
        <v>30</v>
      </c>
      <c r="G98">
        <v>24000</v>
      </c>
      <c r="H98" t="s">
        <v>701</v>
      </c>
      <c r="I98">
        <v>15</v>
      </c>
      <c r="J98" s="1">
        <v>6.0705000000000002E-2</v>
      </c>
      <c r="K98" s="1">
        <v>6.0702846299999997</v>
      </c>
      <c r="L98" s="1">
        <v>1.214056926</v>
      </c>
      <c r="M98" s="1">
        <v>82.365538258792512</v>
      </c>
      <c r="N98">
        <v>11.16</v>
      </c>
      <c r="O98" s="1">
        <v>4.5164520000000007E-2</v>
      </c>
      <c r="P98" s="1">
        <v>4.5164520000000001</v>
      </c>
      <c r="Q98" s="1">
        <v>0.90329040000000005</v>
      </c>
      <c r="R98" s="1">
        <v>110.70636862740929</v>
      </c>
      <c r="V98">
        <v>42.145809999999997</v>
      </c>
      <c r="W98">
        <v>-71.132459999999995</v>
      </c>
      <c r="X98" t="s">
        <v>91</v>
      </c>
      <c r="Y98" t="s">
        <v>781</v>
      </c>
      <c r="AA98" s="111">
        <v>0.14899999999999999</v>
      </c>
      <c r="AB98" t="s">
        <v>399</v>
      </c>
      <c r="AC98" t="s">
        <v>703</v>
      </c>
      <c r="AD98" t="s">
        <v>29</v>
      </c>
      <c r="AE98" t="s">
        <v>694</v>
      </c>
      <c r="AF98" t="s">
        <v>702</v>
      </c>
      <c r="AH98">
        <v>1</v>
      </c>
    </row>
    <row r="99" spans="1:34" ht="15" x14ac:dyDescent="0.25">
      <c r="A99" t="s">
        <v>26</v>
      </c>
      <c r="B99" t="s">
        <v>515</v>
      </c>
      <c r="C99">
        <v>2011</v>
      </c>
      <c r="D99" s="18">
        <v>5762.3273758985797</v>
      </c>
      <c r="E99" s="18">
        <v>6768</v>
      </c>
      <c r="F99">
        <v>18</v>
      </c>
      <c r="G99">
        <v>29428</v>
      </c>
      <c r="H99" t="s">
        <v>516</v>
      </c>
      <c r="I99">
        <v>32</v>
      </c>
      <c r="J99" s="1">
        <v>0.12950400000000001</v>
      </c>
      <c r="K99" s="1">
        <v>12.949940544</v>
      </c>
      <c r="L99" s="1">
        <v>2.2473455080258402</v>
      </c>
      <c r="M99" s="1">
        <v>44.49536211930581</v>
      </c>
      <c r="N99">
        <v>26.7</v>
      </c>
      <c r="O99" s="1">
        <v>0.10805490000000001</v>
      </c>
      <c r="P99" s="1">
        <v>10.805490000000001</v>
      </c>
      <c r="Q99" s="1">
        <v>1.8751954366901946</v>
      </c>
      <c r="R99" s="1">
        <v>53.327774824636172</v>
      </c>
      <c r="V99">
        <v>36.028709999999997</v>
      </c>
      <c r="W99">
        <v>-119.07588</v>
      </c>
      <c r="X99" t="s">
        <v>91</v>
      </c>
      <c r="Y99" t="s">
        <v>518</v>
      </c>
      <c r="AA99" s="111">
        <v>0.14099999999999999</v>
      </c>
      <c r="AB99" t="s">
        <v>399</v>
      </c>
      <c r="AC99" t="s">
        <v>517</v>
      </c>
      <c r="AD99" t="s">
        <v>29</v>
      </c>
      <c r="AE99" t="s">
        <v>157</v>
      </c>
      <c r="AF99" s="111" t="s">
        <v>380</v>
      </c>
      <c r="AH99">
        <v>1</v>
      </c>
    </row>
    <row r="100" spans="1:34" ht="15" x14ac:dyDescent="0.25">
      <c r="A100" t="s">
        <v>171</v>
      </c>
      <c r="B100" t="s">
        <v>577</v>
      </c>
      <c r="C100">
        <v>2011</v>
      </c>
      <c r="D100" s="18">
        <v>10000</v>
      </c>
      <c r="E100" s="18">
        <v>12502</v>
      </c>
      <c r="F100">
        <v>41</v>
      </c>
      <c r="G100">
        <v>53200</v>
      </c>
      <c r="H100" t="s">
        <v>576</v>
      </c>
      <c r="I100">
        <v>98</v>
      </c>
      <c r="J100" s="1">
        <v>0.39660600000000001</v>
      </c>
      <c r="K100" s="1">
        <v>39.659192916000002</v>
      </c>
      <c r="L100" s="1">
        <v>3.9659192916000001</v>
      </c>
      <c r="M100" s="1">
        <v>25.213940283303831</v>
      </c>
      <c r="N100">
        <v>78</v>
      </c>
      <c r="O100" s="1">
        <v>0.315666</v>
      </c>
      <c r="P100" s="1">
        <v>31.566600000000001</v>
      </c>
      <c r="Q100" s="1">
        <v>3.15666</v>
      </c>
      <c r="R100" s="1">
        <v>31.679053176458662</v>
      </c>
      <c r="V100">
        <v>39.380499999999998</v>
      </c>
      <c r="W100">
        <v>-75.188900000000004</v>
      </c>
      <c r="X100" t="s">
        <v>91</v>
      </c>
      <c r="Y100" t="s">
        <v>579</v>
      </c>
      <c r="AA100" s="111">
        <v>0.14399999999999999</v>
      </c>
      <c r="AB100" t="s">
        <v>399</v>
      </c>
      <c r="AC100" t="s">
        <v>578</v>
      </c>
      <c r="AD100" t="s">
        <v>29</v>
      </c>
      <c r="AE100" t="s">
        <v>157</v>
      </c>
      <c r="AF100" s="111" t="s">
        <v>380</v>
      </c>
      <c r="AH100">
        <v>1</v>
      </c>
    </row>
    <row r="101" spans="1:34" ht="15" x14ac:dyDescent="0.25">
      <c r="A101" t="s">
        <v>35</v>
      </c>
      <c r="B101" t="s">
        <v>642</v>
      </c>
      <c r="C101">
        <v>2011</v>
      </c>
      <c r="D101">
        <v>17280</v>
      </c>
      <c r="E101" s="18">
        <v>20295.799313513078</v>
      </c>
      <c r="G101">
        <v>300000</v>
      </c>
      <c r="H101" t="s">
        <v>644</v>
      </c>
      <c r="I101">
        <v>200</v>
      </c>
      <c r="J101">
        <v>0.80940000000000001</v>
      </c>
      <c r="K101" s="1">
        <v>80.937128400000006</v>
      </c>
      <c r="L101">
        <v>4.6838615972222222</v>
      </c>
      <c r="M101">
        <v>21.349147516679022</v>
      </c>
      <c r="V101">
        <v>33.031500000000001</v>
      </c>
      <c r="W101">
        <v>-112.6606</v>
      </c>
      <c r="X101" t="s">
        <v>91</v>
      </c>
      <c r="AA101" s="111">
        <v>0.106</v>
      </c>
      <c r="AB101" t="s">
        <v>366</v>
      </c>
      <c r="AC101" t="s">
        <v>102</v>
      </c>
      <c r="AD101" t="s">
        <v>29</v>
      </c>
      <c r="AE101" t="s">
        <v>645</v>
      </c>
      <c r="AF101" t="s">
        <v>380</v>
      </c>
      <c r="AH101">
        <v>1</v>
      </c>
    </row>
    <row r="102" spans="1:34" ht="15" x14ac:dyDescent="0.25">
      <c r="A102" t="s">
        <v>26</v>
      </c>
      <c r="B102" t="s">
        <v>650</v>
      </c>
      <c r="C102">
        <v>2011</v>
      </c>
      <c r="D102">
        <v>18000</v>
      </c>
      <c r="E102" s="18">
        <v>21141.457618242788</v>
      </c>
      <c r="G102">
        <v>281880</v>
      </c>
      <c r="H102" t="s">
        <v>167</v>
      </c>
      <c r="I102">
        <v>139.19999999999999</v>
      </c>
      <c r="J102" s="1">
        <v>0.56334240000000002</v>
      </c>
      <c r="K102" s="1">
        <v>56.332241366399998</v>
      </c>
      <c r="L102" s="1">
        <v>3.1295689647999998</v>
      </c>
      <c r="M102" s="1">
        <v>31.952148462462613</v>
      </c>
      <c r="N102">
        <v>100.07</v>
      </c>
      <c r="O102" s="1">
        <v>0.40498329</v>
      </c>
      <c r="P102" s="1">
        <v>40.498328999999998</v>
      </c>
      <c r="Q102" s="1">
        <v>2.2499071666666666</v>
      </c>
      <c r="R102" s="1">
        <v>44.446278264962487</v>
      </c>
      <c r="V102">
        <v>38.365569999999998</v>
      </c>
      <c r="W102">
        <v>-121.41294000000001</v>
      </c>
      <c r="X102" t="s">
        <v>91</v>
      </c>
      <c r="Y102" t="s">
        <v>653</v>
      </c>
      <c r="Z102" t="s">
        <v>96</v>
      </c>
      <c r="AA102" s="111">
        <v>0.107</v>
      </c>
      <c r="AB102" t="s">
        <v>366</v>
      </c>
      <c r="AC102" t="s">
        <v>146</v>
      </c>
      <c r="AD102" t="s">
        <v>29</v>
      </c>
      <c r="AE102" t="s">
        <v>493</v>
      </c>
      <c r="AF102" t="s">
        <v>647</v>
      </c>
      <c r="AH102">
        <v>1</v>
      </c>
    </row>
    <row r="103" spans="1:34" ht="15" x14ac:dyDescent="0.25">
      <c r="A103" t="s">
        <v>26</v>
      </c>
      <c r="B103" t="s">
        <v>513</v>
      </c>
      <c r="C103">
        <v>2011</v>
      </c>
      <c r="D103" s="18">
        <v>1200</v>
      </c>
      <c r="E103" s="18">
        <v>1400</v>
      </c>
      <c r="G103">
        <v>6300</v>
      </c>
      <c r="H103" t="s">
        <v>514</v>
      </c>
      <c r="I103">
        <v>8.19</v>
      </c>
      <c r="J103" s="1">
        <v>3.3144930000000003E-2</v>
      </c>
      <c r="K103" s="1">
        <v>3.3143754079800001</v>
      </c>
      <c r="L103" s="1">
        <v>2.7619795066500004</v>
      </c>
      <c r="M103" s="1">
        <v>36.204632201667039</v>
      </c>
      <c r="N103">
        <v>4.7846000000000002</v>
      </c>
      <c r="O103" s="1">
        <v>1.9363276200000001E-2</v>
      </c>
      <c r="P103" s="1">
        <v>1.9363276200000001</v>
      </c>
      <c r="Q103" s="1">
        <v>1.6136063500000002</v>
      </c>
      <c r="R103" s="1">
        <v>61.972983683411996</v>
      </c>
      <c r="V103">
        <v>33.234802000000002</v>
      </c>
      <c r="W103">
        <v>-117.38078400000001</v>
      </c>
      <c r="X103" t="s">
        <v>203</v>
      </c>
      <c r="AA103" s="111">
        <v>0.14199999999999999</v>
      </c>
      <c r="AB103" t="s">
        <v>399</v>
      </c>
      <c r="AC103" t="s">
        <v>512</v>
      </c>
      <c r="AD103" t="s">
        <v>29</v>
      </c>
      <c r="AE103" t="s">
        <v>157</v>
      </c>
      <c r="AF103" s="111" t="s">
        <v>380</v>
      </c>
      <c r="AH103">
        <v>1</v>
      </c>
    </row>
    <row r="104" spans="1:34" ht="15" x14ac:dyDescent="0.25">
      <c r="A104" t="s">
        <v>491</v>
      </c>
      <c r="B104" t="s">
        <v>559</v>
      </c>
      <c r="C104">
        <v>2011</v>
      </c>
      <c r="D104" s="18">
        <v>1702.8154184097457</v>
      </c>
      <c r="E104" s="18">
        <v>2000</v>
      </c>
      <c r="G104">
        <v>18000</v>
      </c>
      <c r="H104" t="s">
        <v>558</v>
      </c>
      <c r="I104">
        <v>11</v>
      </c>
      <c r="J104" s="1">
        <v>4.4517000000000001E-2</v>
      </c>
      <c r="K104" s="1">
        <v>4.4515420619999997</v>
      </c>
      <c r="L104" s="1">
        <v>2.6142246622110585</v>
      </c>
      <c r="M104" s="1">
        <v>38.250902316188103</v>
      </c>
      <c r="N104">
        <v>7.9</v>
      </c>
      <c r="O104" s="1">
        <v>3.1971300000000001E-2</v>
      </c>
      <c r="P104" s="1">
        <v>3.19713</v>
      </c>
      <c r="Q104" s="1">
        <v>1.8775552331947936</v>
      </c>
      <c r="R104" s="1">
        <v>53.260750060515079</v>
      </c>
      <c r="V104">
        <v>42.610520000000001</v>
      </c>
      <c r="W104">
        <v>-72.475325999999995</v>
      </c>
      <c r="X104" t="s">
        <v>203</v>
      </c>
      <c r="AA104" s="111"/>
      <c r="AB104" t="s">
        <v>366</v>
      </c>
      <c r="AC104" t="s">
        <v>560</v>
      </c>
      <c r="AD104" t="s">
        <v>29</v>
      </c>
      <c r="AE104" t="s">
        <v>157</v>
      </c>
      <c r="AF104" s="111" t="s">
        <v>380</v>
      </c>
      <c r="AH104">
        <v>1</v>
      </c>
    </row>
    <row r="105" spans="1:34" ht="15" x14ac:dyDescent="0.25">
      <c r="A105" t="s">
        <v>491</v>
      </c>
      <c r="B105" t="s">
        <v>535</v>
      </c>
      <c r="C105">
        <v>2011</v>
      </c>
      <c r="D105" s="18">
        <v>1958.2377311712075</v>
      </c>
      <c r="E105" s="18">
        <v>2300</v>
      </c>
      <c r="G105">
        <v>8200</v>
      </c>
      <c r="H105" t="s">
        <v>536</v>
      </c>
      <c r="I105">
        <v>12</v>
      </c>
      <c r="J105" s="1">
        <v>4.8564000000000003E-2</v>
      </c>
      <c r="K105" s="1">
        <v>4.8562277040000001</v>
      </c>
      <c r="L105" s="1">
        <v>2.4798969127693837</v>
      </c>
      <c r="M105" s="1">
        <v>40.322826191648289</v>
      </c>
      <c r="N105" t="s">
        <v>598</v>
      </c>
      <c r="O105" s="1"/>
      <c r="P105" s="1"/>
      <c r="Q105" s="1"/>
      <c r="R105" s="1"/>
      <c r="V105">
        <v>42.152920000000002</v>
      </c>
      <c r="W105">
        <v>-72.49915</v>
      </c>
      <c r="X105" t="s">
        <v>203</v>
      </c>
      <c r="AA105" s="111"/>
      <c r="AD105" t="s">
        <v>29</v>
      </c>
      <c r="AE105" t="s">
        <v>157</v>
      </c>
      <c r="AF105" s="111" t="s">
        <v>444</v>
      </c>
      <c r="AH105">
        <v>1</v>
      </c>
    </row>
    <row r="106" spans="1:34" ht="15" x14ac:dyDescent="0.25">
      <c r="A106" t="s">
        <v>491</v>
      </c>
      <c r="B106" t="s">
        <v>533</v>
      </c>
      <c r="C106">
        <v>2011</v>
      </c>
      <c r="D106" s="18">
        <v>3575.9123786604659</v>
      </c>
      <c r="E106" s="18">
        <v>4200</v>
      </c>
      <c r="F106">
        <v>22</v>
      </c>
      <c r="G106">
        <v>17000</v>
      </c>
      <c r="H106" t="s">
        <v>536</v>
      </c>
      <c r="I106">
        <v>62</v>
      </c>
      <c r="J106" s="1">
        <v>0.25091400000000003</v>
      </c>
      <c r="K106" s="1">
        <v>25.090509804</v>
      </c>
      <c r="L106" s="1">
        <v>7.0165337254149627</v>
      </c>
      <c r="M106" s="1">
        <v>14.251545862966855</v>
      </c>
      <c r="N106">
        <v>40</v>
      </c>
      <c r="O106" s="1">
        <v>0.16188000000000002</v>
      </c>
      <c r="P106" s="1">
        <v>16.187999999999999</v>
      </c>
      <c r="Q106" s="1">
        <v>4.5269565598427812</v>
      </c>
      <c r="R106" s="1">
        <v>22.089896087598625</v>
      </c>
      <c r="V106">
        <v>42.144219999999997</v>
      </c>
      <c r="W106">
        <v>-72.543379999999999</v>
      </c>
      <c r="X106" t="s">
        <v>203</v>
      </c>
      <c r="AA106" s="111"/>
      <c r="AD106" t="s">
        <v>534</v>
      </c>
      <c r="AE106" t="s">
        <v>157</v>
      </c>
      <c r="AF106" s="111" t="s">
        <v>380</v>
      </c>
      <c r="AH106">
        <v>1</v>
      </c>
    </row>
    <row r="107" spans="1:34" ht="15" x14ac:dyDescent="0.25">
      <c r="A107" t="s">
        <v>160</v>
      </c>
      <c r="B107" t="s">
        <v>386</v>
      </c>
      <c r="C107">
        <v>2011</v>
      </c>
      <c r="D107" s="18">
        <v>4257.0385460243642</v>
      </c>
      <c r="E107" s="18">
        <v>5000</v>
      </c>
      <c r="G107">
        <v>78000</v>
      </c>
      <c r="H107" t="s">
        <v>387</v>
      </c>
      <c r="I107">
        <v>50</v>
      </c>
      <c r="J107" s="1">
        <v>0.20235</v>
      </c>
      <c r="K107" s="1">
        <v>20.234282100000001</v>
      </c>
      <c r="L107" s="1">
        <v>4.7531357494746524</v>
      </c>
      <c r="M107" s="1">
        <v>21.037996273903456</v>
      </c>
      <c r="N107" t="s">
        <v>707</v>
      </c>
      <c r="O107" s="1"/>
      <c r="P107" s="1"/>
      <c r="Q107" s="1"/>
      <c r="R107" s="1"/>
      <c r="S107" s="1"/>
      <c r="T107" s="1"/>
      <c r="U107" s="1"/>
      <c r="V107">
        <v>32.865855000000003</v>
      </c>
      <c r="W107">
        <v>-106.000299</v>
      </c>
      <c r="X107" t="s">
        <v>203</v>
      </c>
      <c r="Z107" t="s">
        <v>94</v>
      </c>
      <c r="AA107" s="111">
        <v>0.107</v>
      </c>
      <c r="AB107" t="s">
        <v>366</v>
      </c>
      <c r="AC107" t="s">
        <v>146</v>
      </c>
      <c r="AD107" t="s">
        <v>29</v>
      </c>
      <c r="AE107" t="s">
        <v>157</v>
      </c>
      <c r="AF107" s="111" t="s">
        <v>385</v>
      </c>
      <c r="AH107">
        <v>1</v>
      </c>
    </row>
    <row r="108" spans="1:34" ht="15" x14ac:dyDescent="0.25">
      <c r="A108" t="s">
        <v>35</v>
      </c>
      <c r="B108" t="s">
        <v>485</v>
      </c>
      <c r="C108">
        <v>2011</v>
      </c>
      <c r="D108" s="18">
        <v>20000</v>
      </c>
      <c r="E108" s="18">
        <v>23490.50846471421</v>
      </c>
      <c r="G108">
        <v>66384</v>
      </c>
      <c r="H108" t="s">
        <v>403</v>
      </c>
      <c r="I108">
        <v>144</v>
      </c>
      <c r="J108" s="1">
        <v>0.58276800000000006</v>
      </c>
      <c r="K108" s="1">
        <v>58.276800000000001</v>
      </c>
      <c r="L108" s="1">
        <v>2.91384</v>
      </c>
      <c r="M108" s="1">
        <v>34.318974274496881</v>
      </c>
      <c r="N108">
        <v>118.4</v>
      </c>
      <c r="O108" s="1">
        <v>0.47916480000000006</v>
      </c>
      <c r="P108" s="1">
        <v>47.91648</v>
      </c>
      <c r="Q108" s="1">
        <v>2.3958240000000002</v>
      </c>
      <c r="R108" s="1">
        <v>41.739293036550258</v>
      </c>
      <c r="V108">
        <v>33.159303000000001</v>
      </c>
      <c r="W108">
        <v>-111.48230599999999</v>
      </c>
      <c r="X108" t="s">
        <v>21</v>
      </c>
      <c r="Y108" t="s">
        <v>780</v>
      </c>
      <c r="AA108" s="111">
        <v>0.19</v>
      </c>
      <c r="AB108" t="s">
        <v>391</v>
      </c>
      <c r="AC108" t="s">
        <v>487</v>
      </c>
      <c r="AD108" t="s">
        <v>29</v>
      </c>
      <c r="AE108" t="s">
        <v>475</v>
      </c>
      <c r="AF108" s="111" t="s">
        <v>385</v>
      </c>
      <c r="AH108">
        <v>1</v>
      </c>
    </row>
    <row r="109" spans="1:34" ht="15" x14ac:dyDescent="0.25">
      <c r="A109" t="s">
        <v>160</v>
      </c>
      <c r="B109" t="s">
        <v>522</v>
      </c>
      <c r="C109">
        <v>2011</v>
      </c>
      <c r="D109" s="18">
        <v>20000</v>
      </c>
      <c r="E109" s="18">
        <v>23490.50846471421</v>
      </c>
      <c r="G109">
        <v>190000</v>
      </c>
      <c r="H109" t="s">
        <v>102</v>
      </c>
      <c r="I109">
        <v>210</v>
      </c>
      <c r="J109" s="1">
        <v>0.84987000000000001</v>
      </c>
      <c r="K109" s="1">
        <v>84.986999999999995</v>
      </c>
      <c r="L109" s="1">
        <v>4.2493499999999997</v>
      </c>
      <c r="M109" s="1">
        <v>23.533010931083577</v>
      </c>
      <c r="N109">
        <v>169.3</v>
      </c>
      <c r="O109" s="1">
        <v>0.68515710000000007</v>
      </c>
      <c r="P109" s="1">
        <v>68.515709999999999</v>
      </c>
      <c r="Q109" s="1">
        <v>3.4257854999999999</v>
      </c>
      <c r="R109" s="1">
        <v>29.190385679430307</v>
      </c>
      <c r="V109">
        <v>31.80245</v>
      </c>
      <c r="W109">
        <v>-106.67148</v>
      </c>
      <c r="X109" t="s">
        <v>21</v>
      </c>
      <c r="Y109" t="s">
        <v>776</v>
      </c>
      <c r="AA109" s="111">
        <v>0.107</v>
      </c>
      <c r="AB109" t="s">
        <v>366</v>
      </c>
      <c r="AC109" t="s">
        <v>102</v>
      </c>
      <c r="AD109" t="s">
        <v>60</v>
      </c>
      <c r="AE109" t="s">
        <v>475</v>
      </c>
      <c r="AF109" s="111" t="s">
        <v>385</v>
      </c>
      <c r="AH109">
        <v>1</v>
      </c>
    </row>
    <row r="110" spans="1:34" ht="15" x14ac:dyDescent="0.25">
      <c r="A110" t="s">
        <v>107</v>
      </c>
      <c r="B110" t="s">
        <v>207</v>
      </c>
      <c r="C110">
        <v>2011</v>
      </c>
      <c r="D110" s="18">
        <v>17532.187547946742</v>
      </c>
      <c r="E110" s="18">
        <v>20592</v>
      </c>
      <c r="G110">
        <v>52000</v>
      </c>
      <c r="H110" t="s">
        <v>423</v>
      </c>
      <c r="I110">
        <v>180</v>
      </c>
      <c r="J110" s="1">
        <v>0.72846</v>
      </c>
      <c r="K110" s="1">
        <v>72.846000000000004</v>
      </c>
      <c r="L110" s="1">
        <v>4.1549863530025535</v>
      </c>
      <c r="M110" s="1">
        <v>24.067467737345552</v>
      </c>
      <c r="N110" t="s">
        <v>598</v>
      </c>
      <c r="O110" s="1"/>
      <c r="P110" s="1"/>
      <c r="Q110" s="1"/>
      <c r="R110" s="1"/>
      <c r="S110" s="1"/>
      <c r="T110" s="1"/>
      <c r="U110" s="1"/>
      <c r="V110">
        <v>40.098574999999997</v>
      </c>
      <c r="W110">
        <v>-119.889014</v>
      </c>
      <c r="X110" t="s">
        <v>91</v>
      </c>
      <c r="Y110" t="s">
        <v>209</v>
      </c>
      <c r="Z110" t="s">
        <v>106</v>
      </c>
      <c r="AA110" s="111">
        <v>0.1</v>
      </c>
      <c r="AB110" s="111" t="s">
        <v>366</v>
      </c>
      <c r="AC110" s="111" t="s">
        <v>208</v>
      </c>
      <c r="AD110" t="s">
        <v>109</v>
      </c>
      <c r="AE110" t="s">
        <v>34</v>
      </c>
      <c r="AF110" s="111" t="s">
        <v>353</v>
      </c>
      <c r="AG110">
        <v>1</v>
      </c>
      <c r="AH110">
        <v>1</v>
      </c>
    </row>
    <row r="111" spans="1:34" ht="15" x14ac:dyDescent="0.25">
      <c r="A111" t="s">
        <v>171</v>
      </c>
      <c r="B111" t="s">
        <v>482</v>
      </c>
      <c r="C111">
        <v>2011</v>
      </c>
      <c r="D111" s="18">
        <v>18000</v>
      </c>
      <c r="E111" s="18">
        <v>20000</v>
      </c>
      <c r="F111">
        <v>90</v>
      </c>
      <c r="G111">
        <v>71400</v>
      </c>
      <c r="H111" t="s">
        <v>484</v>
      </c>
      <c r="I111">
        <v>134</v>
      </c>
      <c r="J111" s="1">
        <v>0.54229800000000006</v>
      </c>
      <c r="K111" s="1">
        <v>54.229799999999997</v>
      </c>
      <c r="L111" s="1">
        <v>3.0127666666666664</v>
      </c>
      <c r="M111" s="1">
        <v>33.19208258190146</v>
      </c>
      <c r="N111">
        <v>76.8</v>
      </c>
      <c r="O111" s="1">
        <v>0.31080960000000002</v>
      </c>
      <c r="P111" s="1">
        <v>31.080959999999997</v>
      </c>
      <c r="Q111" s="1">
        <v>1.7267199999999998</v>
      </c>
      <c r="R111" s="1">
        <v>57.91326908821349</v>
      </c>
      <c r="V111">
        <v>39.614260000000002</v>
      </c>
      <c r="W111">
        <v>-75.309809000000001</v>
      </c>
      <c r="X111" t="s">
        <v>91</v>
      </c>
      <c r="AA111" s="111">
        <v>0.14000000000000001</v>
      </c>
      <c r="AB111" t="s">
        <v>399</v>
      </c>
      <c r="AC111" t="s">
        <v>483</v>
      </c>
      <c r="AD111" t="s">
        <v>29</v>
      </c>
      <c r="AE111" t="s">
        <v>157</v>
      </c>
      <c r="AF111" s="111" t="s">
        <v>385</v>
      </c>
      <c r="AH111">
        <v>1</v>
      </c>
    </row>
    <row r="112" spans="1:34" ht="15" x14ac:dyDescent="0.25">
      <c r="A112" t="s">
        <v>332</v>
      </c>
      <c r="B112" t="s">
        <v>333</v>
      </c>
      <c r="C112">
        <v>2011</v>
      </c>
      <c r="D112" s="18">
        <v>32000</v>
      </c>
      <c r="E112" s="18">
        <v>37000</v>
      </c>
      <c r="G112">
        <v>167712</v>
      </c>
      <c r="I112">
        <v>200</v>
      </c>
      <c r="J112" s="1">
        <v>0.80940000000000001</v>
      </c>
      <c r="K112" s="1">
        <v>80.94</v>
      </c>
      <c r="L112" s="1">
        <v>2.5293749999999999</v>
      </c>
      <c r="M112" s="1">
        <v>39.53545836422041</v>
      </c>
      <c r="N112">
        <v>195</v>
      </c>
      <c r="O112" s="1">
        <v>0.78916500000000001</v>
      </c>
      <c r="P112" s="1">
        <v>78.916499999999999</v>
      </c>
      <c r="Q112" s="1">
        <v>2.466140625</v>
      </c>
      <c r="R112" s="1">
        <v>40.549188065867085</v>
      </c>
      <c r="S112" s="1">
        <v>0.63793103448275867</v>
      </c>
      <c r="T112" s="1">
        <v>1.5675675675675675</v>
      </c>
      <c r="U112" s="1"/>
      <c r="V112">
        <v>40.864069999999998</v>
      </c>
      <c r="W112">
        <v>-72.855490000000003</v>
      </c>
      <c r="X112" t="s">
        <v>91</v>
      </c>
      <c r="Z112" t="s">
        <v>95</v>
      </c>
      <c r="AA112" s="111">
        <v>0.13200000000000001</v>
      </c>
      <c r="AB112" s="111" t="s">
        <v>399</v>
      </c>
      <c r="AC112" s="111" t="s">
        <v>335</v>
      </c>
      <c r="AD112" t="s">
        <v>109</v>
      </c>
      <c r="AE112" t="s">
        <v>334</v>
      </c>
      <c r="AF112" s="111" t="s">
        <v>353</v>
      </c>
      <c r="AG112">
        <v>1</v>
      </c>
      <c r="AH112">
        <v>1</v>
      </c>
    </row>
    <row r="113" spans="1:34" ht="15" x14ac:dyDescent="0.25">
      <c r="A113" t="s">
        <v>26</v>
      </c>
      <c r="B113" t="s">
        <v>401</v>
      </c>
      <c r="C113">
        <v>2011</v>
      </c>
      <c r="D113" s="18">
        <v>45000</v>
      </c>
      <c r="E113" s="18">
        <v>57715</v>
      </c>
      <c r="G113">
        <v>450900</v>
      </c>
      <c r="H113" t="s">
        <v>404</v>
      </c>
      <c r="I113">
        <v>500</v>
      </c>
      <c r="J113" s="1">
        <v>2.0235000000000003</v>
      </c>
      <c r="K113" s="1">
        <v>202.35</v>
      </c>
      <c r="L113" s="1">
        <v>4.4966666666666661</v>
      </c>
      <c r="M113" s="1">
        <v>22.238695329873977</v>
      </c>
      <c r="N113">
        <v>345</v>
      </c>
      <c r="O113" s="1">
        <v>1.396215</v>
      </c>
      <c r="P113" s="1">
        <v>139.6215</v>
      </c>
      <c r="Q113" s="1">
        <v>3.1027</v>
      </c>
      <c r="R113" s="1">
        <v>32.229993231701421</v>
      </c>
      <c r="S113" s="1"/>
      <c r="T113" s="1"/>
      <c r="U113" s="1"/>
      <c r="V113">
        <v>35.984084000000003</v>
      </c>
      <c r="W113">
        <v>-120.10288199999999</v>
      </c>
      <c r="X113" t="s">
        <v>91</v>
      </c>
      <c r="Z113" t="s">
        <v>96</v>
      </c>
      <c r="AA113" s="111">
        <v>0.09</v>
      </c>
      <c r="AB113" t="s">
        <v>366</v>
      </c>
      <c r="AC113" t="s">
        <v>402</v>
      </c>
      <c r="AD113" t="s">
        <v>60</v>
      </c>
      <c r="AE113" t="s">
        <v>405</v>
      </c>
      <c r="AF113" s="111" t="s">
        <v>252</v>
      </c>
      <c r="AH113">
        <v>1</v>
      </c>
    </row>
    <row r="114" spans="1:34" ht="15" x14ac:dyDescent="0.25">
      <c r="A114" t="s">
        <v>26</v>
      </c>
      <c r="B114" t="s">
        <v>163</v>
      </c>
      <c r="C114">
        <v>2012</v>
      </c>
      <c r="D114" s="18">
        <v>2554.2231276146185</v>
      </c>
      <c r="E114" s="18">
        <v>3000</v>
      </c>
      <c r="H114" t="s">
        <v>164</v>
      </c>
      <c r="I114">
        <v>22</v>
      </c>
      <c r="J114" s="1">
        <v>8.9034000000000002E-2</v>
      </c>
      <c r="K114" s="1">
        <v>8.9030841239999994</v>
      </c>
      <c r="L114" s="1">
        <v>3.4856328829480785</v>
      </c>
      <c r="M114" s="1">
        <v>28.688176737141074</v>
      </c>
      <c r="N114" t="s">
        <v>598</v>
      </c>
      <c r="O114" s="1"/>
      <c r="P114" s="1"/>
      <c r="Q114" s="1"/>
      <c r="R114" s="1"/>
      <c r="S114" s="1"/>
      <c r="T114" s="1"/>
      <c r="U114" s="1"/>
      <c r="V114">
        <v>34.852480999999997</v>
      </c>
      <c r="W114">
        <v>-116.68293</v>
      </c>
      <c r="X114" t="s">
        <v>21</v>
      </c>
      <c r="AA114" s="111"/>
      <c r="AB114" s="111"/>
      <c r="AC114" s="111"/>
      <c r="AD114" t="s">
        <v>363</v>
      </c>
      <c r="AE114" t="s">
        <v>157</v>
      </c>
      <c r="AF114" s="111" t="s">
        <v>352</v>
      </c>
      <c r="AH114">
        <v>1</v>
      </c>
    </row>
    <row r="115" spans="1:34" ht="15" x14ac:dyDescent="0.25">
      <c r="A115" t="s">
        <v>171</v>
      </c>
      <c r="B115" t="s">
        <v>710</v>
      </c>
      <c r="C115">
        <v>2012</v>
      </c>
      <c r="D115" s="18">
        <v>4086.7570041833897</v>
      </c>
      <c r="E115">
        <v>4800</v>
      </c>
      <c r="G115">
        <v>18216</v>
      </c>
      <c r="H115" t="s">
        <v>711</v>
      </c>
      <c r="I115">
        <v>34</v>
      </c>
      <c r="J115" s="1">
        <v>0.137598</v>
      </c>
      <c r="K115" s="1">
        <v>13.759311828000001</v>
      </c>
      <c r="L115" s="1">
        <v>3.3668044892112121</v>
      </c>
      <c r="M115" s="1">
        <v>29.700700621981351</v>
      </c>
      <c r="N115">
        <v>16</v>
      </c>
      <c r="O115" s="1">
        <v>6.4752000000000004E-2</v>
      </c>
      <c r="P115" s="1">
        <v>6.4749702720000002</v>
      </c>
      <c r="Q115" s="1">
        <v>1.5843785831582173</v>
      </c>
      <c r="R115" s="1">
        <v>63.113988821710372</v>
      </c>
      <c r="V115">
        <v>40.353589999999997</v>
      </c>
      <c r="W115">
        <v>-74.185940000000002</v>
      </c>
      <c r="X115" t="s">
        <v>21</v>
      </c>
      <c r="AA115" s="111"/>
      <c r="AB115" t="s">
        <v>399</v>
      </c>
      <c r="AD115" t="s">
        <v>24</v>
      </c>
      <c r="AE115" t="s">
        <v>611</v>
      </c>
      <c r="AF115" t="s">
        <v>380</v>
      </c>
      <c r="AH115">
        <v>1</v>
      </c>
    </row>
    <row r="116" spans="1:34" ht="15" x14ac:dyDescent="0.25">
      <c r="A116" t="s">
        <v>476</v>
      </c>
      <c r="B116" t="s">
        <v>626</v>
      </c>
      <c r="C116">
        <v>2012</v>
      </c>
      <c r="D116" s="18">
        <v>4257.0385460243642</v>
      </c>
      <c r="E116">
        <v>5000</v>
      </c>
      <c r="H116" t="s">
        <v>389</v>
      </c>
      <c r="I116">
        <v>40</v>
      </c>
      <c r="J116" s="1">
        <v>0.16188000000000002</v>
      </c>
      <c r="K116" s="1">
        <v>16.18742568</v>
      </c>
      <c r="L116" s="1">
        <v>3.8025085995797219</v>
      </c>
      <c r="M116" s="1">
        <v>26.297495342379314</v>
      </c>
      <c r="V116">
        <v>21.325299999999999</v>
      </c>
      <c r="W116">
        <v>-158.0873</v>
      </c>
      <c r="X116" t="s">
        <v>21</v>
      </c>
      <c r="Y116" t="s">
        <v>486</v>
      </c>
      <c r="AA116" s="111">
        <v>0.19</v>
      </c>
      <c r="AB116" t="s">
        <v>391</v>
      </c>
      <c r="AC116" t="s">
        <v>389</v>
      </c>
      <c r="AD116" t="s">
        <v>109</v>
      </c>
      <c r="AE116" t="s">
        <v>493</v>
      </c>
      <c r="AF116" t="s">
        <v>252</v>
      </c>
      <c r="AH116">
        <v>1</v>
      </c>
    </row>
    <row r="117" spans="1:34" ht="15" x14ac:dyDescent="0.25">
      <c r="A117" t="s">
        <v>171</v>
      </c>
      <c r="B117" t="s">
        <v>565</v>
      </c>
      <c r="C117">
        <v>2012</v>
      </c>
      <c r="D117" s="18">
        <v>4512.4608587858265</v>
      </c>
      <c r="E117" s="18">
        <v>5300</v>
      </c>
      <c r="G117">
        <v>16500</v>
      </c>
      <c r="H117" t="s">
        <v>564</v>
      </c>
      <c r="I117">
        <v>27</v>
      </c>
      <c r="J117" s="1">
        <v>0.10926900000000001</v>
      </c>
      <c r="K117" s="1">
        <v>10.926512334</v>
      </c>
      <c r="L117" s="1">
        <v>2.4214087780342566</v>
      </c>
      <c r="M117" s="1">
        <v>41.296807500625299</v>
      </c>
      <c r="N117" t="s">
        <v>598</v>
      </c>
      <c r="O117" s="1"/>
      <c r="P117" s="1"/>
      <c r="Q117" s="1"/>
      <c r="R117" s="1"/>
      <c r="V117">
        <v>40.336129999999997</v>
      </c>
      <c r="W117">
        <v>-74.642099999999999</v>
      </c>
      <c r="X117" t="s">
        <v>21</v>
      </c>
      <c r="Y117" t="s">
        <v>486</v>
      </c>
      <c r="AA117" s="111">
        <v>0.19</v>
      </c>
      <c r="AB117" t="s">
        <v>391</v>
      </c>
      <c r="AC117" t="s">
        <v>389</v>
      </c>
      <c r="AD117" t="s">
        <v>29</v>
      </c>
      <c r="AE117" t="s">
        <v>157</v>
      </c>
      <c r="AF117" s="111" t="s">
        <v>385</v>
      </c>
      <c r="AH117">
        <v>1</v>
      </c>
    </row>
    <row r="118" spans="1:34" ht="15" x14ac:dyDescent="0.25">
      <c r="A118" t="s">
        <v>171</v>
      </c>
      <c r="B118" t="s">
        <v>618</v>
      </c>
      <c r="C118">
        <v>2012</v>
      </c>
      <c r="D118" s="18">
        <v>5193.5870261497248</v>
      </c>
      <c r="E118">
        <v>6100</v>
      </c>
      <c r="G118">
        <v>24000</v>
      </c>
      <c r="H118" t="s">
        <v>619</v>
      </c>
      <c r="I118">
        <v>30</v>
      </c>
      <c r="J118" s="1">
        <v>0.12141</v>
      </c>
      <c r="K118" s="1">
        <v>12.140569259999999</v>
      </c>
      <c r="L118" s="1">
        <v>2.3376077456432713</v>
      </c>
      <c r="M118" s="1">
        <v>42.777259090270363</v>
      </c>
      <c r="V118">
        <v>40.300800000000002</v>
      </c>
      <c r="W118">
        <v>-74.719300000000004</v>
      </c>
      <c r="X118" t="s">
        <v>21</v>
      </c>
      <c r="AA118" s="111">
        <v>0.14610000000000001</v>
      </c>
      <c r="AC118" t="s">
        <v>620</v>
      </c>
      <c r="AD118" t="s">
        <v>29</v>
      </c>
      <c r="AE118" t="s">
        <v>611</v>
      </c>
      <c r="AF118" t="s">
        <v>380</v>
      </c>
      <c r="AH118">
        <v>1</v>
      </c>
    </row>
    <row r="119" spans="1:34" ht="15" x14ac:dyDescent="0.25">
      <c r="A119" t="s">
        <v>196</v>
      </c>
      <c r="B119" t="s">
        <v>622</v>
      </c>
      <c r="C119">
        <v>2012</v>
      </c>
      <c r="D119" s="18">
        <v>8343.7955502077548</v>
      </c>
      <c r="E119">
        <v>9800</v>
      </c>
      <c r="F119">
        <v>21.6</v>
      </c>
      <c r="G119">
        <v>24000</v>
      </c>
      <c r="H119" t="s">
        <v>623</v>
      </c>
      <c r="I119">
        <v>60</v>
      </c>
      <c r="J119" s="1">
        <v>0.24282000000000001</v>
      </c>
      <c r="K119" s="1">
        <v>24.281138519999999</v>
      </c>
      <c r="L119" s="1">
        <v>2.9100831119232557</v>
      </c>
      <c r="M119" s="1">
        <v>34.362060580708977</v>
      </c>
      <c r="V119">
        <v>41.395600000000002</v>
      </c>
      <c r="W119">
        <v>-84.108149999999995</v>
      </c>
      <c r="X119" t="s">
        <v>21</v>
      </c>
      <c r="Y119" t="s">
        <v>426</v>
      </c>
      <c r="AA119" s="111">
        <v>0.185</v>
      </c>
      <c r="AB119" t="s">
        <v>391</v>
      </c>
      <c r="AC119" t="s">
        <v>624</v>
      </c>
      <c r="AD119" t="s">
        <v>109</v>
      </c>
      <c r="AE119" t="s">
        <v>611</v>
      </c>
      <c r="AF119" t="s">
        <v>380</v>
      </c>
      <c r="AH119">
        <v>1</v>
      </c>
    </row>
    <row r="120" spans="1:34" ht="15" x14ac:dyDescent="0.25">
      <c r="A120" t="s">
        <v>35</v>
      </c>
      <c r="B120" t="s">
        <v>592</v>
      </c>
      <c r="C120">
        <v>2012</v>
      </c>
      <c r="D120" s="18">
        <v>8514.0770920487284</v>
      </c>
      <c r="E120" s="18">
        <v>10000</v>
      </c>
      <c r="G120">
        <v>40000</v>
      </c>
      <c r="H120" t="s">
        <v>593</v>
      </c>
      <c r="I120">
        <v>60</v>
      </c>
      <c r="J120" s="1">
        <v>0.24282000000000001</v>
      </c>
      <c r="K120" s="1">
        <v>24.281138519999999</v>
      </c>
      <c r="L120" s="1">
        <v>2.8518814496847913</v>
      </c>
      <c r="M120" s="1">
        <v>35.063327123172421</v>
      </c>
      <c r="N120" t="s">
        <v>598</v>
      </c>
      <c r="O120" s="1"/>
      <c r="P120" s="1"/>
      <c r="Q120" s="1"/>
      <c r="R120" s="1"/>
      <c r="V120">
        <v>35.177590000000002</v>
      </c>
      <c r="W120">
        <v>-113.97976</v>
      </c>
      <c r="X120" t="s">
        <v>21</v>
      </c>
      <c r="AA120" s="111">
        <v>0.14299999999999999</v>
      </c>
      <c r="AB120" t="s">
        <v>399</v>
      </c>
      <c r="AC120" t="s">
        <v>593</v>
      </c>
      <c r="AD120" t="s">
        <v>109</v>
      </c>
      <c r="AH120">
        <v>1</v>
      </c>
    </row>
    <row r="121" spans="1:34" ht="15" x14ac:dyDescent="0.25">
      <c r="A121" t="s">
        <v>26</v>
      </c>
      <c r="B121" t="s">
        <v>704</v>
      </c>
      <c r="C121">
        <v>2012</v>
      </c>
      <c r="D121" s="18">
        <v>11732.398232843148</v>
      </c>
      <c r="E121">
        <v>13780</v>
      </c>
      <c r="G121">
        <v>31680</v>
      </c>
      <c r="H121" t="s">
        <v>389</v>
      </c>
      <c r="I121">
        <v>118</v>
      </c>
      <c r="J121" s="1">
        <v>0.47754600000000003</v>
      </c>
      <c r="K121" s="1">
        <v>47.752905756000004</v>
      </c>
      <c r="L121" s="1">
        <v>4.070174299259862</v>
      </c>
      <c r="M121" s="1">
        <v>24.568100733422849</v>
      </c>
      <c r="V121">
        <v>35.684399999999997</v>
      </c>
      <c r="W121">
        <v>-117.6878</v>
      </c>
      <c r="X121" t="s">
        <v>21</v>
      </c>
      <c r="Y121" t="s">
        <v>776</v>
      </c>
      <c r="AA121" s="111">
        <v>0.20100000000000001</v>
      </c>
      <c r="AB121" t="s">
        <v>705</v>
      </c>
      <c r="AC121" t="s">
        <v>706</v>
      </c>
      <c r="AD121" t="s">
        <v>342</v>
      </c>
      <c r="AE121" t="s">
        <v>611</v>
      </c>
      <c r="AF121" t="s">
        <v>380</v>
      </c>
      <c r="AH121">
        <v>1</v>
      </c>
    </row>
    <row r="122" spans="1:34" ht="15" x14ac:dyDescent="0.25">
      <c r="A122" t="s">
        <v>35</v>
      </c>
      <c r="B122" t="s">
        <v>638</v>
      </c>
      <c r="C122">
        <v>2012</v>
      </c>
      <c r="D122">
        <v>14000</v>
      </c>
      <c r="E122">
        <v>15000</v>
      </c>
      <c r="F122">
        <v>68</v>
      </c>
      <c r="G122">
        <v>52000</v>
      </c>
      <c r="H122" t="s">
        <v>389</v>
      </c>
      <c r="I122">
        <v>100</v>
      </c>
      <c r="J122" s="1">
        <v>0.4047</v>
      </c>
      <c r="K122" s="1">
        <v>40.468564200000003</v>
      </c>
      <c r="L122" s="1">
        <v>2.8906117285714288</v>
      </c>
      <c r="M122" s="1">
        <v>34.59352606869286</v>
      </c>
      <c r="V122">
        <v>33.517000000000003</v>
      </c>
      <c r="W122">
        <v>-112.36750000000001</v>
      </c>
      <c r="X122" t="s">
        <v>21</v>
      </c>
      <c r="AA122" s="111">
        <v>0.185</v>
      </c>
      <c r="AB122" t="s">
        <v>391</v>
      </c>
      <c r="AC122" t="s">
        <v>389</v>
      </c>
      <c r="AD122" t="s">
        <v>60</v>
      </c>
      <c r="AE122" t="s">
        <v>645</v>
      </c>
      <c r="AF122" t="s">
        <v>380</v>
      </c>
      <c r="AH122">
        <v>1</v>
      </c>
    </row>
    <row r="123" spans="1:34" ht="15" x14ac:dyDescent="0.25">
      <c r="A123" t="s">
        <v>107</v>
      </c>
      <c r="B123" t="s">
        <v>654</v>
      </c>
      <c r="C123">
        <v>2012</v>
      </c>
      <c r="D123">
        <v>17500</v>
      </c>
      <c r="E123">
        <v>20000</v>
      </c>
      <c r="H123" t="s">
        <v>655</v>
      </c>
      <c r="I123">
        <v>212</v>
      </c>
      <c r="J123" s="1">
        <v>0.85796400000000006</v>
      </c>
      <c r="K123" s="1">
        <v>85.793356103999997</v>
      </c>
      <c r="L123" s="1">
        <v>4.9024774916571427</v>
      </c>
      <c r="M123" s="1">
        <v>20.397126219748145</v>
      </c>
      <c r="V123">
        <v>35.484279999999998</v>
      </c>
      <c r="W123">
        <v>-114.93731</v>
      </c>
      <c r="X123" t="s">
        <v>21</v>
      </c>
      <c r="AA123" s="111"/>
      <c r="AD123" t="s">
        <v>29</v>
      </c>
      <c r="AE123" t="s">
        <v>611</v>
      </c>
      <c r="AF123" t="s">
        <v>380</v>
      </c>
      <c r="AH123">
        <v>1</v>
      </c>
    </row>
    <row r="124" spans="1:34" ht="15" x14ac:dyDescent="0.25">
      <c r="A124" t="s">
        <v>196</v>
      </c>
      <c r="B124" t="s">
        <v>547</v>
      </c>
      <c r="C124">
        <v>2012</v>
      </c>
      <c r="D124" s="18">
        <v>936.54848012536013</v>
      </c>
      <c r="E124" s="18">
        <v>1100</v>
      </c>
      <c r="F124">
        <v>5</v>
      </c>
      <c r="G124">
        <v>9120</v>
      </c>
      <c r="H124" t="s">
        <v>548</v>
      </c>
      <c r="I124">
        <v>9.75</v>
      </c>
      <c r="J124" s="1">
        <v>3.945825E-2</v>
      </c>
      <c r="K124" s="1">
        <v>3.9456850095</v>
      </c>
      <c r="L124" s="1">
        <v>4.2130066870343503</v>
      </c>
      <c r="M124" s="1">
        <v>23.735175283378258</v>
      </c>
      <c r="N124">
        <v>7.18</v>
      </c>
      <c r="O124" s="1">
        <v>2.905746E-2</v>
      </c>
      <c r="P124" s="1">
        <v>2.9057459999999997</v>
      </c>
      <c r="Q124" s="1">
        <v>3.1026114095140658</v>
      </c>
      <c r="R124" s="1">
        <v>32.230913511551257</v>
      </c>
      <c r="V124">
        <v>39.600969999999997</v>
      </c>
      <c r="W124">
        <v>-84.205460000000002</v>
      </c>
      <c r="X124" t="s">
        <v>91</v>
      </c>
      <c r="AA124" s="111">
        <v>8.5000000000000006E-2</v>
      </c>
      <c r="AB124" s="227" t="s">
        <v>216</v>
      </c>
      <c r="AC124" t="s">
        <v>549</v>
      </c>
      <c r="AD124" t="s">
        <v>60</v>
      </c>
      <c r="AE124" t="s">
        <v>506</v>
      </c>
      <c r="AF124" s="111" t="s">
        <v>385</v>
      </c>
      <c r="AH124">
        <v>1</v>
      </c>
    </row>
    <row r="125" spans="1:34" ht="15" x14ac:dyDescent="0.25">
      <c r="A125" t="s">
        <v>171</v>
      </c>
      <c r="B125" t="s">
        <v>437</v>
      </c>
      <c r="C125">
        <v>2012</v>
      </c>
      <c r="D125" s="18">
        <v>1106.8300219663347</v>
      </c>
      <c r="E125" s="18">
        <v>1300</v>
      </c>
      <c r="G125">
        <v>5496</v>
      </c>
      <c r="H125" t="s">
        <v>438</v>
      </c>
      <c r="I125">
        <v>5.5</v>
      </c>
      <c r="J125" s="1">
        <v>2.2258500000000001E-2</v>
      </c>
      <c r="K125" s="1">
        <v>2.2257710309999998</v>
      </c>
      <c r="L125" s="1">
        <v>2.0109420478546602</v>
      </c>
      <c r="M125" s="1">
        <v>49.72617301104453</v>
      </c>
      <c r="N125">
        <v>4.5</v>
      </c>
      <c r="O125" s="1">
        <v>1.8211500000000002E-2</v>
      </c>
      <c r="P125" s="1">
        <v>1.82115</v>
      </c>
      <c r="Q125" s="1">
        <v>1.6453745957890109</v>
      </c>
      <c r="R125" s="1">
        <v>60.776433680165532</v>
      </c>
      <c r="V125">
        <v>40.168640000000003</v>
      </c>
      <c r="W125">
        <v>-74.753636999999998</v>
      </c>
      <c r="X125" t="s">
        <v>91</v>
      </c>
      <c r="Z125" t="s">
        <v>95</v>
      </c>
      <c r="AA125" s="111"/>
      <c r="AD125" t="s">
        <v>29</v>
      </c>
      <c r="AE125" t="s">
        <v>157</v>
      </c>
      <c r="AF125" s="111" t="s">
        <v>444</v>
      </c>
      <c r="AH125">
        <v>1</v>
      </c>
    </row>
    <row r="126" spans="1:34" ht="15" x14ac:dyDescent="0.25">
      <c r="A126" t="s">
        <v>491</v>
      </c>
      <c r="B126" t="s">
        <v>588</v>
      </c>
      <c r="C126">
        <v>2012</v>
      </c>
      <c r="D126" s="18">
        <v>3831.3346914219278</v>
      </c>
      <c r="E126" s="18">
        <v>4500</v>
      </c>
      <c r="F126">
        <v>19</v>
      </c>
      <c r="G126">
        <v>18400</v>
      </c>
      <c r="H126" t="s">
        <v>574</v>
      </c>
      <c r="I126">
        <v>19</v>
      </c>
      <c r="J126" s="1">
        <v>7.6893000000000003E-2</v>
      </c>
      <c r="K126" s="1">
        <v>7.6890271979999998</v>
      </c>
      <c r="L126" s="1">
        <v>2.0068795386670755</v>
      </c>
      <c r="M126" s="1">
        <v>49.826833280297656</v>
      </c>
      <c r="N126" t="s">
        <v>598</v>
      </c>
      <c r="O126" s="1"/>
      <c r="P126" s="1"/>
      <c r="Q126" s="1"/>
      <c r="R126" s="1"/>
      <c r="V126">
        <v>42.189540000000001</v>
      </c>
      <c r="W126">
        <v>-72.683090000000007</v>
      </c>
      <c r="X126" t="s">
        <v>91</v>
      </c>
      <c r="Z126" t="s">
        <v>96</v>
      </c>
      <c r="AA126" s="111">
        <v>0.14499999999999999</v>
      </c>
      <c r="AB126" t="s">
        <v>399</v>
      </c>
      <c r="AC126" t="s">
        <v>525</v>
      </c>
      <c r="AD126" t="s">
        <v>109</v>
      </c>
      <c r="AE126" t="s">
        <v>157</v>
      </c>
      <c r="AF126" s="111" t="s">
        <v>380</v>
      </c>
      <c r="AH126">
        <v>1</v>
      </c>
    </row>
    <row r="127" spans="1:34" ht="15" x14ac:dyDescent="0.25">
      <c r="A127" t="s">
        <v>584</v>
      </c>
      <c r="B127" t="s">
        <v>585</v>
      </c>
      <c r="C127">
        <v>2012</v>
      </c>
      <c r="D127" s="18">
        <v>4257.0385460243642</v>
      </c>
      <c r="E127" s="18">
        <v>5000</v>
      </c>
      <c r="F127">
        <v>31</v>
      </c>
      <c r="G127">
        <v>21300</v>
      </c>
      <c r="H127" t="s">
        <v>586</v>
      </c>
      <c r="I127">
        <v>25</v>
      </c>
      <c r="J127" s="1">
        <v>0.101175</v>
      </c>
      <c r="K127" s="1">
        <v>10.117141050000001</v>
      </c>
      <c r="L127" s="1">
        <v>2.3765678747373262</v>
      </c>
      <c r="M127" s="1">
        <v>42.075992547806912</v>
      </c>
      <c r="N127">
        <v>22.9</v>
      </c>
      <c r="O127" s="1">
        <v>9.2676300000000003E-2</v>
      </c>
      <c r="P127" s="1">
        <v>9.2676299999999987</v>
      </c>
      <c r="Q127" s="1">
        <v>2.1770134096283935</v>
      </c>
      <c r="R127" s="1">
        <v>45.934489681011911</v>
      </c>
      <c r="V127">
        <v>35.409700000000001</v>
      </c>
      <c r="W127">
        <v>-89.38964</v>
      </c>
      <c r="X127" t="s">
        <v>91</v>
      </c>
      <c r="Z127" t="s">
        <v>95</v>
      </c>
      <c r="AA127" s="111"/>
      <c r="AD127" t="s">
        <v>109</v>
      </c>
      <c r="AE127" t="s">
        <v>427</v>
      </c>
      <c r="AF127" s="111" t="s">
        <v>444</v>
      </c>
      <c r="AG127">
        <v>1</v>
      </c>
      <c r="AH127">
        <v>1</v>
      </c>
    </row>
    <row r="128" spans="1:34" ht="15" x14ac:dyDescent="0.25">
      <c r="A128" t="s">
        <v>573</v>
      </c>
      <c r="B128" t="s">
        <v>572</v>
      </c>
      <c r="C128">
        <v>2012</v>
      </c>
      <c r="D128" s="18">
        <v>14814.494140164788</v>
      </c>
      <c r="E128" s="18">
        <v>17400</v>
      </c>
      <c r="F128">
        <v>60</v>
      </c>
      <c r="G128">
        <v>220000</v>
      </c>
      <c r="H128" t="s">
        <v>574</v>
      </c>
      <c r="I128">
        <v>135</v>
      </c>
      <c r="J128" s="1">
        <v>0.54634500000000008</v>
      </c>
      <c r="K128" s="1">
        <v>54.632561670000001</v>
      </c>
      <c r="L128" s="1">
        <v>3.687777736661368</v>
      </c>
      <c r="M128" s="1">
        <v>27.115639641920005</v>
      </c>
      <c r="N128">
        <v>90</v>
      </c>
      <c r="O128" s="1">
        <v>0.36423</v>
      </c>
      <c r="P128" s="1">
        <v>36.423000000000002</v>
      </c>
      <c r="Q128" s="1">
        <v>2.4586057178456486</v>
      </c>
      <c r="R128" s="1">
        <v>40.673459462880018</v>
      </c>
      <c r="V128">
        <v>39.677639999999997</v>
      </c>
      <c r="W128">
        <v>-77.341440000000006</v>
      </c>
      <c r="X128" t="s">
        <v>91</v>
      </c>
      <c r="Y128" t="s">
        <v>575</v>
      </c>
      <c r="AA128" s="111">
        <v>0.107</v>
      </c>
      <c r="AB128" t="s">
        <v>366</v>
      </c>
      <c r="AC128" t="s">
        <v>102</v>
      </c>
      <c r="AD128" t="s">
        <v>342</v>
      </c>
      <c r="AE128" t="s">
        <v>157</v>
      </c>
      <c r="AF128" s="111" t="s">
        <v>385</v>
      </c>
      <c r="AH128">
        <v>1</v>
      </c>
    </row>
    <row r="129" spans="1:34" ht="15" x14ac:dyDescent="0.25">
      <c r="A129" t="s">
        <v>47</v>
      </c>
      <c r="B129" t="s">
        <v>561</v>
      </c>
      <c r="C129">
        <v>2012</v>
      </c>
      <c r="D129" s="18">
        <v>4257.0385460243642</v>
      </c>
      <c r="E129" s="18">
        <v>5000</v>
      </c>
      <c r="F129">
        <v>22</v>
      </c>
      <c r="G129">
        <v>22000</v>
      </c>
      <c r="H129" t="s">
        <v>562</v>
      </c>
      <c r="I129">
        <v>28</v>
      </c>
      <c r="J129" s="1">
        <v>0.113316</v>
      </c>
      <c r="K129" s="1">
        <v>11.331197976</v>
      </c>
      <c r="L129" s="1">
        <v>2.6617560197058054</v>
      </c>
      <c r="M129" s="1">
        <v>37.567850489113312</v>
      </c>
      <c r="N129" t="s">
        <v>598</v>
      </c>
      <c r="O129" s="1"/>
      <c r="P129" s="1"/>
      <c r="Q129" s="1"/>
      <c r="R129" s="1"/>
      <c r="V129">
        <v>35.199890000000003</v>
      </c>
      <c r="W129">
        <v>-81.409350000000003</v>
      </c>
      <c r="X129" t="s">
        <v>203</v>
      </c>
      <c r="AA129" s="111"/>
      <c r="AC129" t="s">
        <v>563</v>
      </c>
      <c r="AD129" t="s">
        <v>29</v>
      </c>
      <c r="AE129" t="s">
        <v>157</v>
      </c>
      <c r="AF129" s="111" t="s">
        <v>380</v>
      </c>
      <c r="AH129">
        <v>1</v>
      </c>
    </row>
    <row r="130" spans="1:34" ht="15" x14ac:dyDescent="0.25">
      <c r="A130" t="s">
        <v>107</v>
      </c>
      <c r="B130" t="s">
        <v>384</v>
      </c>
      <c r="C130">
        <v>2012</v>
      </c>
      <c r="D130" s="18">
        <v>4257.0385460243642</v>
      </c>
      <c r="E130" s="18">
        <v>5000</v>
      </c>
      <c r="G130">
        <v>78000</v>
      </c>
      <c r="H130" t="s">
        <v>428</v>
      </c>
      <c r="I130">
        <v>50</v>
      </c>
      <c r="J130" s="1">
        <v>0.20235</v>
      </c>
      <c r="K130" s="1">
        <v>20.234282100000001</v>
      </c>
      <c r="L130" s="1">
        <v>4.7531357494746524</v>
      </c>
      <c r="M130" s="1">
        <v>21.037996273903456</v>
      </c>
      <c r="N130" t="s">
        <v>598</v>
      </c>
      <c r="O130" s="1"/>
      <c r="P130" s="1"/>
      <c r="Q130" s="1"/>
      <c r="R130" s="1"/>
      <c r="S130" s="1"/>
      <c r="T130" s="1"/>
      <c r="U130" s="1"/>
      <c r="X130" t="s">
        <v>203</v>
      </c>
      <c r="AA130" s="111">
        <v>0.107</v>
      </c>
      <c r="AB130" s="111" t="s">
        <v>366</v>
      </c>
      <c r="AC130" s="111" t="s">
        <v>146</v>
      </c>
      <c r="AD130" t="s">
        <v>29</v>
      </c>
      <c r="AE130" t="s">
        <v>157</v>
      </c>
      <c r="AF130" s="111" t="s">
        <v>385</v>
      </c>
      <c r="AH130">
        <v>1</v>
      </c>
    </row>
    <row r="131" spans="1:34" ht="15" x14ac:dyDescent="0.25">
      <c r="A131" t="s">
        <v>148</v>
      </c>
      <c r="B131" t="s">
        <v>609</v>
      </c>
      <c r="C131">
        <v>2012</v>
      </c>
      <c r="D131" s="18">
        <v>6811.2616736389828</v>
      </c>
      <c r="E131">
        <v>8000</v>
      </c>
      <c r="H131" t="s">
        <v>567</v>
      </c>
      <c r="I131">
        <v>24</v>
      </c>
      <c r="J131" s="1">
        <v>9.7128000000000006E-2</v>
      </c>
      <c r="K131" s="1">
        <v>9.7124554080000003</v>
      </c>
      <c r="L131" s="1">
        <v>1.4259407248423956</v>
      </c>
      <c r="M131" s="1">
        <v>70.126654246344842</v>
      </c>
      <c r="O131" s="1"/>
      <c r="P131" s="1"/>
      <c r="Q131" s="1"/>
      <c r="R131" s="1"/>
      <c r="V131">
        <v>28.768840000000001</v>
      </c>
      <c r="W131">
        <v>-81.348789999999994</v>
      </c>
      <c r="X131" t="s">
        <v>203</v>
      </c>
      <c r="AA131" s="111">
        <v>0.158</v>
      </c>
      <c r="AB131" t="s">
        <v>391</v>
      </c>
      <c r="AC131" t="s">
        <v>610</v>
      </c>
      <c r="AD131" t="s">
        <v>109</v>
      </c>
      <c r="AE131" t="s">
        <v>611</v>
      </c>
      <c r="AF131" t="s">
        <v>252</v>
      </c>
      <c r="AH131">
        <v>1</v>
      </c>
    </row>
    <row r="132" spans="1:34" ht="15" x14ac:dyDescent="0.25">
      <c r="A132" t="s">
        <v>171</v>
      </c>
      <c r="B132" t="s">
        <v>670</v>
      </c>
      <c r="C132">
        <v>2012</v>
      </c>
      <c r="D132" s="18">
        <v>16925.985258992871</v>
      </c>
      <c r="E132">
        <v>19880</v>
      </c>
      <c r="F132">
        <v>80</v>
      </c>
      <c r="G132">
        <v>85000</v>
      </c>
      <c r="H132" t="s">
        <v>671</v>
      </c>
      <c r="I132">
        <v>95</v>
      </c>
      <c r="J132" s="1">
        <v>0.384465</v>
      </c>
      <c r="K132" s="1">
        <v>38.445135990000004</v>
      </c>
      <c r="L132" s="1">
        <v>2.2713676871231994</v>
      </c>
      <c r="M132" s="1">
        <v>44.024775360547437</v>
      </c>
      <c r="V132">
        <v>40.26643</v>
      </c>
      <c r="W132">
        <v>-74.084199999999996</v>
      </c>
      <c r="X132" t="s">
        <v>203</v>
      </c>
      <c r="AA132" s="111"/>
      <c r="AD132" t="s">
        <v>109</v>
      </c>
      <c r="AE132" t="s">
        <v>645</v>
      </c>
      <c r="AF132" t="s">
        <v>380</v>
      </c>
      <c r="AH132">
        <v>1</v>
      </c>
    </row>
    <row r="133" spans="1:34" ht="15" x14ac:dyDescent="0.25">
      <c r="A133" t="s">
        <v>180</v>
      </c>
      <c r="B133" t="s">
        <v>615</v>
      </c>
      <c r="C133">
        <v>2012</v>
      </c>
      <c r="D133" s="18">
        <v>19582.377311712076</v>
      </c>
      <c r="E133">
        <v>23000</v>
      </c>
      <c r="H133" t="s">
        <v>616</v>
      </c>
      <c r="I133">
        <v>160</v>
      </c>
      <c r="J133" s="1">
        <v>0.6475200000000001</v>
      </c>
      <c r="K133" s="1">
        <v>64.749702720000002</v>
      </c>
      <c r="L133" s="1">
        <v>3.3065292170258451</v>
      </c>
      <c r="M133" s="1">
        <v>30.242119643736213</v>
      </c>
      <c r="V133">
        <v>41.150500000000001</v>
      </c>
      <c r="W133">
        <v>-88.758799999999994</v>
      </c>
      <c r="X133" t="s">
        <v>203</v>
      </c>
      <c r="AA133" s="111">
        <v>0.12</v>
      </c>
      <c r="AB133" t="s">
        <v>366</v>
      </c>
      <c r="AC133" t="s">
        <v>617</v>
      </c>
      <c r="AD133" t="s">
        <v>109</v>
      </c>
      <c r="AE133" t="s">
        <v>611</v>
      </c>
      <c r="AF133" t="s">
        <v>380</v>
      </c>
      <c r="AH133">
        <v>1</v>
      </c>
    </row>
    <row r="134" spans="1:34" ht="15" x14ac:dyDescent="0.25">
      <c r="A134" t="s">
        <v>35</v>
      </c>
      <c r="B134" t="s">
        <v>634</v>
      </c>
      <c r="C134">
        <v>2012</v>
      </c>
      <c r="D134">
        <v>20000</v>
      </c>
      <c r="E134" s="18">
        <v>23490.50846471421</v>
      </c>
      <c r="H134" t="s">
        <v>8</v>
      </c>
      <c r="I134">
        <v>160</v>
      </c>
      <c r="J134" s="1">
        <v>0.6475200000000001</v>
      </c>
      <c r="K134" s="1">
        <v>64.751999999999995</v>
      </c>
      <c r="L134" s="1">
        <v>3.2375999999999996</v>
      </c>
      <c r="M134" s="1">
        <v>30.88707684704719</v>
      </c>
      <c r="N134">
        <v>140</v>
      </c>
      <c r="O134" s="1">
        <v>0.56658000000000008</v>
      </c>
      <c r="P134" s="1">
        <v>56.658000000000001</v>
      </c>
      <c r="Q134" s="1">
        <v>2.8329</v>
      </c>
      <c r="R134" s="1">
        <v>35.299516396625364</v>
      </c>
      <c r="V134">
        <v>34.72484</v>
      </c>
      <c r="W134">
        <v>-112.43303</v>
      </c>
      <c r="X134" t="s">
        <v>21</v>
      </c>
      <c r="AA134" s="111">
        <v>0.14000000000000001</v>
      </c>
      <c r="AB134" t="s">
        <v>399</v>
      </c>
      <c r="AC134" t="s">
        <v>640</v>
      </c>
      <c r="AD134" t="s">
        <v>417</v>
      </c>
      <c r="AE134" t="s">
        <v>641</v>
      </c>
      <c r="AF134" t="s">
        <v>647</v>
      </c>
      <c r="AH134">
        <v>1</v>
      </c>
    </row>
    <row r="135" spans="1:34" ht="15" x14ac:dyDescent="0.25">
      <c r="A135" t="s">
        <v>35</v>
      </c>
      <c r="B135" t="s">
        <v>667</v>
      </c>
      <c r="C135">
        <v>2012</v>
      </c>
      <c r="D135" s="18">
        <v>21285.19273012182</v>
      </c>
      <c r="E135">
        <v>25000</v>
      </c>
      <c r="H135" t="s">
        <v>8</v>
      </c>
      <c r="I135">
        <v>199</v>
      </c>
      <c r="J135" s="1">
        <v>0.8053530000000001</v>
      </c>
      <c r="K135" s="1">
        <v>80.535300000000007</v>
      </c>
      <c r="L135" s="1">
        <v>3.7836302927165968</v>
      </c>
      <c r="M135" s="1">
        <v>26.429643560180217</v>
      </c>
      <c r="V135">
        <v>32.369999999999997</v>
      </c>
      <c r="W135">
        <v>-111.24250000000001</v>
      </c>
      <c r="X135" t="s">
        <v>21</v>
      </c>
      <c r="AA135" s="111"/>
      <c r="AD135" t="s">
        <v>109</v>
      </c>
      <c r="AE135" t="s">
        <v>475</v>
      </c>
      <c r="AF135" t="s">
        <v>252</v>
      </c>
      <c r="AH135">
        <v>1</v>
      </c>
    </row>
    <row r="136" spans="1:34" ht="15" x14ac:dyDescent="0.25">
      <c r="A136" t="s">
        <v>26</v>
      </c>
      <c r="B136" t="s">
        <v>621</v>
      </c>
      <c r="C136">
        <v>2012</v>
      </c>
      <c r="D136">
        <v>25000</v>
      </c>
      <c r="E136" s="18">
        <v>29363.135580892762</v>
      </c>
      <c r="F136">
        <v>150</v>
      </c>
      <c r="H136" t="s">
        <v>389</v>
      </c>
      <c r="I136">
        <v>154</v>
      </c>
      <c r="J136" s="1">
        <v>0.62323800000000007</v>
      </c>
      <c r="K136" s="1">
        <v>62.323799999999999</v>
      </c>
      <c r="L136" s="1">
        <v>2.4929519999999998</v>
      </c>
      <c r="M136" s="1">
        <v>40.113086814347</v>
      </c>
      <c r="V136">
        <v>37.736260000000001</v>
      </c>
      <c r="W136">
        <v>-120.99099</v>
      </c>
      <c r="X136" t="s">
        <v>21</v>
      </c>
      <c r="Y136" t="s">
        <v>426</v>
      </c>
      <c r="Z136" t="s">
        <v>94</v>
      </c>
      <c r="AA136" s="111">
        <v>0.185</v>
      </c>
      <c r="AB136" t="s">
        <v>391</v>
      </c>
      <c r="AC136" t="s">
        <v>625</v>
      </c>
      <c r="AD136" t="s">
        <v>109</v>
      </c>
      <c r="AE136" t="s">
        <v>475</v>
      </c>
      <c r="AF136" t="s">
        <v>252</v>
      </c>
      <c r="AH136">
        <v>1</v>
      </c>
    </row>
    <row r="137" spans="1:34" ht="15" x14ac:dyDescent="0.25">
      <c r="A137" t="s">
        <v>35</v>
      </c>
      <c r="B137" t="s">
        <v>668</v>
      </c>
      <c r="C137">
        <v>2012</v>
      </c>
      <c r="D137">
        <v>26000</v>
      </c>
      <c r="E137" s="18">
        <v>30537.661004128473</v>
      </c>
      <c r="H137" t="s">
        <v>659</v>
      </c>
      <c r="I137">
        <v>300</v>
      </c>
      <c r="J137" s="1">
        <v>1.2141000000000002</v>
      </c>
      <c r="K137" s="1">
        <v>121.41</v>
      </c>
      <c r="L137" s="1">
        <v>4.6696153846153843</v>
      </c>
      <c r="M137" s="1">
        <v>21.415039947286051</v>
      </c>
      <c r="V137">
        <v>32.371899999999997</v>
      </c>
      <c r="W137">
        <v>-111.2818</v>
      </c>
      <c r="X137" t="s">
        <v>21</v>
      </c>
      <c r="AA137" s="111">
        <v>0.107</v>
      </c>
      <c r="AB137" t="s">
        <v>366</v>
      </c>
      <c r="AC137" t="s">
        <v>146</v>
      </c>
      <c r="AD137" t="s">
        <v>109</v>
      </c>
      <c r="AE137" t="s">
        <v>669</v>
      </c>
      <c r="AF137" t="s">
        <v>385</v>
      </c>
      <c r="AH137">
        <v>1</v>
      </c>
    </row>
    <row r="138" spans="1:34" ht="15" x14ac:dyDescent="0.25">
      <c r="A138" t="s">
        <v>3</v>
      </c>
      <c r="B138" t="s">
        <v>392</v>
      </c>
      <c r="C138">
        <v>2012</v>
      </c>
      <c r="D138" s="18">
        <v>30000</v>
      </c>
      <c r="E138" s="18">
        <v>35200</v>
      </c>
      <c r="G138">
        <v>110000</v>
      </c>
      <c r="H138" t="s">
        <v>403</v>
      </c>
      <c r="I138">
        <v>220</v>
      </c>
      <c r="J138" s="1">
        <v>0.89034000000000002</v>
      </c>
      <c r="K138" s="1">
        <v>89.034000000000006</v>
      </c>
      <c r="L138" s="1">
        <v>2.9678</v>
      </c>
      <c r="M138" s="1">
        <v>33.694992924051483</v>
      </c>
      <c r="N138" t="s">
        <v>598</v>
      </c>
      <c r="O138" s="1"/>
      <c r="P138" s="1"/>
      <c r="Q138" s="1"/>
      <c r="R138" s="1"/>
      <c r="S138" s="1"/>
      <c r="T138" s="1"/>
      <c r="U138" s="1"/>
      <c r="X138" t="s">
        <v>21</v>
      </c>
      <c r="Z138" t="s">
        <v>94</v>
      </c>
      <c r="AA138" s="111">
        <v>0.19600000000000001</v>
      </c>
      <c r="AB138" t="s">
        <v>391</v>
      </c>
      <c r="AC138" t="s">
        <v>393</v>
      </c>
      <c r="AD138" t="s">
        <v>60</v>
      </c>
      <c r="AE138" t="s">
        <v>394</v>
      </c>
      <c r="AF138" s="111" t="s">
        <v>7</v>
      </c>
      <c r="AH138">
        <v>1</v>
      </c>
    </row>
    <row r="139" spans="1:34" ht="15" x14ac:dyDescent="0.25">
      <c r="A139" t="s">
        <v>3</v>
      </c>
      <c r="B139" t="s">
        <v>661</v>
      </c>
      <c r="C139">
        <v>2012</v>
      </c>
      <c r="D139">
        <v>30720</v>
      </c>
      <c r="E139" s="18">
        <v>36081.421001801027</v>
      </c>
      <c r="F139">
        <v>140</v>
      </c>
      <c r="H139" t="s">
        <v>663</v>
      </c>
      <c r="I139">
        <v>225</v>
      </c>
      <c r="J139" s="1">
        <v>0.91057500000000002</v>
      </c>
      <c r="K139" s="1">
        <v>91.057500000000005</v>
      </c>
      <c r="L139" s="1">
        <v>2.9641113281250004</v>
      </c>
      <c r="M139" s="1">
        <v>33.736924470801412</v>
      </c>
      <c r="N139">
        <v>178.24</v>
      </c>
      <c r="O139" s="1">
        <v>0.72133728000000008</v>
      </c>
      <c r="P139" s="1">
        <v>72.133728000000005</v>
      </c>
      <c r="Q139" s="1">
        <v>2.3481031250000002</v>
      </c>
      <c r="R139" s="1">
        <v>42.58756735822665</v>
      </c>
      <c r="V139">
        <v>37.598750000000003</v>
      </c>
      <c r="W139">
        <v>-105.95184999999999</v>
      </c>
      <c r="X139" t="s">
        <v>139</v>
      </c>
      <c r="Y139" t="s">
        <v>664</v>
      </c>
      <c r="AA139" s="111">
        <v>0.31</v>
      </c>
      <c r="AB139" t="s">
        <v>664</v>
      </c>
      <c r="AC139" t="s">
        <v>662</v>
      </c>
      <c r="AD139" t="s">
        <v>109</v>
      </c>
      <c r="AE139" t="s">
        <v>475</v>
      </c>
      <c r="AF139" t="s">
        <v>252</v>
      </c>
      <c r="AH139">
        <v>1</v>
      </c>
    </row>
    <row r="140" spans="1:34" x14ac:dyDescent="0.3">
      <c r="A140" t="s">
        <v>148</v>
      </c>
      <c r="B140" t="s">
        <v>566</v>
      </c>
      <c r="C140">
        <v>2012</v>
      </c>
      <c r="D140" s="18">
        <v>34056.308368194914</v>
      </c>
      <c r="E140" s="18">
        <v>40000</v>
      </c>
      <c r="F140">
        <v>200</v>
      </c>
      <c r="G140">
        <v>174000</v>
      </c>
      <c r="H140" t="s">
        <v>567</v>
      </c>
      <c r="I140">
        <v>140</v>
      </c>
      <c r="J140" s="1">
        <v>0.56658000000000008</v>
      </c>
      <c r="K140" s="1">
        <v>56.658000000000001</v>
      </c>
      <c r="L140" s="1">
        <v>1.6636565357422222</v>
      </c>
      <c r="M140" s="1">
        <v>60.108560782581293</v>
      </c>
      <c r="O140" s="1"/>
      <c r="P140" s="1"/>
      <c r="Q140" s="1"/>
      <c r="R140" s="1"/>
      <c r="V140">
        <v>28.837299999999999</v>
      </c>
      <c r="W140">
        <v>-81.561999999999998</v>
      </c>
      <c r="X140" t="s">
        <v>91</v>
      </c>
      <c r="AA140" s="111">
        <v>0.14099999999999999</v>
      </c>
      <c r="AB140" t="s">
        <v>391</v>
      </c>
      <c r="AC140" t="s">
        <v>569</v>
      </c>
      <c r="AD140" t="s">
        <v>342</v>
      </c>
      <c r="AE140" t="s">
        <v>475</v>
      </c>
      <c r="AF140" s="111" t="s">
        <v>385</v>
      </c>
      <c r="AG140">
        <v>1</v>
      </c>
      <c r="AH140">
        <v>1</v>
      </c>
    </row>
    <row r="141" spans="1:34" x14ac:dyDescent="0.3">
      <c r="A141" t="s">
        <v>148</v>
      </c>
      <c r="B141" t="s">
        <v>568</v>
      </c>
      <c r="C141">
        <v>2012</v>
      </c>
      <c r="D141" s="18">
        <v>51084.462552292374</v>
      </c>
      <c r="E141" s="18">
        <v>60000</v>
      </c>
      <c r="H141" t="s">
        <v>567</v>
      </c>
      <c r="I141">
        <v>360</v>
      </c>
      <c r="J141" s="1">
        <v>1.45692</v>
      </c>
      <c r="K141" s="1">
        <v>145.69200000000001</v>
      </c>
      <c r="L141" s="1">
        <v>2.8519826327009521</v>
      </c>
      <c r="M141" s="1">
        <v>35.063327123172428</v>
      </c>
      <c r="O141" s="1"/>
      <c r="P141" s="1"/>
      <c r="Q141" s="1"/>
      <c r="R141" s="1"/>
      <c r="V141">
        <v>28.837299999999999</v>
      </c>
      <c r="W141">
        <v>-81.561999999999998</v>
      </c>
      <c r="X141" t="s">
        <v>91</v>
      </c>
      <c r="AA141" s="111">
        <v>0.158</v>
      </c>
      <c r="AB141" t="s">
        <v>391</v>
      </c>
      <c r="AC141" t="s">
        <v>569</v>
      </c>
      <c r="AD141" t="s">
        <v>24</v>
      </c>
      <c r="AE141" t="s">
        <v>157</v>
      </c>
      <c r="AF141" s="111" t="s">
        <v>380</v>
      </c>
      <c r="AH141">
        <v>1</v>
      </c>
    </row>
    <row r="142" spans="1:34" ht="15" x14ac:dyDescent="0.25">
      <c r="A142" t="s">
        <v>107</v>
      </c>
      <c r="B142" t="s">
        <v>368</v>
      </c>
      <c r="C142">
        <v>2012</v>
      </c>
      <c r="D142" s="18">
        <v>50400</v>
      </c>
      <c r="E142" s="18">
        <v>65100</v>
      </c>
      <c r="G142">
        <v>840000</v>
      </c>
      <c r="H142" t="s">
        <v>102</v>
      </c>
      <c r="I142">
        <v>600</v>
      </c>
      <c r="J142" s="1">
        <v>2.4282000000000004</v>
      </c>
      <c r="K142" s="1">
        <v>242.82</v>
      </c>
      <c r="L142" s="1">
        <v>4.8178571428571431</v>
      </c>
      <c r="M142" s="1">
        <v>20.756115641215711</v>
      </c>
      <c r="O142" s="1"/>
      <c r="P142" s="1"/>
      <c r="Q142" s="1"/>
      <c r="R142" s="1"/>
      <c r="S142" s="1"/>
      <c r="T142" s="1"/>
      <c r="U142" s="1"/>
      <c r="V142">
        <v>34.59751</v>
      </c>
      <c r="W142">
        <v>-115.33087</v>
      </c>
      <c r="X142" t="s">
        <v>91</v>
      </c>
      <c r="Y142" t="s">
        <v>370</v>
      </c>
      <c r="Z142" t="s">
        <v>106</v>
      </c>
      <c r="AA142" s="111">
        <v>0.1</v>
      </c>
      <c r="AB142" s="111" t="s">
        <v>366</v>
      </c>
      <c r="AC142" s="111" t="s">
        <v>102</v>
      </c>
      <c r="AD142" s="111" t="s">
        <v>109</v>
      </c>
      <c r="AE142" s="111" t="s">
        <v>34</v>
      </c>
      <c r="AF142" s="111" t="s">
        <v>353</v>
      </c>
      <c r="AG142">
        <v>1</v>
      </c>
      <c r="AH142">
        <v>1</v>
      </c>
    </row>
    <row r="143" spans="1:34" ht="15" x14ac:dyDescent="0.25">
      <c r="A143" t="s">
        <v>26</v>
      </c>
      <c r="B143" t="s">
        <v>378</v>
      </c>
      <c r="C143">
        <v>2012</v>
      </c>
      <c r="D143" s="18">
        <v>17028.154184097457</v>
      </c>
      <c r="E143" s="18">
        <v>20000</v>
      </c>
      <c r="I143">
        <v>180</v>
      </c>
      <c r="J143" s="1">
        <v>0.72846</v>
      </c>
      <c r="K143" s="1">
        <v>72.846000000000004</v>
      </c>
      <c r="L143" s="1">
        <v>4.2779739490514288</v>
      </c>
      <c r="M143" s="1">
        <v>23.375551415448282</v>
      </c>
      <c r="O143" s="1"/>
      <c r="P143" s="1"/>
      <c r="Q143" s="1"/>
      <c r="R143" s="1"/>
      <c r="S143" s="1"/>
      <c r="T143" s="1"/>
      <c r="U143" s="1"/>
      <c r="X143" t="s">
        <v>203</v>
      </c>
      <c r="AA143" s="111"/>
      <c r="AB143" s="111"/>
      <c r="AC143" s="111"/>
      <c r="AD143" t="s">
        <v>24</v>
      </c>
      <c r="AE143" t="s">
        <v>157</v>
      </c>
      <c r="AF143" s="111" t="s">
        <v>352</v>
      </c>
      <c r="AH143">
        <v>1</v>
      </c>
    </row>
    <row r="144" spans="1:34" ht="15" x14ac:dyDescent="0.25">
      <c r="A144" t="s">
        <v>26</v>
      </c>
      <c r="B144" t="s">
        <v>656</v>
      </c>
      <c r="C144">
        <v>2012</v>
      </c>
      <c r="D144">
        <v>20000</v>
      </c>
      <c r="E144">
        <v>23500</v>
      </c>
      <c r="G144">
        <v>187500</v>
      </c>
      <c r="H144" t="s">
        <v>657</v>
      </c>
      <c r="I144">
        <v>160</v>
      </c>
      <c r="J144" s="1">
        <v>0.6475200000000001</v>
      </c>
      <c r="K144" s="1">
        <v>64.751999999999995</v>
      </c>
      <c r="L144" s="1">
        <v>3.2375999999999996</v>
      </c>
      <c r="M144" s="1">
        <v>30.88707684704719</v>
      </c>
      <c r="V144">
        <v>35.856999999999999</v>
      </c>
      <c r="W144">
        <v>-119.44029999999999</v>
      </c>
      <c r="X144" t="s">
        <v>203</v>
      </c>
      <c r="AA144" s="111"/>
      <c r="AC144" t="s">
        <v>174</v>
      </c>
      <c r="AD144" t="s">
        <v>109</v>
      </c>
      <c r="AE144" t="s">
        <v>611</v>
      </c>
      <c r="AF144" t="s">
        <v>380</v>
      </c>
      <c r="AH144">
        <v>1</v>
      </c>
    </row>
    <row r="145" spans="1:34" ht="15" x14ac:dyDescent="0.25">
      <c r="A145" t="s">
        <v>107</v>
      </c>
      <c r="B145" t="s">
        <v>696</v>
      </c>
      <c r="C145">
        <v>2012</v>
      </c>
      <c r="D145">
        <v>20500</v>
      </c>
      <c r="E145">
        <v>24900</v>
      </c>
      <c r="H145" t="s">
        <v>8</v>
      </c>
      <c r="I145">
        <v>154</v>
      </c>
      <c r="J145" s="1">
        <v>0.62323800000000007</v>
      </c>
      <c r="K145" s="1">
        <v>62.323799999999999</v>
      </c>
      <c r="L145" s="1">
        <v>3.0401853658536586</v>
      </c>
      <c r="M145" s="1">
        <v>32.892731187764539</v>
      </c>
      <c r="V145">
        <v>36.392789999999998</v>
      </c>
      <c r="W145">
        <v>-114.9251</v>
      </c>
      <c r="X145" t="s">
        <v>203</v>
      </c>
      <c r="AA145" s="111"/>
      <c r="AD145" t="s">
        <v>24</v>
      </c>
      <c r="AH145">
        <v>1</v>
      </c>
    </row>
    <row r="146" spans="1:34" ht="15" x14ac:dyDescent="0.25">
      <c r="A146" t="s">
        <v>190</v>
      </c>
      <c r="B146" t="s">
        <v>551</v>
      </c>
      <c r="C146">
        <v>2012</v>
      </c>
      <c r="D146" s="18">
        <v>30000</v>
      </c>
      <c r="E146" s="18">
        <v>34290</v>
      </c>
      <c r="G146">
        <v>127000</v>
      </c>
      <c r="H146" t="s">
        <v>552</v>
      </c>
      <c r="I146">
        <v>380</v>
      </c>
      <c r="J146" s="1">
        <v>1.53786</v>
      </c>
      <c r="K146" s="1">
        <v>153.786</v>
      </c>
      <c r="L146" s="1">
        <v>5.1261999999999999</v>
      </c>
      <c r="M146" s="1">
        <v>19.507627482345598</v>
      </c>
      <c r="N146" t="s">
        <v>598</v>
      </c>
      <c r="O146" s="1"/>
      <c r="P146" s="1"/>
      <c r="Q146" s="1"/>
      <c r="R146" s="1"/>
      <c r="V146">
        <v>30.27187</v>
      </c>
      <c r="W146">
        <v>-97.499300000000005</v>
      </c>
      <c r="X146" t="s">
        <v>203</v>
      </c>
      <c r="AA146" s="111">
        <v>0.14699999999999999</v>
      </c>
      <c r="AB146" t="s">
        <v>399</v>
      </c>
      <c r="AC146" t="s">
        <v>550</v>
      </c>
      <c r="AD146" t="s">
        <v>60</v>
      </c>
      <c r="AE146" t="s">
        <v>157</v>
      </c>
      <c r="AF146" s="111" t="s">
        <v>385</v>
      </c>
      <c r="AH146">
        <v>1</v>
      </c>
    </row>
    <row r="147" spans="1:34" ht="15" x14ac:dyDescent="0.25">
      <c r="A147" t="s">
        <v>26</v>
      </c>
      <c r="B147" t="s">
        <v>612</v>
      </c>
      <c r="C147">
        <v>2012</v>
      </c>
      <c r="D147" s="18">
        <v>32353.49294978517</v>
      </c>
      <c r="E147">
        <v>38000</v>
      </c>
      <c r="H147" t="s">
        <v>614</v>
      </c>
      <c r="I147">
        <v>187</v>
      </c>
      <c r="J147" s="1">
        <v>0.75678900000000004</v>
      </c>
      <c r="K147" s="1">
        <v>75.678899999999999</v>
      </c>
      <c r="L147" s="1">
        <v>2.3391261066450788</v>
      </c>
      <c r="M147" s="1">
        <v>42.751008471033764</v>
      </c>
      <c r="O147" s="1"/>
      <c r="P147" s="1"/>
      <c r="Q147" s="1"/>
      <c r="R147" s="1"/>
      <c r="V147">
        <v>34.69012</v>
      </c>
      <c r="W147">
        <v>-118.30252</v>
      </c>
      <c r="X147" t="s">
        <v>203</v>
      </c>
      <c r="Z147" t="s">
        <v>94</v>
      </c>
      <c r="AA147" s="111"/>
      <c r="AD147" t="s">
        <v>109</v>
      </c>
      <c r="AE147" t="s">
        <v>611</v>
      </c>
      <c r="AF147" t="s">
        <v>380</v>
      </c>
      <c r="AH147">
        <v>1</v>
      </c>
    </row>
    <row r="148" spans="1:34" ht="15" x14ac:dyDescent="0.25">
      <c r="A148" t="s">
        <v>26</v>
      </c>
      <c r="B148" t="s">
        <v>681</v>
      </c>
      <c r="C148">
        <v>2012</v>
      </c>
      <c r="D148" s="18">
        <v>42485.244689323154</v>
      </c>
      <c r="E148">
        <v>49900</v>
      </c>
      <c r="H148" t="s">
        <v>677</v>
      </c>
      <c r="I148">
        <v>320</v>
      </c>
      <c r="J148" s="1">
        <v>1.2950400000000002</v>
      </c>
      <c r="K148" s="1">
        <v>129.50399999999999</v>
      </c>
      <c r="L148" s="1">
        <v>3.0482112306757005</v>
      </c>
      <c r="M148" s="1">
        <v>32.806125439618192</v>
      </c>
      <c r="V148">
        <v>33.318300000000001</v>
      </c>
      <c r="W148">
        <v>-115.58410000000001</v>
      </c>
      <c r="X148" t="s">
        <v>203</v>
      </c>
      <c r="AA148" s="111"/>
      <c r="AD148" t="s">
        <v>693</v>
      </c>
      <c r="AE148" t="s">
        <v>475</v>
      </c>
      <c r="AF148" t="s">
        <v>385</v>
      </c>
      <c r="AH148">
        <v>1</v>
      </c>
    </row>
    <row r="149" spans="1:34" ht="15" x14ac:dyDescent="0.25">
      <c r="A149" t="s">
        <v>26</v>
      </c>
      <c r="B149" t="s">
        <v>684</v>
      </c>
      <c r="C149">
        <v>2012</v>
      </c>
      <c r="D149" s="18">
        <v>42570.38546024364</v>
      </c>
      <c r="E149">
        <v>50000</v>
      </c>
      <c r="H149" t="s">
        <v>677</v>
      </c>
      <c r="I149">
        <v>300</v>
      </c>
      <c r="J149" s="1">
        <v>1.2141000000000002</v>
      </c>
      <c r="K149" s="1">
        <v>121.41</v>
      </c>
      <c r="L149" s="1">
        <v>2.8519826327009521</v>
      </c>
      <c r="M149" s="1">
        <v>35.063327123172421</v>
      </c>
      <c r="V149">
        <v>33.1539</v>
      </c>
      <c r="W149">
        <v>-115.501</v>
      </c>
      <c r="X149" t="s">
        <v>203</v>
      </c>
      <c r="AA149" s="111"/>
      <c r="AD149" t="s">
        <v>24</v>
      </c>
      <c r="AH149">
        <v>1</v>
      </c>
    </row>
    <row r="150" spans="1:34" ht="15" x14ac:dyDescent="0.25">
      <c r="A150" t="s">
        <v>26</v>
      </c>
      <c r="B150" t="s">
        <v>628</v>
      </c>
      <c r="C150">
        <v>2013</v>
      </c>
      <c r="D150" s="18">
        <v>6811.2616736389828</v>
      </c>
      <c r="E150">
        <v>8000</v>
      </c>
      <c r="G150">
        <v>33880</v>
      </c>
      <c r="H150" t="s">
        <v>629</v>
      </c>
      <c r="I150">
        <v>36.5</v>
      </c>
      <c r="J150" s="1">
        <v>0.1477155</v>
      </c>
      <c r="K150" s="1">
        <v>14.771025933000001</v>
      </c>
      <c r="L150" s="1">
        <v>2.16861818569781</v>
      </c>
      <c r="M150" s="1">
        <v>46.110676764719905</v>
      </c>
      <c r="V150">
        <v>33.885300000000001</v>
      </c>
      <c r="W150">
        <v>-116.5189</v>
      </c>
      <c r="X150" t="s">
        <v>21</v>
      </c>
      <c r="AA150" s="111">
        <v>0.14400000000000002</v>
      </c>
      <c r="AC150" t="s">
        <v>630</v>
      </c>
      <c r="AD150" t="s">
        <v>109</v>
      </c>
      <c r="AE150" t="s">
        <v>611</v>
      </c>
      <c r="AF150" t="s">
        <v>380</v>
      </c>
      <c r="AH150">
        <v>1</v>
      </c>
    </row>
    <row r="151" spans="1:34" ht="15" x14ac:dyDescent="0.25">
      <c r="A151" t="s">
        <v>35</v>
      </c>
      <c r="B151" t="s">
        <v>636</v>
      </c>
      <c r="C151">
        <v>2013</v>
      </c>
      <c r="D151" s="18">
        <v>14473.931056482839</v>
      </c>
      <c r="E151">
        <v>17000</v>
      </c>
      <c r="H151" t="s">
        <v>8</v>
      </c>
      <c r="I151">
        <v>130</v>
      </c>
      <c r="J151" s="1">
        <v>0.52611000000000008</v>
      </c>
      <c r="K151" s="1">
        <v>52.609133460000002</v>
      </c>
      <c r="L151" s="1">
        <v>3.6347508672453221</v>
      </c>
      <c r="M151" s="1">
        <v>27.51122589664298</v>
      </c>
      <c r="V151">
        <v>32.841700000000003</v>
      </c>
      <c r="W151">
        <v>-113.4362</v>
      </c>
      <c r="X151" t="s">
        <v>21</v>
      </c>
      <c r="AA151" s="111">
        <v>0.14000000000000001</v>
      </c>
      <c r="AB151" t="s">
        <v>399</v>
      </c>
      <c r="AC151" t="s">
        <v>640</v>
      </c>
      <c r="AD151" t="s">
        <v>109</v>
      </c>
      <c r="AE151" t="s">
        <v>645</v>
      </c>
      <c r="AF151" t="s">
        <v>380</v>
      </c>
      <c r="AH151">
        <v>1</v>
      </c>
    </row>
    <row r="152" spans="1:34" ht="15" x14ac:dyDescent="0.25">
      <c r="A152" t="s">
        <v>738</v>
      </c>
      <c r="B152" t="s">
        <v>737</v>
      </c>
      <c r="C152">
        <v>2013</v>
      </c>
      <c r="D152" s="18">
        <v>8514.0770920487284</v>
      </c>
      <c r="E152">
        <v>10000</v>
      </c>
      <c r="G152">
        <v>41000</v>
      </c>
      <c r="H152" t="s">
        <v>739</v>
      </c>
      <c r="I152">
        <v>60</v>
      </c>
      <c r="J152" s="1">
        <v>0.24282000000000001</v>
      </c>
      <c r="K152" s="1">
        <v>24.281138519999999</v>
      </c>
      <c r="L152" s="1">
        <v>2.8518814496847913</v>
      </c>
      <c r="M152" s="1">
        <v>35.063327123172421</v>
      </c>
      <c r="V152">
        <v>39.69556</v>
      </c>
      <c r="W152">
        <v>-86.315439999999995</v>
      </c>
      <c r="X152" t="s">
        <v>91</v>
      </c>
      <c r="AA152" s="111"/>
      <c r="AC152" t="s">
        <v>740</v>
      </c>
      <c r="AD152" t="s">
        <v>109</v>
      </c>
      <c r="AE152" t="s">
        <v>611</v>
      </c>
      <c r="AF152" t="s">
        <v>444</v>
      </c>
      <c r="AH152">
        <v>1</v>
      </c>
    </row>
    <row r="153" spans="1:34" ht="15" x14ac:dyDescent="0.25">
      <c r="A153" t="s">
        <v>168</v>
      </c>
      <c r="B153" t="s">
        <v>736</v>
      </c>
      <c r="C153">
        <v>2013</v>
      </c>
      <c r="D153" s="18">
        <v>17028.154184097457</v>
      </c>
      <c r="E153">
        <v>20000</v>
      </c>
      <c r="H153" t="s">
        <v>408</v>
      </c>
      <c r="I153">
        <v>100</v>
      </c>
      <c r="J153" s="1">
        <v>0.4047</v>
      </c>
      <c r="K153" s="1">
        <v>40.468564200000003</v>
      </c>
      <c r="L153" s="1">
        <v>2.3765678747373262</v>
      </c>
      <c r="M153" s="1">
        <v>42.075992547806912</v>
      </c>
      <c r="N153">
        <v>84.7</v>
      </c>
      <c r="O153" s="1">
        <v>0.34278090000000005</v>
      </c>
      <c r="P153" s="1">
        <v>34.278089999999999</v>
      </c>
      <c r="Q153" s="1">
        <v>2.0130244082480888</v>
      </c>
      <c r="R153" s="1">
        <v>49.676496514529994</v>
      </c>
      <c r="V153">
        <v>40.120260000000002</v>
      </c>
      <c r="W153">
        <v>-80.437110000000004</v>
      </c>
      <c r="X153" t="s">
        <v>91</v>
      </c>
      <c r="AA153" s="111"/>
      <c r="AD153" t="s">
        <v>24</v>
      </c>
      <c r="AE153" t="s">
        <v>475</v>
      </c>
      <c r="AF153" t="s">
        <v>252</v>
      </c>
      <c r="AH153">
        <v>1</v>
      </c>
    </row>
    <row r="154" spans="1:34" ht="15" x14ac:dyDescent="0.25">
      <c r="A154" t="s">
        <v>26</v>
      </c>
      <c r="B154" t="s">
        <v>672</v>
      </c>
      <c r="C154">
        <v>2013</v>
      </c>
      <c r="D154" s="18">
        <v>17028.154184097457</v>
      </c>
      <c r="E154">
        <v>20000</v>
      </c>
      <c r="H154" t="s">
        <v>8</v>
      </c>
      <c r="I154">
        <v>200</v>
      </c>
      <c r="J154" s="1">
        <v>0.80940000000000001</v>
      </c>
      <c r="K154" s="1">
        <v>80.937128400000006</v>
      </c>
      <c r="L154" s="1">
        <v>4.7531357494746524</v>
      </c>
      <c r="M154" s="1">
        <v>21.037996273903456</v>
      </c>
      <c r="V154">
        <v>34.7119</v>
      </c>
      <c r="W154">
        <v>-118.3296</v>
      </c>
      <c r="X154" t="s">
        <v>203</v>
      </c>
      <c r="AA154" s="111"/>
      <c r="AD154" t="s">
        <v>24</v>
      </c>
      <c r="AE154" t="s">
        <v>475</v>
      </c>
      <c r="AF154" t="s">
        <v>385</v>
      </c>
      <c r="AH154">
        <v>1</v>
      </c>
    </row>
    <row r="155" spans="1:34" ht="15" x14ac:dyDescent="0.25">
      <c r="A155" t="s">
        <v>26</v>
      </c>
      <c r="B155" t="s">
        <v>674</v>
      </c>
      <c r="C155">
        <v>2013</v>
      </c>
      <c r="D155" s="18">
        <v>17028.154184097457</v>
      </c>
      <c r="E155">
        <v>20000</v>
      </c>
      <c r="H155" t="s">
        <v>8</v>
      </c>
      <c r="I155">
        <v>174</v>
      </c>
      <c r="J155" s="1">
        <v>0.70417800000000008</v>
      </c>
      <c r="K155" s="1">
        <v>70.415301708000001</v>
      </c>
      <c r="L155" s="1">
        <v>4.135228102042948</v>
      </c>
      <c r="M155" s="1">
        <v>24.181604912532702</v>
      </c>
      <c r="V155">
        <v>34.935099999999998</v>
      </c>
      <c r="W155">
        <v>-118.1452</v>
      </c>
      <c r="X155" t="s">
        <v>203</v>
      </c>
      <c r="AA155" s="111"/>
      <c r="AD155" t="s">
        <v>24</v>
      </c>
      <c r="AE155" t="s">
        <v>475</v>
      </c>
      <c r="AF155" t="s">
        <v>385</v>
      </c>
      <c r="AH155">
        <v>1</v>
      </c>
    </row>
    <row r="156" spans="1:34" ht="15" x14ac:dyDescent="0.25">
      <c r="A156" t="s">
        <v>26</v>
      </c>
      <c r="B156" t="s">
        <v>117</v>
      </c>
      <c r="C156">
        <v>2013</v>
      </c>
      <c r="D156" s="18">
        <v>230000</v>
      </c>
      <c r="E156" s="18">
        <v>284000</v>
      </c>
      <c r="F156">
        <v>713</v>
      </c>
      <c r="G156">
        <v>3800000</v>
      </c>
      <c r="H156" t="s">
        <v>362</v>
      </c>
      <c r="I156">
        <v>2100</v>
      </c>
      <c r="J156" s="1">
        <v>8.4987000000000013</v>
      </c>
      <c r="K156" s="1">
        <v>849.87</v>
      </c>
      <c r="L156" s="1">
        <v>3.695086956521739</v>
      </c>
      <c r="M156" s="1">
        <v>27.062962570746109</v>
      </c>
      <c r="N156">
        <v>1955</v>
      </c>
      <c r="O156" s="1">
        <v>7.9118850000000007</v>
      </c>
      <c r="P156" s="1">
        <v>791.18849999999998</v>
      </c>
      <c r="Q156" s="1">
        <v>3.4399500000000001</v>
      </c>
      <c r="R156" s="1">
        <v>29.070189973691477</v>
      </c>
      <c r="S156" s="1"/>
      <c r="T156" s="1"/>
      <c r="U156" s="1"/>
      <c r="V156">
        <v>34.7879</v>
      </c>
      <c r="W156">
        <v>-118.4203</v>
      </c>
      <c r="X156" t="s">
        <v>21</v>
      </c>
      <c r="Z156" t="s">
        <v>96</v>
      </c>
      <c r="AA156" s="111">
        <v>0.1076</v>
      </c>
      <c r="AB156" s="111" t="s">
        <v>366</v>
      </c>
      <c r="AC156" s="111" t="s">
        <v>373</v>
      </c>
      <c r="AD156" t="s">
        <v>24</v>
      </c>
      <c r="AE156" t="s">
        <v>110</v>
      </c>
      <c r="AF156" s="111" t="s">
        <v>252</v>
      </c>
      <c r="AH156">
        <v>1</v>
      </c>
    </row>
    <row r="157" spans="1:34" ht="15" x14ac:dyDescent="0.25">
      <c r="A157" t="s">
        <v>26</v>
      </c>
      <c r="B157" t="s">
        <v>103</v>
      </c>
      <c r="C157">
        <v>2013</v>
      </c>
      <c r="D157" s="18">
        <v>34482.012222797348</v>
      </c>
      <c r="E157" s="18">
        <v>40500</v>
      </c>
      <c r="H157" t="s">
        <v>104</v>
      </c>
      <c r="I157">
        <v>422</v>
      </c>
      <c r="J157" s="1">
        <v>1.7078340000000001</v>
      </c>
      <c r="K157" s="1">
        <v>170.7834</v>
      </c>
      <c r="L157" s="1">
        <v>4.9528258065835464</v>
      </c>
      <c r="M157" s="1">
        <v>20.190494054338625</v>
      </c>
      <c r="N157">
        <v>433</v>
      </c>
      <c r="O157" s="1">
        <v>1.7523510000000002</v>
      </c>
      <c r="P157" s="1">
        <v>175.23509999999999</v>
      </c>
      <c r="Q157" s="1">
        <v>5.0819279010679512</v>
      </c>
      <c r="R157" s="1">
        <v>19.677571572588679</v>
      </c>
      <c r="S157" s="1"/>
      <c r="T157" s="1"/>
      <c r="U157" s="1"/>
      <c r="V157">
        <v>34.425964999999998</v>
      </c>
      <c r="W157">
        <v>-116.78941</v>
      </c>
      <c r="X157" t="s">
        <v>91</v>
      </c>
      <c r="Y157" t="s">
        <v>105</v>
      </c>
      <c r="Z157" t="s">
        <v>106</v>
      </c>
      <c r="AA157" s="111">
        <v>0.1</v>
      </c>
      <c r="AB157" s="111" t="s">
        <v>366</v>
      </c>
      <c r="AC157" s="111"/>
      <c r="AD157" t="s">
        <v>109</v>
      </c>
      <c r="AE157" t="s">
        <v>34</v>
      </c>
      <c r="AF157" s="111" t="s">
        <v>353</v>
      </c>
      <c r="AG157">
        <v>1</v>
      </c>
      <c r="AH157">
        <v>1</v>
      </c>
    </row>
    <row r="158" spans="1:34" ht="15" x14ac:dyDescent="0.25">
      <c r="A158" t="s">
        <v>26</v>
      </c>
      <c r="B158" t="s">
        <v>101</v>
      </c>
      <c r="C158">
        <v>2013</v>
      </c>
      <c r="D158" s="18">
        <v>550000</v>
      </c>
      <c r="E158" s="18">
        <v>645988.98277964082</v>
      </c>
      <c r="F158">
        <v>254</v>
      </c>
      <c r="H158" t="s">
        <v>102</v>
      </c>
      <c r="I158">
        <v>4144</v>
      </c>
      <c r="J158" s="1">
        <v>16.770768</v>
      </c>
      <c r="K158" s="1">
        <v>1677.0768</v>
      </c>
      <c r="L158" s="1">
        <v>3.0492305454545456</v>
      </c>
      <c r="M158" s="1">
        <v>32.795158814432348</v>
      </c>
      <c r="N158">
        <v>4410</v>
      </c>
      <c r="O158" s="1">
        <v>17.847270000000002</v>
      </c>
      <c r="P158" s="1">
        <v>1784.7270000000001</v>
      </c>
      <c r="Q158" s="1">
        <v>3.2449581818181819</v>
      </c>
      <c r="R158" s="1">
        <v>30.817038124038014</v>
      </c>
      <c r="S158" s="1">
        <v>0.44827706048968663</v>
      </c>
      <c r="T158" s="1">
        <v>2.230763267046556</v>
      </c>
      <c r="U158" s="1">
        <v>1.4546403151574125</v>
      </c>
      <c r="V158">
        <v>33.812399999999997</v>
      </c>
      <c r="W158">
        <v>-115.39709999999999</v>
      </c>
      <c r="X158" t="s">
        <v>91</v>
      </c>
      <c r="Z158" t="s">
        <v>95</v>
      </c>
      <c r="AA158" s="111">
        <v>0.1</v>
      </c>
      <c r="AB158" s="111" t="s">
        <v>366</v>
      </c>
      <c r="AC158" s="111" t="s">
        <v>102</v>
      </c>
      <c r="AD158" t="s">
        <v>24</v>
      </c>
      <c r="AE158" s="111" t="s">
        <v>53</v>
      </c>
      <c r="AF158" s="111" t="s">
        <v>353</v>
      </c>
      <c r="AH158">
        <v>1</v>
      </c>
    </row>
    <row r="159" spans="1:34" ht="15" x14ac:dyDescent="0.25">
      <c r="A159" t="s">
        <v>26</v>
      </c>
      <c r="B159" t="s">
        <v>673</v>
      </c>
      <c r="C159">
        <v>2013</v>
      </c>
      <c r="D159">
        <v>20000</v>
      </c>
      <c r="E159" s="18">
        <v>23490.50846471421</v>
      </c>
      <c r="H159" t="s">
        <v>8</v>
      </c>
      <c r="I159">
        <v>160</v>
      </c>
      <c r="J159" s="1">
        <v>0.6475200000000001</v>
      </c>
      <c r="K159" s="1">
        <v>64.751999999999995</v>
      </c>
      <c r="L159" s="1">
        <v>3.2375999999999996</v>
      </c>
      <c r="M159" s="1">
        <v>30.88707684704719</v>
      </c>
      <c r="V159">
        <v>35.097700000000003</v>
      </c>
      <c r="W159">
        <v>-118.9539</v>
      </c>
      <c r="X159" t="s">
        <v>203</v>
      </c>
      <c r="AA159" s="111"/>
      <c r="AD159" t="s">
        <v>24</v>
      </c>
      <c r="AE159" t="s">
        <v>475</v>
      </c>
      <c r="AF159" t="s">
        <v>385</v>
      </c>
      <c r="AH159">
        <v>1</v>
      </c>
    </row>
    <row r="160" spans="1:34" ht="15" x14ac:dyDescent="0.25">
      <c r="A160" t="s">
        <v>26</v>
      </c>
      <c r="B160" t="s">
        <v>675</v>
      </c>
      <c r="C160">
        <v>2013</v>
      </c>
      <c r="D160">
        <v>20000</v>
      </c>
      <c r="E160" s="18">
        <v>23490.50846471421</v>
      </c>
      <c r="H160" t="s">
        <v>8</v>
      </c>
      <c r="I160">
        <v>265</v>
      </c>
      <c r="J160" s="1">
        <v>1.0724550000000002</v>
      </c>
      <c r="K160" s="1">
        <v>107.24550000000001</v>
      </c>
      <c r="L160" s="1">
        <v>5.3622750000000003</v>
      </c>
      <c r="M160" s="1">
        <v>18.648801115198303</v>
      </c>
      <c r="V160">
        <v>35.147072999999999</v>
      </c>
      <c r="W160">
        <v>-118.886833</v>
      </c>
      <c r="X160" t="s">
        <v>203</v>
      </c>
      <c r="AA160" s="111"/>
      <c r="AD160" t="s">
        <v>24</v>
      </c>
      <c r="AE160" t="s">
        <v>475</v>
      </c>
      <c r="AF160" t="s">
        <v>385</v>
      </c>
      <c r="AH160">
        <v>1</v>
      </c>
    </row>
    <row r="161" spans="1:34" ht="15" x14ac:dyDescent="0.25">
      <c r="A161" t="s">
        <v>26</v>
      </c>
      <c r="B161" t="s">
        <v>687</v>
      </c>
      <c r="C161">
        <v>2013</v>
      </c>
      <c r="D161" s="18">
        <v>42570.38546024364</v>
      </c>
      <c r="E161">
        <v>50000</v>
      </c>
      <c r="H161" t="s">
        <v>677</v>
      </c>
      <c r="I161">
        <v>320</v>
      </c>
      <c r="J161" s="1">
        <v>1.2950400000000002</v>
      </c>
      <c r="K161" s="1">
        <v>129.50399999999999</v>
      </c>
      <c r="L161" s="1">
        <v>3.042114808214349</v>
      </c>
      <c r="M161" s="1">
        <v>32.871869177974148</v>
      </c>
      <c r="V161">
        <v>33.1374</v>
      </c>
      <c r="W161">
        <v>-115.5279</v>
      </c>
      <c r="X161" t="s">
        <v>203</v>
      </c>
      <c r="AA161" s="111"/>
      <c r="AD161" t="s">
        <v>24</v>
      </c>
      <c r="AE161" t="s">
        <v>475</v>
      </c>
      <c r="AF161" t="s">
        <v>385</v>
      </c>
      <c r="AH161">
        <v>1</v>
      </c>
    </row>
    <row r="162" spans="1:34" ht="15" x14ac:dyDescent="0.25">
      <c r="A162" t="s">
        <v>26</v>
      </c>
      <c r="B162" t="s">
        <v>686</v>
      </c>
      <c r="C162">
        <v>2013</v>
      </c>
      <c r="D162">
        <v>50000</v>
      </c>
      <c r="E162" s="18">
        <v>58726.271161785524</v>
      </c>
      <c r="H162" t="s">
        <v>677</v>
      </c>
      <c r="I162">
        <v>300</v>
      </c>
      <c r="J162" s="1">
        <v>1.2141000000000002</v>
      </c>
      <c r="K162" s="1">
        <v>121.41</v>
      </c>
      <c r="L162" s="1">
        <v>2.4281999999999999</v>
      </c>
      <c r="M162" s="1">
        <v>41.182769129396256</v>
      </c>
      <c r="N162">
        <v>277</v>
      </c>
      <c r="O162" s="1">
        <v>1.121019</v>
      </c>
      <c r="P162" s="1">
        <v>112.1019</v>
      </c>
      <c r="Q162" s="1">
        <v>2.242038</v>
      </c>
      <c r="R162" s="1">
        <v>44.602277035447216</v>
      </c>
      <c r="V162">
        <v>33.169400000000003</v>
      </c>
      <c r="W162">
        <v>-115.5492</v>
      </c>
      <c r="X162" t="s">
        <v>203</v>
      </c>
      <c r="AA162" s="111"/>
      <c r="AD162" t="s">
        <v>24</v>
      </c>
      <c r="AE162" t="s">
        <v>475</v>
      </c>
      <c r="AF162" t="s">
        <v>385</v>
      </c>
      <c r="AH162">
        <v>1</v>
      </c>
    </row>
    <row r="163" spans="1:34" ht="15" x14ac:dyDescent="0.25">
      <c r="A163" t="s">
        <v>26</v>
      </c>
      <c r="B163" t="s">
        <v>676</v>
      </c>
      <c r="C163">
        <v>2013</v>
      </c>
      <c r="D163" s="18">
        <v>63855.578190365464</v>
      </c>
      <c r="E163">
        <v>75000</v>
      </c>
      <c r="H163" t="s">
        <v>8</v>
      </c>
      <c r="I163">
        <v>743</v>
      </c>
      <c r="J163" s="1">
        <v>3.0069210000000002</v>
      </c>
      <c r="K163" s="1">
        <v>300.69209999999998</v>
      </c>
      <c r="L163" s="1">
        <v>4.7089402135484608</v>
      </c>
      <c r="M163" s="1">
        <v>21.236200814841979</v>
      </c>
      <c r="V163">
        <v>35.294499999999999</v>
      </c>
      <c r="W163">
        <v>-118.8514</v>
      </c>
      <c r="X163" t="s">
        <v>203</v>
      </c>
      <c r="AA163" s="111"/>
      <c r="AD163" t="s">
        <v>24</v>
      </c>
      <c r="AE163" t="s">
        <v>475</v>
      </c>
      <c r="AF163" t="s">
        <v>385</v>
      </c>
      <c r="AH163">
        <v>1</v>
      </c>
    </row>
    <row r="164" spans="1:34" x14ac:dyDescent="0.3">
      <c r="A164" t="s">
        <v>26</v>
      </c>
      <c r="B164" t="s">
        <v>683</v>
      </c>
      <c r="C164">
        <v>2013</v>
      </c>
      <c r="D164">
        <v>70000</v>
      </c>
      <c r="E164" s="18">
        <v>82216.779626499731</v>
      </c>
      <c r="H164" t="s">
        <v>677</v>
      </c>
      <c r="I164">
        <v>300</v>
      </c>
      <c r="J164" s="1">
        <v>1.2141000000000002</v>
      </c>
      <c r="K164" s="1">
        <v>121.41</v>
      </c>
      <c r="L164" s="1">
        <v>1.7344285714285714</v>
      </c>
      <c r="M164" s="1">
        <v>57.65587678115476</v>
      </c>
      <c r="N164">
        <v>246</v>
      </c>
      <c r="O164" s="1">
        <v>0.99556200000000006</v>
      </c>
      <c r="P164" s="1">
        <v>99.556200000000004</v>
      </c>
      <c r="Q164" s="1">
        <v>1.4222314285714286</v>
      </c>
      <c r="R164" s="1">
        <v>70.312044855066787</v>
      </c>
      <c r="V164">
        <v>33.1539</v>
      </c>
      <c r="W164">
        <v>-115.501</v>
      </c>
      <c r="X164" t="s">
        <v>203</v>
      </c>
      <c r="AA164" s="111"/>
      <c r="AD164" t="s">
        <v>24</v>
      </c>
      <c r="AE164" t="s">
        <v>475</v>
      </c>
      <c r="AF164" t="s">
        <v>385</v>
      </c>
      <c r="AH164">
        <v>1</v>
      </c>
    </row>
    <row r="165" spans="1:34" x14ac:dyDescent="0.3">
      <c r="A165" t="s">
        <v>35</v>
      </c>
      <c r="B165" t="s">
        <v>395</v>
      </c>
      <c r="C165">
        <v>2013</v>
      </c>
      <c r="D165" s="18">
        <v>150000</v>
      </c>
      <c r="E165" s="18">
        <v>170000</v>
      </c>
      <c r="F165">
        <v>337</v>
      </c>
      <c r="G165">
        <v>800000</v>
      </c>
      <c r="H165" t="s">
        <v>186</v>
      </c>
      <c r="I165">
        <v>900</v>
      </c>
      <c r="J165" s="1">
        <v>3.6423000000000001</v>
      </c>
      <c r="K165" s="1">
        <v>364.23</v>
      </c>
      <c r="L165" s="1">
        <v>2.4281999999999999</v>
      </c>
      <c r="M165" s="1">
        <v>41.182769129396263</v>
      </c>
      <c r="P165" s="1"/>
      <c r="Q165" s="1"/>
      <c r="R165" s="1"/>
      <c r="S165" s="1"/>
      <c r="T165" s="1"/>
      <c r="U165" s="1"/>
      <c r="X165" t="s">
        <v>203</v>
      </c>
      <c r="AA165" s="111">
        <v>0.14499999999999999</v>
      </c>
      <c r="AB165" t="s">
        <v>399</v>
      </c>
      <c r="AC165" t="s">
        <v>400</v>
      </c>
      <c r="AD165" t="s">
        <v>342</v>
      </c>
      <c r="AE165" t="s">
        <v>397</v>
      </c>
      <c r="AF165" s="111" t="s">
        <v>398</v>
      </c>
      <c r="AG165">
        <v>1</v>
      </c>
      <c r="AH165">
        <v>1</v>
      </c>
    </row>
    <row r="166" spans="1:34" x14ac:dyDescent="0.3">
      <c r="A166" t="s">
        <v>26</v>
      </c>
      <c r="B166" t="s">
        <v>685</v>
      </c>
      <c r="C166">
        <v>2013</v>
      </c>
      <c r="D166">
        <v>155000</v>
      </c>
      <c r="E166" s="18">
        <v>182051.44060153511</v>
      </c>
      <c r="H166" t="s">
        <v>677</v>
      </c>
      <c r="I166">
        <v>934.4</v>
      </c>
      <c r="J166" s="1">
        <v>3.7815168000000003</v>
      </c>
      <c r="K166" s="1">
        <v>378.15168</v>
      </c>
      <c r="L166" s="1">
        <v>2.4396882580645163</v>
      </c>
      <c r="M166" s="1">
        <v>40.988843418598584</v>
      </c>
      <c r="V166">
        <v>33.159599999999998</v>
      </c>
      <c r="W166">
        <v>-115.5369</v>
      </c>
      <c r="X166" t="s">
        <v>203</v>
      </c>
      <c r="AA166" s="111"/>
      <c r="AD166" t="s">
        <v>24</v>
      </c>
      <c r="AH166">
        <v>1</v>
      </c>
    </row>
    <row r="167" spans="1:34" x14ac:dyDescent="0.3">
      <c r="A167" t="s">
        <v>26</v>
      </c>
      <c r="B167" t="s">
        <v>193</v>
      </c>
      <c r="C167">
        <v>2013</v>
      </c>
      <c r="D167" s="18">
        <v>440000</v>
      </c>
      <c r="E167" s="18">
        <v>500000</v>
      </c>
      <c r="H167" t="s">
        <v>194</v>
      </c>
      <c r="I167">
        <v>3288</v>
      </c>
      <c r="J167" s="1">
        <v>13.306536000000001</v>
      </c>
      <c r="K167" s="1">
        <v>1330.6536000000001</v>
      </c>
      <c r="L167" s="1">
        <v>3.0242127272727273</v>
      </c>
      <c r="M167" s="1">
        <v>33.066456965208673</v>
      </c>
      <c r="P167" s="1"/>
      <c r="Q167" s="1"/>
      <c r="R167" s="1"/>
      <c r="S167" s="1"/>
      <c r="T167" s="1"/>
      <c r="U167" s="1"/>
      <c r="X167" t="s">
        <v>203</v>
      </c>
      <c r="AA167" s="111"/>
      <c r="AB167" s="111"/>
      <c r="AC167" s="111"/>
      <c r="AD167" t="s">
        <v>24</v>
      </c>
      <c r="AE167" t="s">
        <v>110</v>
      </c>
      <c r="AF167" s="111" t="s">
        <v>252</v>
      </c>
      <c r="AH167">
        <v>1</v>
      </c>
    </row>
    <row r="168" spans="1:34" x14ac:dyDescent="0.3">
      <c r="A168" t="s">
        <v>171</v>
      </c>
      <c r="B168" t="s">
        <v>172</v>
      </c>
      <c r="C168">
        <v>2014</v>
      </c>
      <c r="D168" s="18">
        <v>12260.271012550169</v>
      </c>
      <c r="E168" s="18">
        <v>14400</v>
      </c>
      <c r="H168" t="s">
        <v>374</v>
      </c>
      <c r="I168">
        <v>90</v>
      </c>
      <c r="J168" s="1">
        <v>0.36423</v>
      </c>
      <c r="K168" s="1">
        <v>36.421707779999998</v>
      </c>
      <c r="L168" s="1">
        <v>2.9707098434216577</v>
      </c>
      <c r="M168" s="1">
        <v>33.660794038245527</v>
      </c>
      <c r="N168" t="s">
        <v>598</v>
      </c>
      <c r="O168" s="1"/>
      <c r="P168" s="1"/>
      <c r="Q168" s="1"/>
      <c r="R168" s="1"/>
      <c r="S168" s="1"/>
      <c r="T168" s="1"/>
      <c r="U168" s="1"/>
      <c r="X168" t="s">
        <v>21</v>
      </c>
      <c r="Z168" t="s">
        <v>96</v>
      </c>
      <c r="AA168" s="111"/>
      <c r="AB168" s="111"/>
      <c r="AC168" s="111"/>
      <c r="AD168" t="s">
        <v>24</v>
      </c>
      <c r="AE168" t="s">
        <v>157</v>
      </c>
      <c r="AF168" s="111" t="s">
        <v>352</v>
      </c>
      <c r="AH168">
        <v>1</v>
      </c>
    </row>
    <row r="169" spans="1:34" x14ac:dyDescent="0.3">
      <c r="A169" t="s">
        <v>26</v>
      </c>
      <c r="B169" t="s">
        <v>721</v>
      </c>
      <c r="C169">
        <v>2014</v>
      </c>
      <c r="D169" s="18">
        <v>93654.848012536007</v>
      </c>
      <c r="E169">
        <v>110000</v>
      </c>
      <c r="H169" t="s">
        <v>725</v>
      </c>
      <c r="I169">
        <v>1014</v>
      </c>
      <c r="J169" s="1">
        <v>4.1036580000000002</v>
      </c>
      <c r="K169" s="1">
        <v>410.36579999999998</v>
      </c>
      <c r="L169" s="1">
        <v>4.381682408422372</v>
      </c>
      <c r="M169" s="1">
        <v>22.822283926325245</v>
      </c>
      <c r="V169">
        <v>37.119799999999998</v>
      </c>
      <c r="W169">
        <v>-121.0553</v>
      </c>
      <c r="X169" t="s">
        <v>21</v>
      </c>
      <c r="AA169" s="111">
        <v>0.20100000000000001</v>
      </c>
      <c r="AB169" t="s">
        <v>391</v>
      </c>
      <c r="AC169" t="s">
        <v>726</v>
      </c>
      <c r="AD169" t="s">
        <v>24</v>
      </c>
      <c r="AE169" t="s">
        <v>694</v>
      </c>
      <c r="AF169" t="s">
        <v>709</v>
      </c>
      <c r="AH169">
        <v>1</v>
      </c>
    </row>
    <row r="170" spans="1:34" x14ac:dyDescent="0.3">
      <c r="A170" t="s">
        <v>26</v>
      </c>
      <c r="B170" t="s">
        <v>729</v>
      </c>
      <c r="C170">
        <v>2014</v>
      </c>
      <c r="D170" s="18">
        <v>110683.00219663348</v>
      </c>
      <c r="E170">
        <v>130000</v>
      </c>
      <c r="H170" t="s">
        <v>730</v>
      </c>
      <c r="I170">
        <v>946</v>
      </c>
      <c r="J170" s="1">
        <v>3.828462</v>
      </c>
      <c r="K170" s="1">
        <v>382.84620000000001</v>
      </c>
      <c r="L170" s="1">
        <v>3.4589430391475648</v>
      </c>
      <c r="M170" s="1">
        <v>28.91056570409566</v>
      </c>
      <c r="V170">
        <v>32.664499999999997</v>
      </c>
      <c r="W170">
        <v>-115.7118</v>
      </c>
      <c r="X170" t="s">
        <v>21</v>
      </c>
      <c r="AA170" s="111">
        <v>0.107</v>
      </c>
      <c r="AB170" t="s">
        <v>366</v>
      </c>
      <c r="AC170" t="s">
        <v>102</v>
      </c>
      <c r="AD170" t="s">
        <v>24</v>
      </c>
      <c r="AE170" t="s">
        <v>475</v>
      </c>
      <c r="AF170" t="s">
        <v>252</v>
      </c>
      <c r="AH170">
        <v>1</v>
      </c>
    </row>
    <row r="171" spans="1:34" x14ac:dyDescent="0.3">
      <c r="A171" t="s">
        <v>107</v>
      </c>
      <c r="B171" t="s">
        <v>369</v>
      </c>
      <c r="C171">
        <v>2014</v>
      </c>
      <c r="D171" s="18">
        <v>297992.6982217055</v>
      </c>
      <c r="E171" s="18">
        <v>350000</v>
      </c>
      <c r="G171">
        <v>1686000</v>
      </c>
      <c r="H171" t="s">
        <v>102</v>
      </c>
      <c r="I171">
        <v>2900</v>
      </c>
      <c r="J171" s="1">
        <v>11.7363</v>
      </c>
      <c r="K171" s="1">
        <v>1173.6300000000001</v>
      </c>
      <c r="L171" s="1">
        <v>3.9384522070632202</v>
      </c>
      <c r="M171" s="1">
        <v>25.390685158159343</v>
      </c>
      <c r="N171">
        <v>2967</v>
      </c>
      <c r="O171" s="1">
        <v>12.007449000000001</v>
      </c>
      <c r="P171" s="1">
        <v>1200.7448999999999</v>
      </c>
      <c r="Q171" s="1">
        <v>4.0294440339160591</v>
      </c>
      <c r="R171" s="1">
        <v>24.817319500728711</v>
      </c>
      <c r="S171" s="1"/>
      <c r="T171" s="1"/>
      <c r="U171" s="1"/>
      <c r="V171">
        <v>35.59751</v>
      </c>
      <c r="W171">
        <v>-115.33087</v>
      </c>
      <c r="X171" t="s">
        <v>21</v>
      </c>
      <c r="Z171" t="s">
        <v>106</v>
      </c>
      <c r="AA171" s="111">
        <v>0.1</v>
      </c>
      <c r="AB171" s="111" t="s">
        <v>366</v>
      </c>
      <c r="AC171" s="111" t="s">
        <v>102</v>
      </c>
      <c r="AD171" t="s">
        <v>24</v>
      </c>
      <c r="AE171" t="s">
        <v>34</v>
      </c>
      <c r="AF171" s="111" t="s">
        <v>353</v>
      </c>
      <c r="AH171">
        <v>1</v>
      </c>
    </row>
    <row r="172" spans="1:34" x14ac:dyDescent="0.3">
      <c r="A172" t="s">
        <v>35</v>
      </c>
      <c r="B172" t="s">
        <v>658</v>
      </c>
      <c r="C172">
        <v>2014</v>
      </c>
      <c r="D172">
        <v>290000</v>
      </c>
      <c r="E172" s="18">
        <v>340612.37273835606</v>
      </c>
      <c r="F172">
        <v>1800</v>
      </c>
      <c r="H172" t="s">
        <v>659</v>
      </c>
      <c r="I172">
        <v>2400</v>
      </c>
      <c r="J172" s="1">
        <v>9.7128000000000014</v>
      </c>
      <c r="K172" s="1">
        <v>971.28</v>
      </c>
      <c r="L172" s="1">
        <v>3.3492413793103446</v>
      </c>
      <c r="M172" s="1">
        <v>29.857507618812285</v>
      </c>
      <c r="V172">
        <v>32.965800000000002</v>
      </c>
      <c r="W172">
        <v>-113.52719999999999</v>
      </c>
      <c r="X172" t="s">
        <v>91</v>
      </c>
      <c r="AA172" s="111">
        <v>0.107</v>
      </c>
      <c r="AB172" t="s">
        <v>366</v>
      </c>
      <c r="AC172" t="s">
        <v>660</v>
      </c>
      <c r="AD172" t="s">
        <v>109</v>
      </c>
      <c r="AE172" t="s">
        <v>475</v>
      </c>
      <c r="AF172" t="s">
        <v>252</v>
      </c>
      <c r="AH172">
        <v>1</v>
      </c>
    </row>
    <row r="173" spans="1:34" x14ac:dyDescent="0.3">
      <c r="A173" t="s">
        <v>26</v>
      </c>
      <c r="B173" t="s">
        <v>570</v>
      </c>
      <c r="C173">
        <v>2014</v>
      </c>
      <c r="D173" s="18">
        <v>550000</v>
      </c>
      <c r="E173" s="18">
        <v>645988.98277964082</v>
      </c>
      <c r="F173">
        <v>1200</v>
      </c>
      <c r="G173">
        <v>9000000</v>
      </c>
      <c r="H173" t="s">
        <v>571</v>
      </c>
      <c r="I173">
        <v>3500</v>
      </c>
      <c r="J173" s="1">
        <v>14.1645</v>
      </c>
      <c r="K173" s="1">
        <v>1416.45</v>
      </c>
      <c r="L173" s="1">
        <v>2.5753636363636363</v>
      </c>
      <c r="M173" s="1">
        <v>38.829468036287899</v>
      </c>
      <c r="N173" t="s">
        <v>598</v>
      </c>
      <c r="O173" s="1"/>
      <c r="P173" s="1"/>
      <c r="Q173" s="1"/>
      <c r="R173" s="1"/>
      <c r="V173">
        <v>35.365969911217697</v>
      </c>
      <c r="W173">
        <v>-120.040639713407</v>
      </c>
      <c r="X173" t="s">
        <v>91</v>
      </c>
      <c r="AA173" s="111">
        <v>0.107</v>
      </c>
      <c r="AB173" t="s">
        <v>366</v>
      </c>
      <c r="AC173" t="s">
        <v>102</v>
      </c>
      <c r="AD173" t="s">
        <v>109</v>
      </c>
      <c r="AE173" t="s">
        <v>475</v>
      </c>
      <c r="AF173" s="111" t="s">
        <v>444</v>
      </c>
      <c r="AH173">
        <v>1</v>
      </c>
    </row>
    <row r="174" spans="1:34" x14ac:dyDescent="0.3">
      <c r="A174" t="s">
        <v>196</v>
      </c>
      <c r="B174" t="s">
        <v>712</v>
      </c>
      <c r="C174">
        <v>2014</v>
      </c>
      <c r="D174">
        <v>49900</v>
      </c>
      <c r="E174" s="18">
        <v>58608.818619461956</v>
      </c>
      <c r="G174">
        <v>250000</v>
      </c>
      <c r="H174" t="s">
        <v>713</v>
      </c>
      <c r="I174">
        <v>422.6</v>
      </c>
      <c r="J174" s="1">
        <v>1.7102622000000003</v>
      </c>
      <c r="K174" s="1">
        <v>171.02622000000002</v>
      </c>
      <c r="L174" s="1">
        <v>3.4273791583166338</v>
      </c>
      <c r="M174" s="1">
        <v>29.176812771749262</v>
      </c>
      <c r="V174">
        <v>39.814500000000002</v>
      </c>
      <c r="W174">
        <v>-82.649500000000003</v>
      </c>
      <c r="X174" t="s">
        <v>203</v>
      </c>
      <c r="AA174" s="111"/>
      <c r="AB174" t="s">
        <v>391</v>
      </c>
      <c r="AC174" t="s">
        <v>714</v>
      </c>
      <c r="AD174" t="s">
        <v>24</v>
      </c>
      <c r="AE174" t="s">
        <v>702</v>
      </c>
      <c r="AF174" t="s">
        <v>709</v>
      </c>
      <c r="AH174">
        <v>1</v>
      </c>
    </row>
    <row r="175" spans="1:34" x14ac:dyDescent="0.3">
      <c r="A175" t="s">
        <v>190</v>
      </c>
      <c r="B175" t="s">
        <v>665</v>
      </c>
      <c r="C175">
        <v>2014</v>
      </c>
      <c r="D175" s="18">
        <v>51084.462552292374</v>
      </c>
      <c r="E175">
        <v>60000</v>
      </c>
      <c r="H175" t="s">
        <v>666</v>
      </c>
      <c r="I175">
        <v>600</v>
      </c>
      <c r="J175" s="1">
        <v>2.4282000000000004</v>
      </c>
      <c r="K175" s="1">
        <v>242.82</v>
      </c>
      <c r="L175" s="1">
        <v>4.7533043878349197</v>
      </c>
      <c r="M175" s="1">
        <v>21.037996273903453</v>
      </c>
      <c r="V175">
        <v>30.432400000000001</v>
      </c>
      <c r="W175">
        <v>-97.461100000000002</v>
      </c>
      <c r="X175" t="s">
        <v>203</v>
      </c>
      <c r="AA175" s="111"/>
      <c r="AD175" t="s">
        <v>109</v>
      </c>
      <c r="AE175" t="s">
        <v>611</v>
      </c>
      <c r="AF175" t="s">
        <v>380</v>
      </c>
      <c r="AH175">
        <v>1</v>
      </c>
    </row>
    <row r="176" spans="1:34" x14ac:dyDescent="0.3">
      <c r="A176" t="s">
        <v>26</v>
      </c>
      <c r="B176" t="s">
        <v>688</v>
      </c>
      <c r="C176">
        <v>2014</v>
      </c>
      <c r="D176" s="18">
        <v>85140.770920487281</v>
      </c>
      <c r="E176">
        <v>100000</v>
      </c>
      <c r="H176" t="s">
        <v>677</v>
      </c>
      <c r="I176">
        <v>622</v>
      </c>
      <c r="J176" s="1">
        <v>2.5172340000000002</v>
      </c>
      <c r="K176" s="1">
        <v>251.7234</v>
      </c>
      <c r="L176" s="1">
        <v>2.9565553292333204</v>
      </c>
      <c r="M176" s="1">
        <v>33.823145134893011</v>
      </c>
      <c r="V176">
        <v>33.1374</v>
      </c>
      <c r="W176">
        <v>-115.5279</v>
      </c>
      <c r="X176" t="s">
        <v>203</v>
      </c>
      <c r="AA176" s="111"/>
      <c r="AD176" t="s">
        <v>24</v>
      </c>
      <c r="AH176">
        <v>1</v>
      </c>
    </row>
    <row r="177" spans="1:34" x14ac:dyDescent="0.3">
      <c r="A177" t="s">
        <v>26</v>
      </c>
      <c r="B177" t="s">
        <v>678</v>
      </c>
      <c r="C177">
        <v>2014</v>
      </c>
      <c r="D177">
        <v>200000</v>
      </c>
      <c r="E177" s="18">
        <v>234905.0846471421</v>
      </c>
      <c r="H177" t="s">
        <v>677</v>
      </c>
      <c r="I177">
        <v>1250</v>
      </c>
      <c r="J177" s="1">
        <v>5.0587500000000007</v>
      </c>
      <c r="K177" s="1">
        <v>505.875</v>
      </c>
      <c r="L177" s="1">
        <v>2.5293749999999999</v>
      </c>
      <c r="M177" s="1">
        <v>39.535458364220403</v>
      </c>
      <c r="V177">
        <v>32.6706</v>
      </c>
      <c r="W177">
        <v>-115.6</v>
      </c>
      <c r="X177" t="s">
        <v>203</v>
      </c>
      <c r="AA177" s="111"/>
      <c r="AD177" t="s">
        <v>24</v>
      </c>
      <c r="AE177" t="s">
        <v>475</v>
      </c>
      <c r="AF177" t="s">
        <v>385</v>
      </c>
      <c r="AH177">
        <v>1</v>
      </c>
    </row>
    <row r="178" spans="1:34" x14ac:dyDescent="0.3">
      <c r="A178" t="s">
        <v>26</v>
      </c>
      <c r="B178" t="s">
        <v>679</v>
      </c>
      <c r="C178">
        <v>2014</v>
      </c>
      <c r="D178">
        <v>200000</v>
      </c>
      <c r="E178" s="18">
        <v>234905.0846471421</v>
      </c>
      <c r="H178" t="s">
        <v>677</v>
      </c>
      <c r="I178">
        <v>1250</v>
      </c>
      <c r="J178" s="1">
        <v>5.0587500000000007</v>
      </c>
      <c r="K178" s="1">
        <v>505.875</v>
      </c>
      <c r="L178" s="1">
        <v>2.5293749999999999</v>
      </c>
      <c r="M178" s="1">
        <v>39.535458364220403</v>
      </c>
      <c r="V178">
        <v>32.6706</v>
      </c>
      <c r="W178">
        <v>-115.6</v>
      </c>
      <c r="X178" t="s">
        <v>203</v>
      </c>
      <c r="AA178" s="111"/>
      <c r="AD178" t="s">
        <v>24</v>
      </c>
      <c r="AE178" t="s">
        <v>475</v>
      </c>
      <c r="AF178" t="s">
        <v>385</v>
      </c>
      <c r="AH178">
        <v>1</v>
      </c>
    </row>
    <row r="179" spans="1:34" x14ac:dyDescent="0.3">
      <c r="A179" t="s">
        <v>26</v>
      </c>
      <c r="B179" t="s">
        <v>680</v>
      </c>
      <c r="C179">
        <v>2014</v>
      </c>
      <c r="D179">
        <v>200000</v>
      </c>
      <c r="E179" s="18">
        <v>234905.0846471421</v>
      </c>
      <c r="H179" t="s">
        <v>677</v>
      </c>
      <c r="I179">
        <v>1400</v>
      </c>
      <c r="J179" s="1">
        <v>5.6657999999999999</v>
      </c>
      <c r="K179" s="1">
        <v>566.58000000000004</v>
      </c>
      <c r="L179" s="1">
        <v>2.8329000000000004</v>
      </c>
      <c r="M179" s="1">
        <v>35.299516396625364</v>
      </c>
      <c r="V179">
        <v>32.6706</v>
      </c>
      <c r="W179">
        <v>-115.6</v>
      </c>
      <c r="X179" t="s">
        <v>203</v>
      </c>
      <c r="AA179" s="111"/>
      <c r="AD179" t="s">
        <v>24</v>
      </c>
      <c r="AE179" t="s">
        <v>475</v>
      </c>
      <c r="AF179" t="s">
        <v>385</v>
      </c>
      <c r="AH179">
        <v>1</v>
      </c>
    </row>
    <row r="180" spans="1:34" x14ac:dyDescent="0.3">
      <c r="A180" t="s">
        <v>26</v>
      </c>
      <c r="B180" t="s">
        <v>205</v>
      </c>
      <c r="C180">
        <v>2014</v>
      </c>
      <c r="D180" s="18">
        <v>275000</v>
      </c>
      <c r="E180" s="18">
        <v>322994.49138982041</v>
      </c>
      <c r="F180">
        <v>600</v>
      </c>
      <c r="H180" t="s">
        <v>206</v>
      </c>
      <c r="I180">
        <v>2067</v>
      </c>
      <c r="J180" s="1">
        <v>8.3651490000000006</v>
      </c>
      <c r="K180" s="1">
        <v>836.51490000000001</v>
      </c>
      <c r="L180" s="1">
        <v>3.0418723636363638</v>
      </c>
      <c r="M180" s="1">
        <v>32.874489145381631</v>
      </c>
      <c r="P180" s="1"/>
      <c r="Q180" s="1"/>
      <c r="R180" s="1"/>
      <c r="S180" s="1"/>
      <c r="T180" s="1"/>
      <c r="U180" s="1"/>
      <c r="V180">
        <v>32.784460000000003</v>
      </c>
      <c r="W180">
        <v>-115.857739</v>
      </c>
      <c r="X180" t="s">
        <v>203</v>
      </c>
      <c r="AA180" s="111"/>
      <c r="AB180" s="111"/>
      <c r="AC180" s="111"/>
      <c r="AD180" t="s">
        <v>24</v>
      </c>
      <c r="AE180" t="s">
        <v>110</v>
      </c>
      <c r="AF180" s="111" t="s">
        <v>252</v>
      </c>
      <c r="AH180">
        <v>1</v>
      </c>
    </row>
    <row r="181" spans="1:34" x14ac:dyDescent="0.3">
      <c r="A181" t="s">
        <v>107</v>
      </c>
      <c r="B181" t="s">
        <v>108</v>
      </c>
      <c r="C181">
        <v>2015</v>
      </c>
      <c r="D181" s="18">
        <v>150000</v>
      </c>
      <c r="E181" s="18">
        <v>176178.81348535657</v>
      </c>
      <c r="H181" t="s">
        <v>102</v>
      </c>
      <c r="I181">
        <v>1110</v>
      </c>
      <c r="J181" s="1">
        <v>4.4921700000000007</v>
      </c>
      <c r="K181" s="1">
        <v>449.21699999999998</v>
      </c>
      <c r="L181" s="1">
        <v>2.99478</v>
      </c>
      <c r="M181" s="1">
        <v>33.391434429240206</v>
      </c>
      <c r="O181" s="1"/>
      <c r="P181" s="1"/>
      <c r="Q181" s="1"/>
      <c r="R181" s="1"/>
      <c r="S181" s="1"/>
      <c r="T181" s="1"/>
      <c r="U181" s="1"/>
      <c r="X181" t="s">
        <v>21</v>
      </c>
      <c r="AA181" s="111">
        <v>0.1</v>
      </c>
      <c r="AB181" s="111"/>
      <c r="AC181" s="111" t="s">
        <v>102</v>
      </c>
      <c r="AD181" t="s">
        <v>109</v>
      </c>
      <c r="AE181" t="s">
        <v>110</v>
      </c>
      <c r="AF181" s="111" t="s">
        <v>252</v>
      </c>
      <c r="AH181">
        <v>1</v>
      </c>
    </row>
    <row r="182" spans="1:34" x14ac:dyDescent="0.3">
      <c r="A182" t="s">
        <v>26</v>
      </c>
      <c r="B182" t="s">
        <v>361</v>
      </c>
      <c r="C182">
        <v>2015</v>
      </c>
      <c r="D182" s="18">
        <v>250000</v>
      </c>
      <c r="E182" s="18">
        <v>293631.35580892762</v>
      </c>
      <c r="G182">
        <v>811000</v>
      </c>
      <c r="H182" t="s">
        <v>372</v>
      </c>
      <c r="I182">
        <v>1735</v>
      </c>
      <c r="J182" s="1">
        <v>7.0215450000000006</v>
      </c>
      <c r="K182" s="1">
        <v>702.15449999999998</v>
      </c>
      <c r="L182" s="1">
        <v>2.8086180000000001</v>
      </c>
      <c r="M182" s="1">
        <v>35.604699535501084</v>
      </c>
      <c r="O182" s="1"/>
      <c r="P182" s="1"/>
      <c r="Q182" s="1"/>
      <c r="R182" s="1"/>
      <c r="S182" s="1"/>
      <c r="T182" s="1"/>
      <c r="U182" s="1"/>
      <c r="V182">
        <v>35.3074997663498</v>
      </c>
      <c r="W182">
        <v>-119.91612017154701</v>
      </c>
      <c r="X182" t="s">
        <v>21</v>
      </c>
      <c r="Z182" t="s">
        <v>371</v>
      </c>
      <c r="AA182" s="111"/>
      <c r="AB182" s="111"/>
      <c r="AC182" s="111"/>
      <c r="AD182" t="s">
        <v>109</v>
      </c>
      <c r="AE182" t="s">
        <v>110</v>
      </c>
      <c r="AF182" s="111" t="s">
        <v>7</v>
      </c>
      <c r="AG182">
        <v>1</v>
      </c>
      <c r="AH182">
        <v>1</v>
      </c>
    </row>
    <row r="183" spans="1:34" x14ac:dyDescent="0.3">
      <c r="A183" t="s">
        <v>26</v>
      </c>
      <c r="B183" t="s">
        <v>731</v>
      </c>
      <c r="C183">
        <v>2015</v>
      </c>
      <c r="D183" s="18">
        <v>127711.15638073093</v>
      </c>
      <c r="E183">
        <v>150000</v>
      </c>
      <c r="H183" t="s">
        <v>730</v>
      </c>
      <c r="I183">
        <v>1057</v>
      </c>
      <c r="J183" s="1">
        <v>4.277679</v>
      </c>
      <c r="K183" s="1">
        <v>427.7679</v>
      </c>
      <c r="L183" s="1">
        <v>3.3494951586276738</v>
      </c>
      <c r="M183" s="1">
        <v>29.855245421811905</v>
      </c>
      <c r="V183">
        <v>32.772010000000002</v>
      </c>
      <c r="W183">
        <v>-115.79382</v>
      </c>
      <c r="X183" t="s">
        <v>139</v>
      </c>
      <c r="AA183" s="111">
        <v>0.25</v>
      </c>
      <c r="AB183" t="s">
        <v>732</v>
      </c>
      <c r="AD183" t="s">
        <v>24</v>
      </c>
      <c r="AE183" t="s">
        <v>475</v>
      </c>
      <c r="AF183" t="s">
        <v>252</v>
      </c>
      <c r="AH183">
        <v>1</v>
      </c>
    </row>
    <row r="184" spans="1:34" x14ac:dyDescent="0.3">
      <c r="A184" t="s">
        <v>26</v>
      </c>
      <c r="B184" t="s">
        <v>690</v>
      </c>
      <c r="C184">
        <v>2015</v>
      </c>
      <c r="D184">
        <v>23000</v>
      </c>
      <c r="E184">
        <v>28700</v>
      </c>
      <c r="G184">
        <v>100000</v>
      </c>
      <c r="H184" t="s">
        <v>682</v>
      </c>
      <c r="I184">
        <v>123</v>
      </c>
      <c r="J184" s="1">
        <v>0.49778100000000003</v>
      </c>
      <c r="K184" s="1">
        <v>49.778100000000002</v>
      </c>
      <c r="L184" s="1">
        <v>2.1642652173913044</v>
      </c>
      <c r="M184" s="1">
        <v>46.205058047615317</v>
      </c>
      <c r="V184">
        <v>33.245399999999997</v>
      </c>
      <c r="W184">
        <v>-115.4982</v>
      </c>
      <c r="X184" t="s">
        <v>203</v>
      </c>
      <c r="AA184" s="111">
        <v>0.14899999999999999</v>
      </c>
      <c r="AB184" t="s">
        <v>399</v>
      </c>
      <c r="AC184" t="s">
        <v>689</v>
      </c>
      <c r="AD184" t="s">
        <v>24</v>
      </c>
      <c r="AH184">
        <v>1</v>
      </c>
    </row>
    <row r="185" spans="1:34" x14ac:dyDescent="0.3">
      <c r="A185" t="s">
        <v>160</v>
      </c>
      <c r="B185" t="s">
        <v>715</v>
      </c>
      <c r="C185">
        <v>2015</v>
      </c>
      <c r="D185" s="18">
        <v>42570.38546024364</v>
      </c>
      <c r="E185">
        <v>50000</v>
      </c>
      <c r="H185" t="s">
        <v>716</v>
      </c>
      <c r="I185">
        <v>160</v>
      </c>
      <c r="J185" s="1">
        <v>0.6475200000000001</v>
      </c>
      <c r="K185" s="1">
        <v>64.751999999999995</v>
      </c>
      <c r="L185" s="1">
        <v>1.5210574041071745</v>
      </c>
      <c r="M185" s="1">
        <v>65.743738355948295</v>
      </c>
      <c r="V185">
        <v>34.783200000000001</v>
      </c>
      <c r="W185">
        <v>-106.083</v>
      </c>
      <c r="X185" t="s">
        <v>203</v>
      </c>
      <c r="AA185" s="111"/>
      <c r="AD185" t="s">
        <v>24</v>
      </c>
      <c r="AE185" t="s">
        <v>611</v>
      </c>
      <c r="AF185" t="s">
        <v>380</v>
      </c>
      <c r="AH185">
        <v>1</v>
      </c>
    </row>
    <row r="186" spans="1:34" x14ac:dyDescent="0.3">
      <c r="A186" t="s">
        <v>26</v>
      </c>
      <c r="B186" t="s">
        <v>691</v>
      </c>
      <c r="C186">
        <v>2015</v>
      </c>
      <c r="D186" s="18">
        <v>425703.85460243642</v>
      </c>
      <c r="E186">
        <v>500000</v>
      </c>
      <c r="H186" t="s">
        <v>692</v>
      </c>
      <c r="I186">
        <v>5587</v>
      </c>
      <c r="J186" s="1">
        <v>22.610589000000001</v>
      </c>
      <c r="K186" s="1">
        <v>2261.0589</v>
      </c>
      <c r="L186" s="1">
        <v>5.3113423229667402</v>
      </c>
      <c r="M186" s="1">
        <v>18.827632247989488</v>
      </c>
      <c r="V186">
        <v>33.036700000000003</v>
      </c>
      <c r="W186">
        <v>-115.7557</v>
      </c>
      <c r="X186" t="s">
        <v>203</v>
      </c>
      <c r="AA186" s="111"/>
      <c r="AD186" t="s">
        <v>24</v>
      </c>
      <c r="AE186" t="s">
        <v>694</v>
      </c>
      <c r="AF186" t="s">
        <v>695</v>
      </c>
      <c r="AG186">
        <v>1</v>
      </c>
      <c r="AH186">
        <v>1</v>
      </c>
    </row>
    <row r="187" spans="1:34" x14ac:dyDescent="0.3">
      <c r="A187" t="s">
        <v>107</v>
      </c>
      <c r="B187" t="s">
        <v>734</v>
      </c>
      <c r="C187">
        <v>2015</v>
      </c>
      <c r="D187" s="18">
        <v>613013.55062750843</v>
      </c>
      <c r="E187">
        <v>720000</v>
      </c>
      <c r="H187" t="s">
        <v>733</v>
      </c>
      <c r="I187">
        <v>5436</v>
      </c>
      <c r="J187" s="1">
        <v>21.999492</v>
      </c>
      <c r="K187" s="1">
        <v>2199.9492</v>
      </c>
      <c r="L187" s="1">
        <v>3.5887448128153654</v>
      </c>
      <c r="M187" s="1">
        <v>27.86489572702444</v>
      </c>
      <c r="V187">
        <v>35.077634000000003</v>
      </c>
      <c r="W187">
        <v>-114.639931</v>
      </c>
      <c r="X187" t="s">
        <v>203</v>
      </c>
      <c r="AA187" s="111"/>
      <c r="AB187" t="s">
        <v>366</v>
      </c>
      <c r="AC187" t="s">
        <v>735</v>
      </c>
      <c r="AD187" t="s">
        <v>24</v>
      </c>
      <c r="AE187" t="s">
        <v>611</v>
      </c>
      <c r="AF187" t="s">
        <v>380</v>
      </c>
      <c r="AH187">
        <v>1</v>
      </c>
    </row>
    <row r="188" spans="1:34" x14ac:dyDescent="0.3">
      <c r="A188" t="s">
        <v>35</v>
      </c>
      <c r="B188" t="s">
        <v>697</v>
      </c>
      <c r="C188">
        <v>2016</v>
      </c>
      <c r="D188">
        <v>300000</v>
      </c>
      <c r="E188" s="18">
        <v>352357.62697071314</v>
      </c>
      <c r="H188" t="s">
        <v>698</v>
      </c>
      <c r="I188">
        <v>2013</v>
      </c>
      <c r="J188" s="1">
        <v>8.146611</v>
      </c>
      <c r="K188" s="1">
        <v>814.66110000000003</v>
      </c>
      <c r="L188" s="1">
        <v>2.7155370000000003</v>
      </c>
      <c r="M188" s="1">
        <v>36.825128878744792</v>
      </c>
      <c r="V188">
        <v>33.2393</v>
      </c>
      <c r="W188">
        <v>-112.6202</v>
      </c>
      <c r="X188" t="s">
        <v>21</v>
      </c>
      <c r="AA188" s="111"/>
      <c r="AD188" t="s">
        <v>24</v>
      </c>
      <c r="AE188" t="s">
        <v>694</v>
      </c>
      <c r="AF188" t="s">
        <v>699</v>
      </c>
      <c r="AH188">
        <v>1</v>
      </c>
    </row>
    <row r="189" spans="1:34" x14ac:dyDescent="0.3">
      <c r="A189" t="s">
        <v>148</v>
      </c>
      <c r="B189" t="s">
        <v>376</v>
      </c>
      <c r="C189">
        <v>2016</v>
      </c>
      <c r="D189" s="18">
        <v>63855.578190365464</v>
      </c>
      <c r="E189" s="18">
        <v>75000</v>
      </c>
      <c r="F189">
        <v>350</v>
      </c>
      <c r="H189" t="s">
        <v>377</v>
      </c>
      <c r="I189">
        <v>400</v>
      </c>
      <c r="J189" s="1">
        <v>1.6188</v>
      </c>
      <c r="K189" s="1">
        <v>161.88</v>
      </c>
      <c r="L189" s="1">
        <v>2.5350956735119574</v>
      </c>
      <c r="M189" s="1">
        <v>39.446243013568981</v>
      </c>
      <c r="O189" s="1"/>
      <c r="P189" s="1"/>
      <c r="Q189" s="1"/>
      <c r="R189" s="1"/>
      <c r="S189" s="1"/>
      <c r="T189" s="1"/>
      <c r="U189" s="1"/>
      <c r="X189" t="s">
        <v>203</v>
      </c>
      <c r="AA189" s="111"/>
      <c r="AB189" s="111"/>
      <c r="AC189" s="111"/>
      <c r="AD189" t="s">
        <v>24</v>
      </c>
      <c r="AE189" t="s">
        <v>110</v>
      </c>
      <c r="AF189" s="111" t="s">
        <v>252</v>
      </c>
      <c r="AH189">
        <v>1</v>
      </c>
    </row>
    <row r="190" spans="1:34" x14ac:dyDescent="0.3">
      <c r="A190" t="s">
        <v>160</v>
      </c>
      <c r="B190" t="s">
        <v>201</v>
      </c>
      <c r="C190">
        <v>2016</v>
      </c>
      <c r="D190" s="18">
        <v>255422.31276146186</v>
      </c>
      <c r="E190" s="18">
        <v>300000</v>
      </c>
      <c r="F190">
        <v>1000</v>
      </c>
      <c r="H190" t="s">
        <v>202</v>
      </c>
      <c r="I190">
        <v>2500</v>
      </c>
      <c r="J190" s="1">
        <v>10.117500000000001</v>
      </c>
      <c r="K190" s="1">
        <v>1011.75</v>
      </c>
      <c r="L190" s="1">
        <v>3.9610869898624337</v>
      </c>
      <c r="M190" s="1">
        <v>29.651593773165303</v>
      </c>
      <c r="O190" s="1"/>
      <c r="P190" s="1"/>
      <c r="Q190" s="1"/>
      <c r="R190" s="1"/>
      <c r="S190" s="1"/>
      <c r="T190" s="1"/>
      <c r="U190" s="1"/>
      <c r="X190" t="s">
        <v>203</v>
      </c>
      <c r="AA190" s="111"/>
      <c r="AB190" s="111"/>
      <c r="AC190" s="111"/>
      <c r="AD190" t="s">
        <v>24</v>
      </c>
      <c r="AE190" t="s">
        <v>157</v>
      </c>
      <c r="AF190" s="111" t="s">
        <v>352</v>
      </c>
      <c r="AH190">
        <v>1</v>
      </c>
    </row>
    <row r="191" spans="1:34" x14ac:dyDescent="0.3">
      <c r="A191" t="s">
        <v>35</v>
      </c>
      <c r="B191" t="s">
        <v>396</v>
      </c>
      <c r="C191">
        <v>2016</v>
      </c>
      <c r="D191" s="18">
        <v>595985.39644341101</v>
      </c>
      <c r="E191" s="18">
        <v>700000</v>
      </c>
      <c r="H191" t="s">
        <v>186</v>
      </c>
      <c r="I191">
        <v>4000</v>
      </c>
      <c r="J191" s="1">
        <v>16.188000000000002</v>
      </c>
      <c r="K191" s="1">
        <v>1618.8</v>
      </c>
      <c r="L191" s="1">
        <v>2.7161739359056689</v>
      </c>
      <c r="M191" s="1">
        <v>36.816493479331044</v>
      </c>
      <c r="P191" s="1"/>
      <c r="Q191" s="1"/>
      <c r="R191" s="1"/>
      <c r="S191" s="1"/>
      <c r="T191" s="1"/>
      <c r="U191" s="1"/>
      <c r="X191" t="s">
        <v>203</v>
      </c>
      <c r="AA191" s="111"/>
      <c r="AD191" t="s">
        <v>24</v>
      </c>
      <c r="AF191" s="111"/>
      <c r="AG191">
        <v>1</v>
      </c>
      <c r="AH191">
        <v>1</v>
      </c>
    </row>
    <row r="192" spans="1:34" x14ac:dyDescent="0.3">
      <c r="A192" t="s">
        <v>148</v>
      </c>
      <c r="B192" t="s">
        <v>719</v>
      </c>
      <c r="C192">
        <v>2017</v>
      </c>
      <c r="D192" s="18">
        <v>85140.770920487281</v>
      </c>
      <c r="E192">
        <v>100000</v>
      </c>
      <c r="F192">
        <v>350</v>
      </c>
      <c r="H192" t="s">
        <v>718</v>
      </c>
      <c r="I192">
        <v>1000</v>
      </c>
      <c r="J192" s="1">
        <v>4.0470000000000006</v>
      </c>
      <c r="K192" s="1">
        <v>404.7</v>
      </c>
      <c r="L192" s="1">
        <v>4.7533043878349206</v>
      </c>
      <c r="M192" s="1">
        <v>21.037996273903453</v>
      </c>
      <c r="V192" t="s">
        <v>724</v>
      </c>
      <c r="X192" t="s">
        <v>203</v>
      </c>
      <c r="AA192" s="111"/>
      <c r="AD192" t="s">
        <v>24</v>
      </c>
      <c r="AE192" t="s">
        <v>611</v>
      </c>
      <c r="AF192" t="s">
        <v>252</v>
      </c>
      <c r="AH192">
        <v>1</v>
      </c>
    </row>
    <row r="193" spans="1:34" x14ac:dyDescent="0.3">
      <c r="A193" t="s">
        <v>148</v>
      </c>
      <c r="B193" t="s">
        <v>720</v>
      </c>
      <c r="C193">
        <v>2017</v>
      </c>
      <c r="D193" s="18">
        <v>170281.54184097456</v>
      </c>
      <c r="E193">
        <v>200000</v>
      </c>
      <c r="F193">
        <v>700</v>
      </c>
      <c r="H193" t="s">
        <v>718</v>
      </c>
      <c r="I193">
        <v>2000</v>
      </c>
      <c r="J193" s="1">
        <v>8.0940000000000012</v>
      </c>
      <c r="K193" s="1">
        <v>809.4</v>
      </c>
      <c r="L193" s="1">
        <v>4.7533043878349206</v>
      </c>
      <c r="M193" s="1">
        <v>21.037996273903453</v>
      </c>
      <c r="V193" t="s">
        <v>724</v>
      </c>
      <c r="X193" t="s">
        <v>203</v>
      </c>
      <c r="AA193" s="111"/>
      <c r="AD193" t="s">
        <v>24</v>
      </c>
      <c r="AE193" t="s">
        <v>611</v>
      </c>
      <c r="AF193" t="s">
        <v>252</v>
      </c>
      <c r="AH193">
        <v>1</v>
      </c>
    </row>
    <row r="194" spans="1:34" x14ac:dyDescent="0.3">
      <c r="A194" t="s">
        <v>148</v>
      </c>
      <c r="B194" t="s">
        <v>717</v>
      </c>
      <c r="C194">
        <v>2020</v>
      </c>
      <c r="D194" s="18">
        <v>340563.08368194912</v>
      </c>
      <c r="E194">
        <v>400000</v>
      </c>
      <c r="F194">
        <v>1500</v>
      </c>
      <c r="H194" t="s">
        <v>718</v>
      </c>
      <c r="I194">
        <v>4000</v>
      </c>
      <c r="J194">
        <v>16.188000000000002</v>
      </c>
      <c r="K194">
        <v>1618.8</v>
      </c>
      <c r="L194">
        <v>4.7533043878349206</v>
      </c>
      <c r="M194">
        <v>21.037996273903453</v>
      </c>
      <c r="V194" t="s">
        <v>724</v>
      </c>
      <c r="X194" t="s">
        <v>203</v>
      </c>
      <c r="AA194" s="111"/>
      <c r="AD194" t="s">
        <v>24</v>
      </c>
      <c r="AE194" t="s">
        <v>611</v>
      </c>
      <c r="AF194" t="s">
        <v>252</v>
      </c>
      <c r="AH194">
        <v>1</v>
      </c>
    </row>
    <row r="199" spans="1:34" ht="15" thickBot="1" x14ac:dyDescent="0.35">
      <c r="H199" s="11" t="s">
        <v>871</v>
      </c>
      <c r="I199" s="11"/>
      <c r="J199" s="11"/>
      <c r="K199" s="11"/>
      <c r="L199" s="11"/>
      <c r="M199" s="11"/>
      <c r="N199" s="11"/>
      <c r="O199" s="11"/>
      <c r="P199" s="11"/>
      <c r="Q199" s="11"/>
      <c r="R199" s="11"/>
      <c r="S199" s="11"/>
      <c r="T199" s="11"/>
      <c r="U199" s="11" t="s">
        <v>841</v>
      </c>
      <c r="V199" s="11"/>
      <c r="W199" s="11"/>
      <c r="X199" s="11"/>
      <c r="Y199" s="11"/>
      <c r="Z199" s="11"/>
      <c r="AA199" s="11"/>
    </row>
    <row r="200" spans="1:34" x14ac:dyDescent="0.3">
      <c r="F200" t="s">
        <v>866</v>
      </c>
      <c r="H200" t="s">
        <v>134</v>
      </c>
      <c r="I200" s="26">
        <f>MAX(I$3:I$12)</f>
        <v>140</v>
      </c>
      <c r="J200" s="26">
        <f t="shared" ref="J200:R200" si="0">MAX(J$3:J$12)</f>
        <v>0.56658000000000008</v>
      </c>
      <c r="K200" s="26">
        <f t="shared" si="0"/>
        <v>56.65598988</v>
      </c>
      <c r="L200" s="26">
        <f t="shared" si="0"/>
        <v>5.463591579328674</v>
      </c>
      <c r="M200" s="26">
        <f t="shared" si="0"/>
        <v>34.032487418834208</v>
      </c>
      <c r="N200" s="26">
        <f t="shared" si="0"/>
        <v>111</v>
      </c>
      <c r="O200" s="26">
        <f t="shared" si="0"/>
        <v>0.44921700000000003</v>
      </c>
      <c r="P200" s="26">
        <f t="shared" si="0"/>
        <v>44.921700000000001</v>
      </c>
      <c r="Q200" s="26">
        <f t="shared" si="0"/>
        <v>3.3275333333333332</v>
      </c>
      <c r="R200" s="26">
        <f t="shared" si="0"/>
        <v>59.522008831784241</v>
      </c>
      <c r="S200" s="11"/>
      <c r="T200" s="11"/>
      <c r="U200" s="171" t="s">
        <v>842</v>
      </c>
      <c r="V200" s="118" t="s">
        <v>13</v>
      </c>
      <c r="W200" s="118"/>
      <c r="X200" s="118"/>
      <c r="Y200" s="118" t="s">
        <v>9</v>
      </c>
      <c r="Z200" s="118"/>
      <c r="AA200" s="119"/>
    </row>
    <row r="201" spans="1:34" ht="15" thickBot="1" x14ac:dyDescent="0.35">
      <c r="H201" t="s">
        <v>135</v>
      </c>
      <c r="I201" s="26">
        <f>MIN(I$3:I$12)</f>
        <v>1.635</v>
      </c>
      <c r="J201" s="26">
        <f t="shared" ref="J201:R201" si="1">MIN(J$3:J$12)</f>
        <v>6.6168450000000005E-3</v>
      </c>
      <c r="K201" s="26">
        <f t="shared" si="1"/>
        <v>0.66166102466999999</v>
      </c>
      <c r="L201" s="26">
        <f t="shared" si="1"/>
        <v>2.9382645751443124</v>
      </c>
      <c r="M201" s="26">
        <f t="shared" si="1"/>
        <v>18.302329289242348</v>
      </c>
      <c r="N201" s="26">
        <f t="shared" si="1"/>
        <v>0.86</v>
      </c>
      <c r="O201" s="26">
        <f t="shared" si="1"/>
        <v>3.4804200000000001E-3</v>
      </c>
      <c r="P201" s="26">
        <f t="shared" si="1"/>
        <v>0.34804200000000002</v>
      </c>
      <c r="Q201" s="26">
        <f t="shared" si="1"/>
        <v>1.6800508242692385</v>
      </c>
      <c r="R201" s="26">
        <f t="shared" si="1"/>
        <v>30.052290986316187</v>
      </c>
      <c r="S201" s="11"/>
      <c r="T201" s="11"/>
      <c r="U201" s="179" t="str">
        <f t="shared" ref="U201:U225" si="2">H199</f>
        <v>2001 to 2007</v>
      </c>
      <c r="V201" s="180" t="s">
        <v>761</v>
      </c>
      <c r="W201" s="181" t="s">
        <v>239</v>
      </c>
      <c r="X201" s="182" t="s">
        <v>762</v>
      </c>
      <c r="Y201" s="182" t="s">
        <v>761</v>
      </c>
      <c r="Z201" s="182" t="s">
        <v>239</v>
      </c>
      <c r="AA201" s="183" t="s">
        <v>762</v>
      </c>
    </row>
    <row r="202" spans="1:34" x14ac:dyDescent="0.3">
      <c r="H202" t="s">
        <v>137</v>
      </c>
      <c r="I202" s="26">
        <f>wtavg($D$3:$D$12,I$3:I$12)</f>
        <v>86.292465667783489</v>
      </c>
      <c r="J202" s="26">
        <f t="shared" ref="J202:R202" si="3">wtavg($D$3:$D$12,J$3:J$12)</f>
        <v>0.34922560855751972</v>
      </c>
      <c r="K202" s="26">
        <f t="shared" si="3"/>
        <v>34.921321868529915</v>
      </c>
      <c r="L202" s="26">
        <f t="shared" si="3"/>
        <v>4.0775911009833479</v>
      </c>
      <c r="M202" s="26">
        <f t="shared" si="3"/>
        <v>25.351382658397231</v>
      </c>
      <c r="N202" s="26">
        <f t="shared" si="3"/>
        <v>63.755798230327272</v>
      </c>
      <c r="O202" s="26">
        <f t="shared" si="3"/>
        <v>0.25801971543813451</v>
      </c>
      <c r="P202" s="26">
        <f t="shared" si="3"/>
        <v>25.801949991798782</v>
      </c>
      <c r="Q202" s="26">
        <f t="shared" si="3"/>
        <v>2.9225512159360618</v>
      </c>
      <c r="R202" s="26">
        <f t="shared" si="3"/>
        <v>35.268323877071253</v>
      </c>
      <c r="S202" s="11"/>
      <c r="T202" s="11"/>
      <c r="U202" s="120" t="str">
        <f t="shared" si="2"/>
        <v>Max</v>
      </c>
      <c r="V202" s="164">
        <f>L200</f>
        <v>5.463591579328674</v>
      </c>
      <c r="W202" s="123">
        <f>V202*2.47105381</f>
        <v>13.500828788384037</v>
      </c>
      <c r="X202" s="9">
        <f>M200</f>
        <v>34.032487418834208</v>
      </c>
      <c r="Y202" s="9">
        <f>Q200</f>
        <v>3.3275333333333332</v>
      </c>
      <c r="Z202" s="123">
        <f>Y202*2.47105381</f>
        <v>8.2225139212353326</v>
      </c>
      <c r="AA202" s="161">
        <f>R200</f>
        <v>59.522008831784241</v>
      </c>
    </row>
    <row r="203" spans="1:34" x14ac:dyDescent="0.3">
      <c r="H203" t="s">
        <v>136</v>
      </c>
      <c r="I203" s="26">
        <f>wtstd($D$3:$D$12,I$3:I$12)</f>
        <v>29.009072851141575</v>
      </c>
      <c r="J203" s="26">
        <f t="shared" ref="J203:R203" si="4">wtstd($D$3:$D$12,J$3:J$12)</f>
        <v>0.11739971782857</v>
      </c>
      <c r="K203" s="26">
        <f t="shared" si="4"/>
        <v>11.739555270589001</v>
      </c>
      <c r="L203" s="26">
        <f t="shared" si="4"/>
        <v>0.49468797034784845</v>
      </c>
      <c r="M203" s="26">
        <f t="shared" si="4"/>
        <v>3.0739092912599109</v>
      </c>
      <c r="N203" s="26">
        <f t="shared" si="4"/>
        <v>30.496377167529424</v>
      </c>
      <c r="O203" s="26">
        <f t="shared" si="4"/>
        <v>0.1234188383969916</v>
      </c>
      <c r="P203" s="26">
        <f t="shared" si="4"/>
        <v>12.341899654425061</v>
      </c>
      <c r="Q203" s="26">
        <f t="shared" si="4"/>
        <v>0.32652184116053234</v>
      </c>
      <c r="R203" s="26">
        <f t="shared" si="4"/>
        <v>4.8137553345722104</v>
      </c>
      <c r="S203" s="11"/>
      <c r="T203" s="11"/>
      <c r="U203" s="120" t="str">
        <f t="shared" si="2"/>
        <v>Min</v>
      </c>
      <c r="V203" s="164">
        <f t="shared" ref="V203:V225" si="5">L201</f>
        <v>2.9382645751443124</v>
      </c>
      <c r="W203" s="123">
        <f t="shared" ref="W203:W225" si="6">V203*2.47105381</f>
        <v>7.2606098731983844</v>
      </c>
      <c r="X203" s="9">
        <f t="shared" ref="X203:X225" si="7">M201</f>
        <v>18.302329289242348</v>
      </c>
      <c r="Y203" s="9">
        <f t="shared" ref="Y203:Y225" si="8">Q201</f>
        <v>1.6800508242692385</v>
      </c>
      <c r="Z203" s="123">
        <f t="shared" ref="Z203:Z225" si="9">Y203*2.47105381</f>
        <v>4.1514959903041424</v>
      </c>
      <c r="AA203" s="161">
        <f t="shared" ref="AA203:AA225" si="10">R201</f>
        <v>30.052290986316187</v>
      </c>
    </row>
    <row r="204" spans="1:34" x14ac:dyDescent="0.3">
      <c r="H204" s="11" t="s">
        <v>872</v>
      </c>
      <c r="I204" s="26"/>
      <c r="J204" s="25"/>
      <c r="K204" s="26"/>
      <c r="L204" s="26"/>
      <c r="M204" s="26"/>
      <c r="N204" s="26"/>
      <c r="O204" s="26"/>
      <c r="P204" s="26"/>
      <c r="Q204" s="26"/>
      <c r="R204" s="26"/>
      <c r="S204" s="11"/>
      <c r="T204" s="11"/>
      <c r="U204" s="178" t="str">
        <f t="shared" si="2"/>
        <v>W. Average</v>
      </c>
      <c r="V204" s="168">
        <f t="shared" si="5"/>
        <v>4.0775911009833479</v>
      </c>
      <c r="W204" s="169">
        <f t="shared" si="6"/>
        <v>10.075947025706997</v>
      </c>
      <c r="X204" s="170">
        <f t="shared" si="7"/>
        <v>25.351382658397231</v>
      </c>
      <c r="Y204" s="170">
        <f t="shared" si="8"/>
        <v>2.9225512159360618</v>
      </c>
      <c r="Z204" s="169">
        <f t="shared" si="9"/>
        <v>7.2217813170589382</v>
      </c>
      <c r="AA204" s="172">
        <f t="shared" si="10"/>
        <v>35.268323877071253</v>
      </c>
    </row>
    <row r="205" spans="1:34" ht="15" thickBot="1" x14ac:dyDescent="0.35">
      <c r="F205" t="s">
        <v>867</v>
      </c>
      <c r="H205" t="s">
        <v>134</v>
      </c>
      <c r="I205" s="26">
        <f>MAX(I$13:I$42)</f>
        <v>235</v>
      </c>
      <c r="J205" s="26">
        <f t="shared" ref="J205:R205" si="11">MAX(J$13:J$42)</f>
        <v>0.95104500000000003</v>
      </c>
      <c r="K205" s="26">
        <f t="shared" si="11"/>
        <v>95.104500000000002</v>
      </c>
      <c r="L205" s="26">
        <f t="shared" si="11"/>
        <v>5.0926732476404499</v>
      </c>
      <c r="M205" s="26">
        <f t="shared" si="11"/>
        <v>62.062089008015192</v>
      </c>
      <c r="N205" s="26">
        <f t="shared" si="11"/>
        <v>180</v>
      </c>
      <c r="O205" s="26">
        <f t="shared" si="11"/>
        <v>0.72846</v>
      </c>
      <c r="P205" s="26">
        <f t="shared" si="11"/>
        <v>72.846000000000004</v>
      </c>
      <c r="Q205" s="26">
        <f t="shared" si="11"/>
        <v>4.2779739490514288</v>
      </c>
      <c r="R205" s="26">
        <f t="shared" si="11"/>
        <v>91.9438355674299</v>
      </c>
      <c r="S205" s="11"/>
      <c r="T205" s="11"/>
      <c r="U205" s="120" t="str">
        <f t="shared" si="2"/>
        <v>SD</v>
      </c>
      <c r="V205" s="164">
        <f t="shared" si="5"/>
        <v>0.49468797034784845</v>
      </c>
      <c r="W205" s="123">
        <f t="shared" si="6"/>
        <v>1.222400593889218</v>
      </c>
      <c r="X205" s="9">
        <f t="shared" si="7"/>
        <v>3.0739092912599109</v>
      </c>
      <c r="Y205" s="9">
        <f t="shared" si="8"/>
        <v>0.32652184116053234</v>
      </c>
      <c r="Z205" s="123">
        <f t="shared" si="9"/>
        <v>0.80685303964794819</v>
      </c>
      <c r="AA205" s="161">
        <f t="shared" si="10"/>
        <v>4.8137553345722104</v>
      </c>
    </row>
    <row r="206" spans="1:34" ht="15" thickBot="1" x14ac:dyDescent="0.35">
      <c r="H206" t="s">
        <v>135</v>
      </c>
      <c r="I206" s="26">
        <f>MIN(I$13:I$42)</f>
        <v>4</v>
      </c>
      <c r="J206" s="26">
        <f t="shared" ref="J206:R206" si="12">MIN(J$13:J$42)</f>
        <v>1.6188000000000001E-2</v>
      </c>
      <c r="K206" s="26">
        <f t="shared" si="12"/>
        <v>1.618742568</v>
      </c>
      <c r="L206" s="26">
        <f t="shared" si="12"/>
        <v>1.6112324574490346</v>
      </c>
      <c r="M206" s="26">
        <f t="shared" si="12"/>
        <v>19.635355995622859</v>
      </c>
      <c r="N206" s="26">
        <f t="shared" si="12"/>
        <v>2.5</v>
      </c>
      <c r="O206" s="26">
        <f t="shared" si="12"/>
        <v>1.0117500000000001E-2</v>
      </c>
      <c r="P206" s="26">
        <f t="shared" si="12"/>
        <v>1.0117499999999999</v>
      </c>
      <c r="Q206" s="26">
        <f t="shared" si="12"/>
        <v>1.0876204955215496</v>
      </c>
      <c r="R206" s="26">
        <f t="shared" si="12"/>
        <v>23.375551415448282</v>
      </c>
      <c r="S206" s="11"/>
      <c r="T206" s="11"/>
      <c r="U206" s="173" t="s">
        <v>243</v>
      </c>
      <c r="V206" s="174"/>
      <c r="W206" s="175"/>
      <c r="X206" s="176"/>
      <c r="Y206" s="176"/>
      <c r="Z206" s="175"/>
      <c r="AA206" s="177"/>
    </row>
    <row r="207" spans="1:34" x14ac:dyDescent="0.3">
      <c r="H207" t="s">
        <v>137</v>
      </c>
      <c r="I207" s="26">
        <f>wtavg($D$13:$D$42,I$13:I$42)</f>
        <v>125.28316606909584</v>
      </c>
      <c r="J207" s="26">
        <f t="shared" ref="J207:R207" si="13">wtavg($D$13:$D$42,J$13:J$42)</f>
        <v>0.50702097308163085</v>
      </c>
      <c r="K207" s="26">
        <f t="shared" si="13"/>
        <v>50.701905715755039</v>
      </c>
      <c r="L207" s="26">
        <f t="shared" si="13"/>
        <v>3.4867020732843192</v>
      </c>
      <c r="M207" s="26">
        <f t="shared" si="13"/>
        <v>29.893694073268239</v>
      </c>
      <c r="N207" s="26">
        <f t="shared" si="13"/>
        <v>94.757805145248852</v>
      </c>
      <c r="O207" s="26">
        <f t="shared" si="13"/>
        <v>0.38348483742282208</v>
      </c>
      <c r="P207" s="26">
        <f t="shared" si="13"/>
        <v>38.348466980896497</v>
      </c>
      <c r="Q207" s="26">
        <f t="shared" si="13"/>
        <v>2.6299705594206229</v>
      </c>
      <c r="R207" s="26">
        <f t="shared" si="13"/>
        <v>39.808549792088343</v>
      </c>
      <c r="S207" s="11"/>
      <c r="T207" s="11"/>
      <c r="U207" s="120" t="str">
        <f>H210</f>
        <v>Max</v>
      </c>
      <c r="V207" s="164">
        <f t="shared" si="5"/>
        <v>5.0926732476404499</v>
      </c>
      <c r="W207" s="123">
        <f t="shared" si="6"/>
        <v>12.584269631667008</v>
      </c>
      <c r="X207" s="9">
        <f t="shared" si="7"/>
        <v>62.062089008015192</v>
      </c>
      <c r="Y207" s="9">
        <f t="shared" si="8"/>
        <v>4.2779739490514288</v>
      </c>
      <c r="Z207" s="123">
        <f t="shared" si="9"/>
        <v>10.571103825884279</v>
      </c>
      <c r="AA207" s="161">
        <f t="shared" si="10"/>
        <v>91.9438355674299</v>
      </c>
    </row>
    <row r="208" spans="1:34" x14ac:dyDescent="0.3">
      <c r="H208" t="s">
        <v>136</v>
      </c>
      <c r="I208" s="26">
        <f>wtstd($D$13:$D$42,I$13:I$42)</f>
        <v>35.655017017702598</v>
      </c>
      <c r="J208" s="26">
        <f t="shared" ref="J208:R208" si="14">wtstd($D$13:$D$42,J$13:J$42)</f>
        <v>0.14429585387064242</v>
      </c>
      <c r="K208" s="26">
        <f t="shared" si="14"/>
        <v>14.429633955902359</v>
      </c>
      <c r="L208" s="26">
        <f t="shared" si="14"/>
        <v>0.22886871142044687</v>
      </c>
      <c r="M208" s="26">
        <f t="shared" si="14"/>
        <v>2.7221099830779112</v>
      </c>
      <c r="N208" s="26">
        <f t="shared" si="14"/>
        <v>26.837294134502518</v>
      </c>
      <c r="O208" s="26">
        <f t="shared" si="14"/>
        <v>0.1086105293623317</v>
      </c>
      <c r="P208" s="26">
        <f t="shared" si="14"/>
        <v>10.861060471032982</v>
      </c>
      <c r="Q208" s="26">
        <f t="shared" si="14"/>
        <v>0.17607400674624313</v>
      </c>
      <c r="R208" s="26">
        <f t="shared" si="14"/>
        <v>3.9551341921720775</v>
      </c>
      <c r="S208" s="11"/>
      <c r="T208" s="11"/>
      <c r="U208" s="120" t="str">
        <f>H211</f>
        <v>Min</v>
      </c>
      <c r="V208" s="164">
        <f t="shared" si="5"/>
        <v>1.6112324574490346</v>
      </c>
      <c r="W208" s="123">
        <f t="shared" si="6"/>
        <v>3.9814421027750999</v>
      </c>
      <c r="X208" s="9">
        <f t="shared" si="7"/>
        <v>19.635355995622859</v>
      </c>
      <c r="Y208" s="9">
        <f t="shared" si="8"/>
        <v>1.0876204955215496</v>
      </c>
      <c r="Z208" s="123">
        <f t="shared" si="9"/>
        <v>2.6875687692926129</v>
      </c>
      <c r="AA208" s="161">
        <f t="shared" si="10"/>
        <v>23.375551415448282</v>
      </c>
    </row>
    <row r="209" spans="6:27" x14ac:dyDescent="0.3">
      <c r="H209" s="11" t="s">
        <v>873</v>
      </c>
      <c r="I209" s="26"/>
      <c r="J209" s="26"/>
      <c r="K209" s="26"/>
      <c r="L209" s="26"/>
      <c r="M209" s="26"/>
      <c r="N209" s="26"/>
      <c r="O209" s="26"/>
      <c r="P209" s="26"/>
      <c r="Q209" s="26"/>
      <c r="R209" s="26"/>
      <c r="S209" s="11"/>
      <c r="T209" s="11"/>
      <c r="U209" s="178" t="str">
        <f>H212</f>
        <v>W. Average</v>
      </c>
      <c r="V209" s="168">
        <f t="shared" si="5"/>
        <v>3.4867020732843192</v>
      </c>
      <c r="W209" s="169">
        <f t="shared" si="6"/>
        <v>8.6158284425241156</v>
      </c>
      <c r="X209" s="170">
        <f t="shared" si="7"/>
        <v>29.893694073268239</v>
      </c>
      <c r="Y209" s="170">
        <f t="shared" si="8"/>
        <v>2.6299705594206229</v>
      </c>
      <c r="Z209" s="169">
        <f t="shared" si="9"/>
        <v>6.4987987710441608</v>
      </c>
      <c r="AA209" s="172">
        <f t="shared" si="10"/>
        <v>39.808549792088343</v>
      </c>
    </row>
    <row r="210" spans="6:27" ht="15" thickBot="1" x14ac:dyDescent="0.35">
      <c r="F210" t="s">
        <v>868</v>
      </c>
      <c r="H210" t="s">
        <v>134</v>
      </c>
      <c r="I210" s="26">
        <f>MAX(I$43:I$113)</f>
        <v>500</v>
      </c>
      <c r="J210" s="26">
        <f t="shared" ref="J210:R210" si="15">MAX(J$43:J$113)</f>
        <v>2.0235000000000003</v>
      </c>
      <c r="K210" s="26">
        <f t="shared" si="15"/>
        <v>202.35</v>
      </c>
      <c r="L210" s="26">
        <f t="shared" si="15"/>
        <v>7.0165337254149627</v>
      </c>
      <c r="M210" s="26">
        <f t="shared" si="15"/>
        <v>82.365538258792512</v>
      </c>
      <c r="N210" s="26">
        <f t="shared" si="15"/>
        <v>345</v>
      </c>
      <c r="O210" s="26">
        <f t="shared" si="15"/>
        <v>1.396215</v>
      </c>
      <c r="P210" s="26">
        <f t="shared" si="15"/>
        <v>139.6215</v>
      </c>
      <c r="Q210" s="26">
        <f t="shared" si="15"/>
        <v>4.7533043878349197</v>
      </c>
      <c r="R210" s="26">
        <f t="shared" si="15"/>
        <v>110.70636862740929</v>
      </c>
      <c r="S210" s="11"/>
      <c r="T210" s="11"/>
      <c r="U210" s="120" t="str">
        <f>H213</f>
        <v>SD</v>
      </c>
      <c r="V210" s="164">
        <f t="shared" si="5"/>
        <v>0.22886871142044687</v>
      </c>
      <c r="W210" s="123">
        <f t="shared" si="6"/>
        <v>0.56554690134528574</v>
      </c>
      <c r="X210" s="9">
        <f t="shared" si="7"/>
        <v>2.7221099830779112</v>
      </c>
      <c r="Y210" s="9">
        <f t="shared" si="8"/>
        <v>0.17607400674624313</v>
      </c>
      <c r="Z210" s="123">
        <f t="shared" si="9"/>
        <v>0.43508834521226974</v>
      </c>
      <c r="AA210" s="161">
        <f t="shared" si="10"/>
        <v>3.9551341921720775</v>
      </c>
    </row>
    <row r="211" spans="6:27" ht="15" thickBot="1" x14ac:dyDescent="0.35">
      <c r="H211" t="s">
        <v>135</v>
      </c>
      <c r="I211" s="26">
        <f>MIN(I$43:I$113)</f>
        <v>3.8</v>
      </c>
      <c r="J211" s="26">
        <f t="shared" ref="J211:R211" si="16">MIN(J$43:J$113)</f>
        <v>1.5378600000000001E-2</v>
      </c>
      <c r="K211" s="26">
        <f t="shared" si="16"/>
        <v>1.5378054396</v>
      </c>
      <c r="L211" s="26">
        <f t="shared" si="16"/>
        <v>1.214056926</v>
      </c>
      <c r="M211" s="26">
        <f t="shared" si="16"/>
        <v>14.251545862966855</v>
      </c>
      <c r="N211" s="26">
        <f t="shared" si="16"/>
        <v>3.2</v>
      </c>
      <c r="O211" s="26">
        <f t="shared" si="16"/>
        <v>1.2950400000000001E-2</v>
      </c>
      <c r="P211" s="26">
        <f t="shared" si="16"/>
        <v>1.2950400000000002</v>
      </c>
      <c r="Q211" s="26">
        <f t="shared" si="16"/>
        <v>0.90329040000000005</v>
      </c>
      <c r="R211" s="26">
        <f t="shared" si="16"/>
        <v>21.037996273903456</v>
      </c>
      <c r="U211" s="173" t="s">
        <v>138</v>
      </c>
      <c r="V211" s="174"/>
      <c r="W211" s="175"/>
      <c r="X211" s="176"/>
      <c r="Y211" s="176"/>
      <c r="Z211" s="175"/>
      <c r="AA211" s="177"/>
    </row>
    <row r="212" spans="6:27" x14ac:dyDescent="0.3">
      <c r="H212" t="s">
        <v>137</v>
      </c>
      <c r="I212" s="26">
        <f>wtavg($D$43:$D$113,I$43:I$113)</f>
        <v>173.35371112244553</v>
      </c>
      <c r="J212" s="26">
        <f t="shared" ref="J212:R212" si="17">wtavg($D$43:$D$113,J$43:J$113)</f>
        <v>0.70156246891253726</v>
      </c>
      <c r="K212" s="26">
        <f t="shared" si="17"/>
        <v>70.155581981409696</v>
      </c>
      <c r="L212" s="26">
        <f t="shared" si="17"/>
        <v>3.4724353982639675</v>
      </c>
      <c r="M212" s="26">
        <f t="shared" si="17"/>
        <v>31.258888494590494</v>
      </c>
      <c r="N212" s="26">
        <f t="shared" si="17"/>
        <v>139.4055349795201</v>
      </c>
      <c r="O212" s="26">
        <f t="shared" si="17"/>
        <v>0.56417420006211794</v>
      </c>
      <c r="P212" s="26">
        <f t="shared" si="17"/>
        <v>56.417389867927817</v>
      </c>
      <c r="Q212" s="26">
        <f t="shared" si="17"/>
        <v>2.5881514617876697</v>
      </c>
      <c r="R212" s="26">
        <f t="shared" si="17"/>
        <v>41.646549689481041</v>
      </c>
      <c r="U212" s="120" t="str">
        <f>H205</f>
        <v>Max</v>
      </c>
      <c r="V212" s="164">
        <f t="shared" si="5"/>
        <v>7.0165337254149627</v>
      </c>
      <c r="W212" s="123">
        <f t="shared" si="6"/>
        <v>17.338232395180135</v>
      </c>
      <c r="X212" s="9">
        <f t="shared" si="7"/>
        <v>82.365538258792512</v>
      </c>
      <c r="Y212" s="9">
        <f t="shared" si="8"/>
        <v>4.7533043878349197</v>
      </c>
      <c r="Z212" s="123">
        <f t="shared" si="9"/>
        <v>11.745670917649196</v>
      </c>
      <c r="AA212" s="161">
        <f t="shared" si="10"/>
        <v>110.70636862740929</v>
      </c>
    </row>
    <row r="213" spans="6:27" x14ac:dyDescent="0.3">
      <c r="H213" t="s">
        <v>136</v>
      </c>
      <c r="I213" s="26">
        <f>wtstd($D$43:$D$113,I$43:I$113)</f>
        <v>32.318338139079295</v>
      </c>
      <c r="J213" s="26">
        <f t="shared" ref="J213:R213" si="18">wtstd($D$43:$D$113,J$43:J$113)</f>
        <v>0.13079231444885397</v>
      </c>
      <c r="K213" s="26">
        <f t="shared" si="18"/>
        <v>13.079288737044035</v>
      </c>
      <c r="L213" s="26">
        <f t="shared" si="18"/>
        <v>0.21964029895679427</v>
      </c>
      <c r="M213" s="26">
        <f t="shared" si="18"/>
        <v>2.5130374607916544</v>
      </c>
      <c r="N213" s="26">
        <f t="shared" si="18"/>
        <v>30.187647268881378</v>
      </c>
      <c r="O213" s="26">
        <f t="shared" si="18"/>
        <v>0.12216940849716293</v>
      </c>
      <c r="P213" s="26">
        <f t="shared" si="18"/>
        <v>12.216948982902451</v>
      </c>
      <c r="Q213" s="26">
        <f t="shared" si="18"/>
        <v>0.16789365517998919</v>
      </c>
      <c r="R213" s="26">
        <f t="shared" si="18"/>
        <v>3.647180785610006</v>
      </c>
      <c r="U213" s="120" t="str">
        <f>H206</f>
        <v>Min</v>
      </c>
      <c r="V213" s="164">
        <f t="shared" si="5"/>
        <v>1.214056926</v>
      </c>
      <c r="W213" s="123">
        <f t="shared" si="6"/>
        <v>2.999999992549188</v>
      </c>
      <c r="X213" s="9">
        <f t="shared" si="7"/>
        <v>14.251545862966855</v>
      </c>
      <c r="Y213" s="9">
        <f t="shared" si="8"/>
        <v>0.90329040000000005</v>
      </c>
      <c r="Z213" s="123">
        <f t="shared" si="9"/>
        <v>2.2320791844564241</v>
      </c>
      <c r="AA213" s="161">
        <f t="shared" si="10"/>
        <v>21.037996273903456</v>
      </c>
    </row>
    <row r="214" spans="6:27" x14ac:dyDescent="0.3">
      <c r="H214" t="s">
        <v>874</v>
      </c>
      <c r="I214" s="26"/>
      <c r="J214" s="26"/>
      <c r="K214" s="26"/>
      <c r="L214" s="26"/>
      <c r="M214" s="26"/>
      <c r="N214" s="26"/>
      <c r="O214" s="26"/>
      <c r="P214" s="26"/>
      <c r="Q214" s="26"/>
      <c r="R214" s="26"/>
      <c r="U214" s="178" t="str">
        <f>H207</f>
        <v>W. Average</v>
      </c>
      <c r="V214" s="168">
        <f t="shared" si="5"/>
        <v>3.4724353982639675</v>
      </c>
      <c r="W214" s="169">
        <f t="shared" si="6"/>
        <v>8.5805747208590439</v>
      </c>
      <c r="X214" s="170">
        <f t="shared" si="7"/>
        <v>31.258888494590494</v>
      </c>
      <c r="Y214" s="170">
        <f t="shared" si="8"/>
        <v>2.5881514617876697</v>
      </c>
      <c r="Z214" s="169">
        <f t="shared" si="9"/>
        <v>6.3954615305074904</v>
      </c>
      <c r="AA214" s="172">
        <f t="shared" si="10"/>
        <v>41.646549689481041</v>
      </c>
    </row>
    <row r="215" spans="6:27" ht="15" thickBot="1" x14ac:dyDescent="0.35">
      <c r="F215" t="s">
        <v>869</v>
      </c>
      <c r="H215" t="s">
        <v>134</v>
      </c>
      <c r="I215" s="26">
        <f>MAX(I$114:I$167)</f>
        <v>4144</v>
      </c>
      <c r="J215" s="26">
        <f t="shared" ref="J215:R215" si="19">MAX(J$114:J$167)</f>
        <v>16.770768</v>
      </c>
      <c r="K215" s="26">
        <f t="shared" si="19"/>
        <v>1677.0768</v>
      </c>
      <c r="L215" s="26">
        <f t="shared" si="19"/>
        <v>5.3622750000000003</v>
      </c>
      <c r="M215" s="26">
        <f t="shared" si="19"/>
        <v>70.126654246344842</v>
      </c>
      <c r="N215" s="26">
        <f t="shared" si="19"/>
        <v>4410</v>
      </c>
      <c r="O215" s="26">
        <f t="shared" si="19"/>
        <v>17.847270000000002</v>
      </c>
      <c r="P215" s="26">
        <f t="shared" si="19"/>
        <v>1784.7270000000001</v>
      </c>
      <c r="Q215" s="26">
        <f t="shared" si="19"/>
        <v>5.0819279010679512</v>
      </c>
      <c r="R215" s="26">
        <f t="shared" si="19"/>
        <v>70.312044855066787</v>
      </c>
      <c r="U215" s="120" t="str">
        <f>H208</f>
        <v>SD</v>
      </c>
      <c r="V215" s="164">
        <f t="shared" si="5"/>
        <v>0.21964029895679427</v>
      </c>
      <c r="W215" s="123">
        <f t="shared" si="6"/>
        <v>0.5427429975667255</v>
      </c>
      <c r="X215" s="9">
        <f t="shared" si="7"/>
        <v>2.5130374607916544</v>
      </c>
      <c r="Y215" s="9">
        <f t="shared" si="8"/>
        <v>0.16789365517998919</v>
      </c>
      <c r="Z215" s="123">
        <f t="shared" si="9"/>
        <v>0.41487425630733854</v>
      </c>
      <c r="AA215" s="161">
        <f t="shared" si="10"/>
        <v>3.647180785610006</v>
      </c>
    </row>
    <row r="216" spans="6:27" ht="15" thickBot="1" x14ac:dyDescent="0.35">
      <c r="H216" t="s">
        <v>135</v>
      </c>
      <c r="I216" s="26">
        <f>MIN(I$114:I$167)</f>
        <v>5.5</v>
      </c>
      <c r="J216" s="26">
        <f t="shared" ref="J216:R216" si="20">MIN(J$114:J$167)</f>
        <v>2.2258500000000001E-2</v>
      </c>
      <c r="K216" s="26">
        <f t="shared" si="20"/>
        <v>2.2257710309999998</v>
      </c>
      <c r="L216" s="26">
        <f t="shared" si="20"/>
        <v>1.4259407248423956</v>
      </c>
      <c r="M216" s="26">
        <f t="shared" si="20"/>
        <v>18.648801115198303</v>
      </c>
      <c r="N216" s="26">
        <f t="shared" si="20"/>
        <v>4.5</v>
      </c>
      <c r="O216" s="26">
        <f t="shared" si="20"/>
        <v>1.8211500000000002E-2</v>
      </c>
      <c r="P216" s="26">
        <f t="shared" si="20"/>
        <v>1.82115</v>
      </c>
      <c r="Q216" s="26">
        <f t="shared" si="20"/>
        <v>1.4222314285714286</v>
      </c>
      <c r="R216" s="26">
        <f t="shared" si="20"/>
        <v>19.677571572588679</v>
      </c>
      <c r="U216" s="173" t="str">
        <f t="shared" si="2"/>
        <v>2012 to 2013</v>
      </c>
      <c r="V216" s="174"/>
      <c r="W216" s="175"/>
      <c r="X216" s="176"/>
      <c r="Y216" s="176"/>
      <c r="Z216" s="175"/>
      <c r="AA216" s="177"/>
    </row>
    <row r="217" spans="6:27" x14ac:dyDescent="0.3">
      <c r="H217" t="s">
        <v>137</v>
      </c>
      <c r="I217" s="26">
        <f>wtavg($D$114:$D$167,I$114:I$167)</f>
        <v>1866.6402524724201</v>
      </c>
      <c r="J217" s="26">
        <f t="shared" ref="J217:R217" si="21">wtavg($D$114:$D$167,J$114:J$167)</f>
        <v>7.5542931017558841</v>
      </c>
      <c r="K217" s="26">
        <f t="shared" si="21"/>
        <v>755.42916258220566</v>
      </c>
      <c r="L217" s="26">
        <f t="shared" si="21"/>
        <v>3.1439445010172884</v>
      </c>
      <c r="M217" s="26">
        <f t="shared" si="21"/>
        <v>33.598381183666469</v>
      </c>
      <c r="N217" s="26">
        <f t="shared" si="21"/>
        <v>2854.0836617310956</v>
      </c>
      <c r="O217" s="26">
        <f t="shared" si="21"/>
        <v>11.550476579025744</v>
      </c>
      <c r="P217" s="26">
        <f t="shared" si="21"/>
        <v>1155.0476569887985</v>
      </c>
      <c r="Q217" s="26">
        <f t="shared" si="21"/>
        <v>3.0977928725686241</v>
      </c>
      <c r="R217" s="26">
        <f t="shared" si="21"/>
        <v>34.532375104640572</v>
      </c>
      <c r="U217" s="120" t="str">
        <f t="shared" si="2"/>
        <v>Max</v>
      </c>
      <c r="V217" s="164">
        <f t="shared" si="5"/>
        <v>5.3622750000000003</v>
      </c>
      <c r="W217" s="123">
        <f t="shared" si="6"/>
        <v>13.25047006901775</v>
      </c>
      <c r="X217" s="9">
        <f t="shared" si="7"/>
        <v>70.126654246344842</v>
      </c>
      <c r="Y217" s="9">
        <f t="shared" si="8"/>
        <v>5.0819279010679512</v>
      </c>
      <c r="Z217" s="123">
        <f t="shared" si="9"/>
        <v>12.557717302079263</v>
      </c>
      <c r="AA217" s="161">
        <f t="shared" si="10"/>
        <v>70.312044855066787</v>
      </c>
    </row>
    <row r="218" spans="6:27" x14ac:dyDescent="0.3">
      <c r="H218" t="s">
        <v>136</v>
      </c>
      <c r="I218" s="26">
        <f>wtstd($D$114:$D$167,I$114:I$167)</f>
        <v>443.66935035591905</v>
      </c>
      <c r="J218" s="26">
        <f t="shared" ref="J218:R218" si="22">wtstd($D$114:$D$167,J$114:J$167)</f>
        <v>1.7955298608904042</v>
      </c>
      <c r="K218" s="26">
        <f t="shared" si="22"/>
        <v>179.55302935570569</v>
      </c>
      <c r="L218" s="26">
        <f t="shared" si="22"/>
        <v>0.20690235032095422</v>
      </c>
      <c r="M218" s="26">
        <f t="shared" si="22"/>
        <v>2.219626029961371</v>
      </c>
      <c r="N218" s="26">
        <f t="shared" si="22"/>
        <v>1022.4785764041994</v>
      </c>
      <c r="O218" s="26">
        <f t="shared" si="22"/>
        <v>4.137970798707796</v>
      </c>
      <c r="P218" s="26">
        <f t="shared" si="22"/>
        <v>413.79708071623264</v>
      </c>
      <c r="Q218" s="26">
        <f t="shared" si="22"/>
        <v>0.38957318395074925</v>
      </c>
      <c r="R218" s="26">
        <f t="shared" si="22"/>
        <v>6.4410252652856377</v>
      </c>
      <c r="U218" s="120" t="str">
        <f t="shared" si="2"/>
        <v>Min</v>
      </c>
      <c r="V218" s="164">
        <f t="shared" si="5"/>
        <v>1.4259407248423956</v>
      </c>
      <c r="W218" s="123">
        <f t="shared" si="6"/>
        <v>3.5235762609559633</v>
      </c>
      <c r="X218" s="9">
        <f t="shared" si="7"/>
        <v>18.648801115198303</v>
      </c>
      <c r="Y218" s="9">
        <f t="shared" si="8"/>
        <v>1.4222314285714286</v>
      </c>
      <c r="Z218" s="123">
        <f t="shared" si="9"/>
        <v>3.5144103902731714</v>
      </c>
      <c r="AA218" s="161">
        <f t="shared" si="10"/>
        <v>19.677571572588679</v>
      </c>
    </row>
    <row r="219" spans="6:27" x14ac:dyDescent="0.3">
      <c r="F219" t="s">
        <v>870</v>
      </c>
      <c r="H219" t="s">
        <v>875</v>
      </c>
      <c r="U219" s="178" t="str">
        <f t="shared" si="2"/>
        <v>W. Average</v>
      </c>
      <c r="V219" s="168">
        <f t="shared" si="5"/>
        <v>3.1439445010172884</v>
      </c>
      <c r="W219" s="169">
        <f t="shared" si="6"/>
        <v>7.7688560376673195</v>
      </c>
      <c r="X219" s="170">
        <f t="shared" si="7"/>
        <v>33.598381183666469</v>
      </c>
      <c r="Y219" s="170">
        <f t="shared" si="8"/>
        <v>3.0977928725686241</v>
      </c>
      <c r="Z219" s="169">
        <f t="shared" si="9"/>
        <v>7.6548128803515425</v>
      </c>
      <c r="AA219" s="172">
        <f t="shared" si="10"/>
        <v>34.532375104640572</v>
      </c>
    </row>
    <row r="220" spans="6:27" ht="15" thickBot="1" x14ac:dyDescent="0.35">
      <c r="H220" t="s">
        <v>134</v>
      </c>
      <c r="I220" s="26">
        <f>MAX(I$168:I$194)</f>
        <v>5587</v>
      </c>
      <c r="J220" s="26">
        <f t="shared" ref="J220:R220" si="23">MAX(J$168:J$194)</f>
        <v>22.610589000000001</v>
      </c>
      <c r="K220" s="26">
        <f t="shared" si="23"/>
        <v>2261.0589</v>
      </c>
      <c r="L220" s="26">
        <f t="shared" si="23"/>
        <v>5.3113423229667402</v>
      </c>
      <c r="M220" s="26">
        <f t="shared" si="23"/>
        <v>65.743738355948295</v>
      </c>
      <c r="N220" s="26">
        <f t="shared" si="23"/>
        <v>2967</v>
      </c>
      <c r="O220" s="26">
        <f t="shared" si="23"/>
        <v>12.007449000000001</v>
      </c>
      <c r="P220" s="26">
        <f t="shared" si="23"/>
        <v>1200.7448999999999</v>
      </c>
      <c r="Q220" s="26">
        <f t="shared" si="23"/>
        <v>4.0294440339160591</v>
      </c>
      <c r="R220" s="26">
        <f t="shared" si="23"/>
        <v>24.817319500728711</v>
      </c>
      <c r="U220" s="120" t="str">
        <f t="shared" si="2"/>
        <v>SD</v>
      </c>
      <c r="V220" s="164">
        <f t="shared" si="5"/>
        <v>0.20690235032095422</v>
      </c>
      <c r="W220" s="123">
        <f t="shared" si="6"/>
        <v>0.51126684105854858</v>
      </c>
      <c r="X220" s="9">
        <f t="shared" si="7"/>
        <v>2.219626029961371</v>
      </c>
      <c r="Y220" s="9">
        <f t="shared" si="8"/>
        <v>0.38957318395074925</v>
      </c>
      <c r="Z220" s="123">
        <f t="shared" si="9"/>
        <v>0.9626563004753298</v>
      </c>
      <c r="AA220" s="161">
        <f t="shared" si="10"/>
        <v>6.4410252652856377</v>
      </c>
    </row>
    <row r="221" spans="6:27" ht="15" thickBot="1" x14ac:dyDescent="0.35">
      <c r="H221" t="s">
        <v>135</v>
      </c>
      <c r="I221" s="26">
        <f>MIN(I$168:I$194)</f>
        <v>90</v>
      </c>
      <c r="J221" s="26">
        <f t="shared" ref="J221:R221" si="24">MIN(J$168:J$194)</f>
        <v>0.36423</v>
      </c>
      <c r="K221" s="26">
        <f t="shared" si="24"/>
        <v>36.421707779999998</v>
      </c>
      <c r="L221" s="26">
        <f t="shared" si="24"/>
        <v>1.5210574041071745</v>
      </c>
      <c r="M221" s="26">
        <f t="shared" si="24"/>
        <v>18.827632247989488</v>
      </c>
      <c r="N221" s="26">
        <f t="shared" si="24"/>
        <v>2967</v>
      </c>
      <c r="O221" s="26">
        <f t="shared" si="24"/>
        <v>12.007449000000001</v>
      </c>
      <c r="P221" s="26">
        <f t="shared" si="24"/>
        <v>1200.7448999999999</v>
      </c>
      <c r="Q221" s="26">
        <f t="shared" si="24"/>
        <v>4.0294440339160591</v>
      </c>
      <c r="R221" s="26">
        <f t="shared" si="24"/>
        <v>24.817319500728711</v>
      </c>
      <c r="U221" s="173" t="str">
        <f t="shared" si="2"/>
        <v>beyond 2013</v>
      </c>
      <c r="V221" s="174"/>
      <c r="W221" s="175"/>
      <c r="X221" s="176"/>
      <c r="Y221" s="176"/>
      <c r="Z221" s="175"/>
      <c r="AA221" s="177"/>
    </row>
    <row r="222" spans="6:27" x14ac:dyDescent="0.3">
      <c r="H222" t="s">
        <v>137</v>
      </c>
      <c r="I222" s="26">
        <f>wtavg($D$168:$D$194,I$168:I$194)</f>
        <v>2907.442701581007</v>
      </c>
      <c r="J222" s="26">
        <f t="shared" ref="J222:R222" si="25">wtavg($D$168:$D$194,J$168:J$194)</f>
        <v>11.766420613298335</v>
      </c>
      <c r="K222" s="26">
        <f t="shared" si="25"/>
        <v>1176.6420586257773</v>
      </c>
      <c r="L222" s="26">
        <f t="shared" si="25"/>
        <v>3.424850879887567</v>
      </c>
      <c r="M222" s="26">
        <f t="shared" si="25"/>
        <v>31.226910222112451</v>
      </c>
      <c r="N222" s="26">
        <f t="shared" si="25"/>
        <v>2967</v>
      </c>
      <c r="O222" s="26">
        <f t="shared" si="25"/>
        <v>12.007449000000001</v>
      </c>
      <c r="P222" s="26">
        <f t="shared" si="25"/>
        <v>1200.7448999999999</v>
      </c>
      <c r="Q222" s="26">
        <f t="shared" si="25"/>
        <v>4.0294440339160591</v>
      </c>
      <c r="R222" s="26">
        <f t="shared" si="25"/>
        <v>24.817319500728711</v>
      </c>
      <c r="U222" s="120" t="str">
        <f t="shared" si="2"/>
        <v>Max</v>
      </c>
      <c r="V222" s="164">
        <f t="shared" si="5"/>
        <v>5.3113423229667402</v>
      </c>
      <c r="W222" s="123">
        <f t="shared" si="6"/>
        <v>13.124612683381214</v>
      </c>
      <c r="X222" s="9">
        <f t="shared" si="7"/>
        <v>65.743738355948295</v>
      </c>
      <c r="Y222" s="9">
        <f t="shared" si="8"/>
        <v>4.0294440339160591</v>
      </c>
      <c r="Z222" s="123">
        <f t="shared" si="9"/>
        <v>9.9569730321900458</v>
      </c>
      <c r="AA222" s="161">
        <f t="shared" si="10"/>
        <v>24.817319500728711</v>
      </c>
    </row>
    <row r="223" spans="6:27" x14ac:dyDescent="0.3">
      <c r="H223" t="s">
        <v>136</v>
      </c>
      <c r="I223" s="26">
        <f>wtstd($D$168:$D$194,I$168:I$194)</f>
        <v>625.33192412309018</v>
      </c>
      <c r="J223" s="26">
        <f t="shared" ref="J223:R223" si="26">wtstd($D$168:$D$194,J$168:J$194)</f>
        <v>2.5307182969261466</v>
      </c>
      <c r="K223" s="26">
        <f t="shared" si="26"/>
        <v>253.0718315669491</v>
      </c>
      <c r="L223" s="26">
        <f t="shared" si="26"/>
        <v>0.34668797799698059</v>
      </c>
      <c r="M223" s="26">
        <f t="shared" si="26"/>
        <v>2.8822039586757917</v>
      </c>
      <c r="N223" s="26" t="e">
        <f t="shared" si="26"/>
        <v>#VALUE!</v>
      </c>
      <c r="O223" s="26" t="e">
        <f t="shared" si="26"/>
        <v>#VALUE!</v>
      </c>
      <c r="P223" s="26" t="e">
        <f t="shared" si="26"/>
        <v>#VALUE!</v>
      </c>
      <c r="Q223" s="26" t="e">
        <f t="shared" si="26"/>
        <v>#VALUE!</v>
      </c>
      <c r="R223" s="26" t="e">
        <f t="shared" si="26"/>
        <v>#VALUE!</v>
      </c>
      <c r="U223" s="120" t="str">
        <f t="shared" si="2"/>
        <v>Min</v>
      </c>
      <c r="V223" s="164">
        <f t="shared" si="5"/>
        <v>1.5210574041071745</v>
      </c>
      <c r="W223" s="123">
        <f t="shared" si="6"/>
        <v>3.7586146936477429</v>
      </c>
      <c r="X223" s="9">
        <f t="shared" si="7"/>
        <v>18.827632247989488</v>
      </c>
      <c r="Y223" s="9">
        <f t="shared" si="8"/>
        <v>4.0294440339160591</v>
      </c>
      <c r="Z223" s="123">
        <f t="shared" si="9"/>
        <v>9.9569730321900458</v>
      </c>
      <c r="AA223" s="161">
        <f t="shared" si="10"/>
        <v>24.817319500728711</v>
      </c>
    </row>
    <row r="224" spans="6:27" x14ac:dyDescent="0.3">
      <c r="H224" s="11"/>
      <c r="U224" s="178" t="str">
        <f t="shared" si="2"/>
        <v>W. Average</v>
      </c>
      <c r="V224" s="168">
        <f t="shared" si="5"/>
        <v>3.424850879887567</v>
      </c>
      <c r="W224" s="169">
        <f t="shared" si="6"/>
        <v>8.4629908154280251</v>
      </c>
      <c r="X224" s="170">
        <f t="shared" si="7"/>
        <v>31.226910222112451</v>
      </c>
      <c r="Y224" s="170">
        <f t="shared" si="8"/>
        <v>4.0294440339160591</v>
      </c>
      <c r="Z224" s="169">
        <f t="shared" si="9"/>
        <v>9.9569730321900458</v>
      </c>
      <c r="AA224" s="172">
        <f t="shared" si="10"/>
        <v>24.817319500728711</v>
      </c>
    </row>
    <row r="225" spans="21:29" ht="15" thickBot="1" x14ac:dyDescent="0.35">
      <c r="U225" s="160" t="str">
        <f t="shared" si="2"/>
        <v>SD</v>
      </c>
      <c r="V225" s="166">
        <f t="shared" si="5"/>
        <v>0.34668797799698059</v>
      </c>
      <c r="W225" s="167">
        <f t="shared" si="6"/>
        <v>0.856684648910635</v>
      </c>
      <c r="X225" s="162">
        <f t="shared" si="7"/>
        <v>2.8822039586757917</v>
      </c>
      <c r="Y225" s="162" t="e">
        <f t="shared" si="8"/>
        <v>#VALUE!</v>
      </c>
      <c r="Z225" s="167" t="e">
        <f t="shared" si="9"/>
        <v>#VALUE!</v>
      </c>
      <c r="AA225" s="163" t="e">
        <f t="shared" si="10"/>
        <v>#VALUE!</v>
      </c>
    </row>
    <row r="227" spans="21:29" x14ac:dyDescent="0.3">
      <c r="AC227" t="s">
        <v>885</v>
      </c>
    </row>
  </sheetData>
  <sortState ref="A3:AI194">
    <sortCondition ref="C3:C194"/>
  </sortState>
  <customSheetViews>
    <customSheetView guid="{A817C2B6-B412-4BD4-89EB-C78C16183A0C}" scale="70" topLeftCell="A161">
      <selection activeCell="AF247" sqref="AF247"/>
      <pageMargins left="0.7" right="0.7" top="0.75" bottom="0.75" header="0.3" footer="0.3"/>
    </customSheetView>
  </customSheetView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O174"/>
  <sheetViews>
    <sheetView topLeftCell="AK1" zoomScale="60" zoomScaleNormal="60" workbookViewId="0">
      <selection activeCell="BE27" sqref="A1:BE27"/>
    </sheetView>
  </sheetViews>
  <sheetFormatPr defaultRowHeight="14.4" x14ac:dyDescent="0.3"/>
  <cols>
    <col min="1" max="1" width="5.88671875" customWidth="1"/>
    <col min="2" max="2" width="21.44140625" customWidth="1"/>
    <col min="3" max="3" width="8.6640625" customWidth="1"/>
    <col min="4" max="4" width="8" customWidth="1"/>
    <col min="5" max="5" width="7.88671875" hidden="1" customWidth="1"/>
    <col min="6" max="6" width="6.33203125" hidden="1" customWidth="1"/>
    <col min="7" max="7" width="7.5546875" hidden="1" customWidth="1"/>
    <col min="8" max="8" width="9.109375" customWidth="1"/>
    <col min="9" max="13" width="9.33203125" customWidth="1"/>
    <col min="14" max="18" width="9.109375" customWidth="1"/>
    <col min="19" max="19" width="14.33203125" customWidth="1"/>
    <col min="20" max="20" width="12.5546875" customWidth="1"/>
    <col min="21" max="21" width="7.109375" customWidth="1"/>
    <col min="22" max="22" width="9.6640625" customWidth="1"/>
    <col min="23" max="23" width="6.33203125" customWidth="1"/>
    <col min="24" max="24" width="15.88671875" customWidth="1"/>
    <col min="25" max="25" width="11.5546875" customWidth="1"/>
    <col min="26" max="26" width="7.88671875" customWidth="1"/>
    <col min="27" max="27" width="9.109375" customWidth="1"/>
    <col min="28" max="28" width="17.109375" customWidth="1"/>
    <col min="29" max="29" width="11.44140625" customWidth="1"/>
    <col min="30" max="30" width="9.44140625" customWidth="1"/>
    <col min="31" max="31" width="9.5546875" customWidth="1"/>
    <col min="32" max="32" width="2.5546875" customWidth="1"/>
    <col min="33" max="33" width="2.88671875" customWidth="1"/>
    <col min="34" max="34" width="6.109375" customWidth="1"/>
    <col min="35" max="35" width="12" customWidth="1"/>
    <col min="36" max="39" width="9.109375" customWidth="1"/>
    <col min="40" max="40" width="4.109375" customWidth="1"/>
    <col min="41" max="41" width="5.5546875" customWidth="1"/>
    <col min="42" max="42" width="5.44140625" customWidth="1"/>
    <col min="46" max="46" width="9.109375" style="260"/>
    <col min="48" max="51" width="9.109375" style="260"/>
  </cols>
  <sheetData>
    <row r="1" spans="1:57" ht="15" x14ac:dyDescent="0.25">
      <c r="I1" s="427" t="s">
        <v>13</v>
      </c>
      <c r="J1" s="427"/>
      <c r="K1" s="427"/>
      <c r="L1" s="13"/>
      <c r="M1" s="13"/>
      <c r="N1" s="428" t="s">
        <v>9</v>
      </c>
      <c r="O1" s="428"/>
      <c r="P1" s="428"/>
      <c r="Q1" s="14"/>
      <c r="R1" s="5"/>
      <c r="AK1" t="s">
        <v>331</v>
      </c>
      <c r="AL1" t="s">
        <v>920</v>
      </c>
      <c r="AM1" t="s">
        <v>937</v>
      </c>
      <c r="AO1" t="s">
        <v>969</v>
      </c>
      <c r="AP1" t="s">
        <v>970</v>
      </c>
      <c r="AQ1" t="s">
        <v>971</v>
      </c>
      <c r="AR1" t="s">
        <v>972</v>
      </c>
      <c r="AS1" t="s">
        <v>973</v>
      </c>
      <c r="AX1" s="260" t="s">
        <v>976</v>
      </c>
      <c r="AY1" s="260" t="s">
        <v>977</v>
      </c>
      <c r="BA1" s="260"/>
      <c r="BB1" s="260"/>
      <c r="BC1" s="260"/>
      <c r="BD1" s="260" t="s">
        <v>976</v>
      </c>
      <c r="BE1" s="260" t="s">
        <v>977</v>
      </c>
    </row>
    <row r="2" spans="1:57" x14ac:dyDescent="0.3">
      <c r="A2" s="8" t="s">
        <v>0</v>
      </c>
      <c r="B2" s="8" t="s">
        <v>1</v>
      </c>
      <c r="C2" s="8" t="s">
        <v>2</v>
      </c>
      <c r="D2" s="8" t="s">
        <v>62</v>
      </c>
      <c r="E2" s="8" t="s">
        <v>803</v>
      </c>
      <c r="F2" s="8" t="s">
        <v>5</v>
      </c>
      <c r="G2" s="8" t="s">
        <v>259</v>
      </c>
      <c r="H2" s="8" t="s">
        <v>7</v>
      </c>
      <c r="I2" s="2" t="s">
        <v>10</v>
      </c>
      <c r="J2" s="2" t="s">
        <v>11</v>
      </c>
      <c r="K2" s="2" t="s">
        <v>12</v>
      </c>
      <c r="L2" s="2" t="s">
        <v>239</v>
      </c>
      <c r="M2" s="2" t="s">
        <v>22</v>
      </c>
      <c r="N2" s="3" t="s">
        <v>10</v>
      </c>
      <c r="O2" s="3" t="s">
        <v>11</v>
      </c>
      <c r="P2" s="3" t="s">
        <v>12</v>
      </c>
      <c r="Q2" s="3" t="s">
        <v>239</v>
      </c>
      <c r="R2" s="3" t="s">
        <v>22</v>
      </c>
      <c r="S2" s="7" t="s">
        <v>15</v>
      </c>
      <c r="T2" s="7" t="s">
        <v>16</v>
      </c>
      <c r="U2" s="7" t="s">
        <v>20</v>
      </c>
      <c r="V2" s="7" t="s">
        <v>808</v>
      </c>
      <c r="W2" s="7" t="s">
        <v>789</v>
      </c>
      <c r="X2" s="7" t="s">
        <v>93</v>
      </c>
      <c r="Y2" s="7" t="s">
        <v>929</v>
      </c>
      <c r="Z2" s="7" t="s">
        <v>263</v>
      </c>
      <c r="AA2" s="7" t="s">
        <v>356</v>
      </c>
      <c r="AB2" s="7" t="s">
        <v>17</v>
      </c>
      <c r="AC2" s="7" t="s">
        <v>18</v>
      </c>
      <c r="AF2">
        <v>1</v>
      </c>
      <c r="AI2" t="s">
        <v>918</v>
      </c>
      <c r="AJ2" t="s">
        <v>919</v>
      </c>
      <c r="AK2" t="s">
        <v>968</v>
      </c>
      <c r="AL2" s="260" t="s">
        <v>968</v>
      </c>
      <c r="AU2" t="s">
        <v>978</v>
      </c>
      <c r="AX2" s="260" t="s">
        <v>974</v>
      </c>
      <c r="AY2" s="260" t="s">
        <v>975</v>
      </c>
      <c r="BA2" s="260" t="s">
        <v>979</v>
      </c>
      <c r="BB2" s="260"/>
      <c r="BC2" s="260"/>
      <c r="BD2" s="260" t="s">
        <v>974</v>
      </c>
      <c r="BE2" s="260" t="s">
        <v>975</v>
      </c>
    </row>
    <row r="3" spans="1:57" x14ac:dyDescent="0.3">
      <c r="A3" t="s">
        <v>26</v>
      </c>
      <c r="B3" t="s">
        <v>27</v>
      </c>
      <c r="C3">
        <v>1990</v>
      </c>
      <c r="D3">
        <v>354000</v>
      </c>
      <c r="G3">
        <v>936384</v>
      </c>
      <c r="H3" t="s">
        <v>791</v>
      </c>
      <c r="I3">
        <v>2057</v>
      </c>
      <c r="J3" s="1">
        <f t="shared" ref="J3:J13" si="0">I3*0.004047</f>
        <v>8.3246789999999997</v>
      </c>
      <c r="K3" s="1">
        <f t="shared" ref="K3:K13" si="1">I3*0.4047</f>
        <v>832.46789999999999</v>
      </c>
      <c r="L3" s="1">
        <f>I3/(D3/1000)</f>
        <v>5.8107344632768365</v>
      </c>
      <c r="M3" s="1">
        <f t="shared" ref="M3:M13" si="2">D3/1000/J3</f>
        <v>42.524162192920592</v>
      </c>
      <c r="N3">
        <v>2057</v>
      </c>
      <c r="O3" s="1">
        <f>N3*0.004047</f>
        <v>8.3246789999999997</v>
      </c>
      <c r="P3" s="1">
        <f>N3*0.4047</f>
        <v>832.46789999999999</v>
      </c>
      <c r="Q3" s="1">
        <f>N3/(D3/1000)</f>
        <v>5.8107344632768365</v>
      </c>
      <c r="R3" s="1">
        <f>D3/1000/O3</f>
        <v>42.524162192920592</v>
      </c>
      <c r="S3">
        <v>35.018760999999998</v>
      </c>
      <c r="T3">
        <v>-117.558825</v>
      </c>
      <c r="U3" s="98" t="s">
        <v>112</v>
      </c>
      <c r="V3" t="s">
        <v>796</v>
      </c>
      <c r="W3" t="s">
        <v>790</v>
      </c>
      <c r="X3" t="s">
        <v>94</v>
      </c>
      <c r="Y3" s="259"/>
      <c r="Z3">
        <v>0</v>
      </c>
      <c r="AA3" s="260">
        <v>1.25</v>
      </c>
      <c r="AB3" t="s">
        <v>29</v>
      </c>
      <c r="AC3" t="s">
        <v>30</v>
      </c>
      <c r="AF3">
        <v>1</v>
      </c>
      <c r="AI3" s="98">
        <v>844673824</v>
      </c>
      <c r="AJ3">
        <f>AI3/1000000</f>
        <v>844.67382399999997</v>
      </c>
      <c r="AK3" s="100">
        <f>I3/AJ3</f>
        <v>2.4352595541068882</v>
      </c>
      <c r="AL3" s="159">
        <f>N3/AJ3</f>
        <v>2.4352595541068882</v>
      </c>
      <c r="AM3">
        <f>AI3/(8760*D3)</f>
        <v>0.27238404664241672</v>
      </c>
      <c r="AO3">
        <v>1.1000000000000001</v>
      </c>
      <c r="AP3">
        <v>1.4</v>
      </c>
      <c r="AQ3">
        <v>725.32184500000005</v>
      </c>
      <c r="AR3">
        <v>887.57513600000004</v>
      </c>
      <c r="AT3">
        <f>AVERAGE(AQ3:AR3)</f>
        <v>806.44849050000005</v>
      </c>
      <c r="AV3" s="260">
        <f>I3/AT3</f>
        <v>2.5506898757100469</v>
      </c>
      <c r="AX3" s="260">
        <f>I3/AQ3-AV3</f>
        <v>0.28529254255008407</v>
      </c>
      <c r="AY3" s="260">
        <f>AV3-I3/AR3</f>
        <v>0.23313960129587041</v>
      </c>
      <c r="BA3" s="260"/>
      <c r="BB3" s="260">
        <f>N3/AT3</f>
        <v>2.5506898757100469</v>
      </c>
      <c r="BC3" s="260"/>
      <c r="BD3" s="260">
        <f>N3/AQ3-BB3</f>
        <v>0.28529254255008407</v>
      </c>
      <c r="BE3" s="260">
        <f>BB3-N3/AR3</f>
        <v>0.23313960129587041</v>
      </c>
    </row>
    <row r="4" spans="1:57" x14ac:dyDescent="0.3">
      <c r="A4" t="s">
        <v>26</v>
      </c>
      <c r="B4" t="s">
        <v>830</v>
      </c>
      <c r="D4">
        <v>50000</v>
      </c>
      <c r="H4" t="s">
        <v>833</v>
      </c>
      <c r="I4">
        <v>265</v>
      </c>
      <c r="J4">
        <f t="shared" si="0"/>
        <v>1.0724550000000002</v>
      </c>
      <c r="K4">
        <f t="shared" si="1"/>
        <v>107.24550000000001</v>
      </c>
      <c r="L4" s="1">
        <f t="shared" ref="L4:L29" si="3">I4/(D4/1000)</f>
        <v>5.3</v>
      </c>
      <c r="M4">
        <f t="shared" si="2"/>
        <v>46.622002787995761</v>
      </c>
      <c r="N4">
        <v>230</v>
      </c>
      <c r="O4">
        <f>N4*0.004047</f>
        <v>0.93081000000000003</v>
      </c>
      <c r="P4">
        <f>N4*0.4047</f>
        <v>93.081000000000003</v>
      </c>
      <c r="Q4" s="1">
        <f t="shared" ref="Q4:Q5" si="4">N4/(D4/1000)</f>
        <v>4.5999999999999996</v>
      </c>
      <c r="R4">
        <f>D4/1000/O4</f>
        <v>53.716655386169037</v>
      </c>
      <c r="S4">
        <v>34.636699999999998</v>
      </c>
      <c r="T4">
        <v>-117.37220000000001</v>
      </c>
      <c r="U4" s="98" t="s">
        <v>113</v>
      </c>
      <c r="V4" t="s">
        <v>835</v>
      </c>
      <c r="W4" t="s">
        <v>834</v>
      </c>
      <c r="X4" t="s">
        <v>96</v>
      </c>
      <c r="Y4" s="259"/>
      <c r="Z4">
        <v>0</v>
      </c>
      <c r="AA4" s="260">
        <v>1.25</v>
      </c>
      <c r="AB4" t="s">
        <v>831</v>
      </c>
      <c r="AC4" t="s">
        <v>147</v>
      </c>
      <c r="AD4" t="s">
        <v>832</v>
      </c>
      <c r="AF4">
        <v>1</v>
      </c>
      <c r="AH4" s="155"/>
      <c r="AI4" s="98">
        <v>115853479</v>
      </c>
      <c r="AJ4">
        <f t="shared" ref="AJ4:AJ13" si="5">AI4/1000000</f>
        <v>115.85347899999999</v>
      </c>
      <c r="AK4" s="100">
        <f t="shared" ref="AK4:AK13" si="6">I4/AJ4</f>
        <v>2.2873719657568508</v>
      </c>
      <c r="AL4" s="159">
        <f t="shared" ref="AL4:AL5" si="7">N4/AJ4</f>
        <v>1.9852662344304741</v>
      </c>
      <c r="AM4" s="260">
        <f t="shared" ref="AM4:AM13" si="8">AI4/(8760*D4)</f>
        <v>0.26450565981735158</v>
      </c>
      <c r="AO4" s="260">
        <v>1.1000000000000001</v>
      </c>
      <c r="AP4" s="260">
        <v>1.4</v>
      </c>
      <c r="AQ4">
        <v>101.00235000000001</v>
      </c>
      <c r="AR4">
        <v>125.483807</v>
      </c>
      <c r="AS4" s="155"/>
      <c r="AT4" s="260">
        <f>AVERAGE(AQ4:AR4)</f>
        <v>113.2430785</v>
      </c>
      <c r="AU4" s="260"/>
      <c r="AV4" s="260">
        <f t="shared" ref="AV4:AV5" si="9">I4/AT4</f>
        <v>2.340098869707079</v>
      </c>
      <c r="AX4" s="260">
        <f t="shared" ref="AX4:AX5" si="10">I4/AQ4-AV4</f>
        <v>0.28360246001445688</v>
      </c>
      <c r="AY4" s="260">
        <f t="shared" ref="AY4:AY5" si="11">AV4-I4/AR4</f>
        <v>0.22827260036222263</v>
      </c>
      <c r="BA4" s="260"/>
      <c r="BB4" s="260">
        <f t="shared" ref="BB4:BB5" si="12">N4/AT4</f>
        <v>2.0310292076702949</v>
      </c>
      <c r="BC4" s="260"/>
      <c r="BD4" s="260">
        <f t="shared" ref="BD4:BD5" si="13">N4/AQ4-BB4</f>
        <v>0.24614553133330253</v>
      </c>
      <c r="BE4" s="260">
        <f t="shared" ref="BE4:BE5" si="14">BB4-N4/AR4</f>
        <v>0.19812338899362691</v>
      </c>
    </row>
    <row r="5" spans="1:57" x14ac:dyDescent="0.3">
      <c r="A5" t="s">
        <v>26</v>
      </c>
      <c r="B5" t="s">
        <v>828</v>
      </c>
      <c r="D5">
        <v>57000</v>
      </c>
      <c r="H5" t="s">
        <v>829</v>
      </c>
      <c r="I5">
        <v>377</v>
      </c>
      <c r="J5">
        <f t="shared" si="0"/>
        <v>1.525719</v>
      </c>
      <c r="K5">
        <f t="shared" si="1"/>
        <v>152.5719</v>
      </c>
      <c r="L5" s="1">
        <f t="shared" si="3"/>
        <v>6.6140350877192979</v>
      </c>
      <c r="M5">
        <f t="shared" si="2"/>
        <v>37.359435125340902</v>
      </c>
      <c r="N5">
        <v>250</v>
      </c>
      <c r="O5">
        <f>N5*0.004047</f>
        <v>1.0117500000000001</v>
      </c>
      <c r="P5">
        <f>N5*0.4047</f>
        <v>101.175</v>
      </c>
      <c r="Q5" s="1">
        <f t="shared" si="4"/>
        <v>4.3859649122807021</v>
      </c>
      <c r="R5">
        <f>D5/1000/O5</f>
        <v>56.338028169014073</v>
      </c>
      <c r="S5">
        <v>34.641399999999997</v>
      </c>
      <c r="T5">
        <v>-118.11020000000001</v>
      </c>
      <c r="U5" s="98" t="s">
        <v>113</v>
      </c>
      <c r="X5" t="s">
        <v>94</v>
      </c>
      <c r="Y5" s="259"/>
      <c r="Z5">
        <v>0</v>
      </c>
      <c r="AA5" s="260">
        <v>1.25</v>
      </c>
      <c r="AB5" t="s">
        <v>24</v>
      </c>
      <c r="AC5" t="s">
        <v>147</v>
      </c>
      <c r="AF5">
        <v>1</v>
      </c>
      <c r="AH5" s="155"/>
      <c r="AI5" s="271">
        <v>125538862</v>
      </c>
      <c r="AJ5">
        <f>AI5/1000000</f>
        <v>125.53886199999999</v>
      </c>
      <c r="AK5" s="100">
        <f t="shared" si="6"/>
        <v>3.0030541458946796</v>
      </c>
      <c r="AL5" s="159">
        <f t="shared" si="7"/>
        <v>1.9914152161105301</v>
      </c>
      <c r="AM5" s="260">
        <f t="shared" si="8"/>
        <v>0.25141965473043337</v>
      </c>
      <c r="AO5" s="260">
        <v>1.1000000000000001</v>
      </c>
      <c r="AP5" s="260">
        <v>1.4</v>
      </c>
      <c r="AQ5">
        <v>106.89734199999999</v>
      </c>
      <c r="AR5">
        <v>137.50362699999999</v>
      </c>
      <c r="AS5" s="155"/>
      <c r="AT5" s="260">
        <f>AVERAGE(AQ5:AR5)</f>
        <v>122.20048449999999</v>
      </c>
      <c r="AU5" s="260"/>
      <c r="AV5" s="260">
        <f t="shared" si="9"/>
        <v>3.0850941511610785</v>
      </c>
      <c r="AX5" s="260">
        <f t="shared" si="10"/>
        <v>0.44165396947975122</v>
      </c>
      <c r="AY5" s="260">
        <f t="shared" si="11"/>
        <v>0.34334829161367919</v>
      </c>
      <c r="BA5" s="260"/>
      <c r="BB5" s="260">
        <f t="shared" si="12"/>
        <v>2.0458184026267099</v>
      </c>
      <c r="BC5" s="260"/>
      <c r="BD5" s="260">
        <f t="shared" si="13"/>
        <v>0.29287398506614792</v>
      </c>
      <c r="BE5" s="260">
        <f t="shared" si="14"/>
        <v>0.22768454351039713</v>
      </c>
    </row>
    <row r="6" spans="1:57" x14ac:dyDescent="0.3">
      <c r="A6" t="s">
        <v>26</v>
      </c>
      <c r="B6" t="s">
        <v>792</v>
      </c>
      <c r="C6">
        <v>2014</v>
      </c>
      <c r="D6">
        <v>250000</v>
      </c>
      <c r="H6" t="s">
        <v>794</v>
      </c>
      <c r="I6">
        <v>1765</v>
      </c>
      <c r="J6">
        <f t="shared" si="0"/>
        <v>7.1429550000000006</v>
      </c>
      <c r="K6">
        <f t="shared" si="1"/>
        <v>714.29550000000006</v>
      </c>
      <c r="L6" s="1">
        <f t="shared" si="3"/>
        <v>7.06</v>
      </c>
      <c r="M6">
        <f t="shared" si="2"/>
        <v>34.999520506569056</v>
      </c>
      <c r="S6">
        <v>35.003279999999997</v>
      </c>
      <c r="T6">
        <v>-117.30377</v>
      </c>
      <c r="U6" s="98" t="s">
        <v>113</v>
      </c>
      <c r="X6" t="s">
        <v>94</v>
      </c>
      <c r="Y6" s="259"/>
      <c r="Z6">
        <v>0</v>
      </c>
      <c r="AA6" s="260">
        <v>1.25</v>
      </c>
      <c r="AB6" t="s">
        <v>342</v>
      </c>
      <c r="AC6" t="s">
        <v>260</v>
      </c>
      <c r="AF6">
        <v>1</v>
      </c>
      <c r="AH6" s="155"/>
      <c r="AI6" s="271">
        <v>597152770</v>
      </c>
      <c r="AJ6">
        <f t="shared" si="5"/>
        <v>597.15277000000003</v>
      </c>
      <c r="AK6" s="100">
        <f t="shared" si="6"/>
        <v>2.9556925608835405</v>
      </c>
      <c r="AL6" s="159"/>
      <c r="AM6" s="260">
        <f t="shared" si="8"/>
        <v>0.272672497716895</v>
      </c>
      <c r="AO6" s="260">
        <v>1.1000000000000001</v>
      </c>
      <c r="AP6" s="260">
        <v>1.4</v>
      </c>
      <c r="AQ6">
        <v>520.11048600000004</v>
      </c>
      <c r="AR6">
        <v>644.73420099999998</v>
      </c>
      <c r="AS6">
        <v>600</v>
      </c>
      <c r="AU6" s="260">
        <f t="shared" ref="AU6:AU27" si="15">I6/AS6</f>
        <v>2.9416666666666669</v>
      </c>
      <c r="AX6" s="260">
        <f>I6/AQ6-AU6</f>
        <v>0.45184307310812377</v>
      </c>
      <c r="AY6" s="260">
        <f>AU6-I6/AR6</f>
        <v>0.20410443208621842</v>
      </c>
      <c r="BA6" s="260"/>
      <c r="BB6" s="260"/>
      <c r="BC6" s="260"/>
      <c r="BD6" s="260"/>
      <c r="BE6" s="260"/>
    </row>
    <row r="7" spans="1:57" x14ac:dyDescent="0.3">
      <c r="A7" t="s">
        <v>35</v>
      </c>
      <c r="B7" t="s">
        <v>264</v>
      </c>
      <c r="C7">
        <v>2013</v>
      </c>
      <c r="D7">
        <v>280000</v>
      </c>
      <c r="H7" t="s">
        <v>794</v>
      </c>
      <c r="I7">
        <v>3107</v>
      </c>
      <c r="J7">
        <f t="shared" si="0"/>
        <v>12.574029000000001</v>
      </c>
      <c r="K7">
        <f t="shared" si="1"/>
        <v>1257.4029</v>
      </c>
      <c r="L7" s="1">
        <f t="shared" si="3"/>
        <v>11.096428571428572</v>
      </c>
      <c r="M7">
        <f t="shared" si="2"/>
        <v>22.268121061276378</v>
      </c>
      <c r="N7">
        <v>1932.7</v>
      </c>
      <c r="O7" s="260">
        <f t="shared" ref="O7" si="16">N7*0.004047</f>
        <v>7.8216369000000006</v>
      </c>
      <c r="P7" s="260">
        <f t="shared" ref="P7" si="17">N7*0.4047</f>
        <v>782.16368999999997</v>
      </c>
      <c r="Q7" s="1">
        <f t="shared" ref="Q7" si="18">N7/(D7/1000)</f>
        <v>6.9024999999999999</v>
      </c>
      <c r="R7" s="260">
        <f t="shared" ref="R7" si="19">D7/1000/O7</f>
        <v>35.798133252644341</v>
      </c>
      <c r="S7">
        <v>32.929380000000002</v>
      </c>
      <c r="T7">
        <v>-112.97833</v>
      </c>
      <c r="U7" s="98" t="s">
        <v>262</v>
      </c>
      <c r="W7" t="s">
        <v>793</v>
      </c>
      <c r="X7" t="s">
        <v>96</v>
      </c>
      <c r="Y7" s="259"/>
      <c r="Z7">
        <v>6</v>
      </c>
      <c r="AA7">
        <v>2</v>
      </c>
      <c r="AB7" t="s">
        <v>342</v>
      </c>
      <c r="AC7" t="s">
        <v>260</v>
      </c>
      <c r="AF7">
        <v>1</v>
      </c>
      <c r="AH7" s="155"/>
      <c r="AI7" s="271">
        <v>1037274375</v>
      </c>
      <c r="AJ7">
        <f t="shared" si="5"/>
        <v>1037.274375</v>
      </c>
      <c r="AK7" s="100">
        <f t="shared" si="6"/>
        <v>2.9953501936264453</v>
      </c>
      <c r="AL7" s="159">
        <f>N7/AJ7</f>
        <v>1.8632485739368623</v>
      </c>
      <c r="AM7" s="260">
        <f t="shared" si="8"/>
        <v>0.42289398850293541</v>
      </c>
      <c r="AO7">
        <v>1.9</v>
      </c>
      <c r="AP7">
        <v>2.4</v>
      </c>
      <c r="AQ7">
        <v>991.752295</v>
      </c>
      <c r="AR7">
        <v>1154.91111</v>
      </c>
      <c r="AS7">
        <v>1000</v>
      </c>
      <c r="AU7" s="260">
        <f t="shared" si="15"/>
        <v>3.1070000000000002</v>
      </c>
      <c r="AX7" s="260">
        <f>I7/AQ7-AU7</f>
        <v>2.5838729654767079E-2</v>
      </c>
      <c r="AY7" s="260">
        <f>AU7-I7/AR7</f>
        <v>0.41674966549590131</v>
      </c>
      <c r="BA7" s="260"/>
      <c r="BB7" s="260"/>
      <c r="BC7" s="260"/>
      <c r="BD7" s="260"/>
      <c r="BE7" s="260"/>
    </row>
    <row r="8" spans="1:57" x14ac:dyDescent="0.3">
      <c r="A8" t="s">
        <v>148</v>
      </c>
      <c r="B8" t="s">
        <v>272</v>
      </c>
      <c r="C8">
        <v>2010</v>
      </c>
      <c r="D8">
        <v>75000</v>
      </c>
      <c r="F8">
        <v>476.3</v>
      </c>
      <c r="H8" t="s">
        <v>273</v>
      </c>
      <c r="I8">
        <v>500</v>
      </c>
      <c r="J8">
        <f t="shared" si="0"/>
        <v>2.0235000000000003</v>
      </c>
      <c r="K8">
        <f t="shared" si="1"/>
        <v>202.35</v>
      </c>
      <c r="L8" s="1">
        <f t="shared" si="3"/>
        <v>6.666666666666667</v>
      </c>
      <c r="M8">
        <f t="shared" si="2"/>
        <v>37.064492216456628</v>
      </c>
      <c r="N8">
        <v>400</v>
      </c>
      <c r="O8">
        <f t="shared" ref="O8:O13" si="20">N8*0.004047</f>
        <v>1.6188</v>
      </c>
      <c r="P8">
        <f t="shared" ref="P8:P13" si="21">N8*0.4047</f>
        <v>161.88</v>
      </c>
      <c r="Q8" s="1">
        <f t="shared" ref="Q8:Q13" si="22">N8/(D8/1000)</f>
        <v>5.333333333333333</v>
      </c>
      <c r="R8">
        <f t="shared" ref="R8:R13" si="23">D8/1000/O8</f>
        <v>46.330615270570796</v>
      </c>
      <c r="S8">
        <v>27.053259000000001</v>
      </c>
      <c r="T8">
        <v>-80.558505999999994</v>
      </c>
      <c r="U8" s="98" t="s">
        <v>113</v>
      </c>
      <c r="V8" t="s">
        <v>795</v>
      </c>
      <c r="W8" t="s">
        <v>790</v>
      </c>
      <c r="X8" t="s">
        <v>94</v>
      </c>
      <c r="Y8" s="259"/>
      <c r="Z8">
        <v>0</v>
      </c>
      <c r="AA8" s="260">
        <v>1.25</v>
      </c>
      <c r="AB8" t="s">
        <v>29</v>
      </c>
      <c r="AC8" t="s">
        <v>274</v>
      </c>
      <c r="AF8">
        <v>1</v>
      </c>
      <c r="AH8" s="155"/>
      <c r="AI8" s="271">
        <v>88935173</v>
      </c>
      <c r="AJ8">
        <f t="shared" si="5"/>
        <v>88.935173000000006</v>
      </c>
      <c r="AK8" s="100">
        <f t="shared" si="6"/>
        <v>5.6220726078758512</v>
      </c>
      <c r="AL8" s="159">
        <f>N8/AJ8</f>
        <v>4.4976580863006808</v>
      </c>
      <c r="AM8" s="260">
        <f t="shared" si="8"/>
        <v>0.13536556012176559</v>
      </c>
      <c r="AO8" s="260">
        <v>1.1000000000000001</v>
      </c>
      <c r="AP8" s="260">
        <v>1.4</v>
      </c>
      <c r="AQ8">
        <v>71.480500000000006</v>
      </c>
      <c r="AR8">
        <v>104.77205600000001</v>
      </c>
      <c r="AT8" s="260">
        <f>AVERAGE(AQ8:AR8)</f>
        <v>88.126278000000013</v>
      </c>
      <c r="AV8" s="260">
        <f t="shared" ref="AV8" si="24">I8/AT8</f>
        <v>5.6736765848660928</v>
      </c>
      <c r="AX8" s="260">
        <f>I8/AQ8-AV8</f>
        <v>1.3212381121491763</v>
      </c>
      <c r="AY8" s="260">
        <f>AV8-I8/AR8</f>
        <v>0.90141173592583712</v>
      </c>
      <c r="BA8" s="260"/>
      <c r="BB8" s="260">
        <f t="shared" ref="BB8" si="25">N8/AT8</f>
        <v>4.5389412678928744</v>
      </c>
      <c r="BC8" s="260"/>
      <c r="BD8" s="260">
        <f t="shared" ref="BD8" si="26">N8/AQ8-BB8</f>
        <v>1.0569904897193414</v>
      </c>
      <c r="BE8" s="260">
        <f t="shared" ref="BE8" si="27">BB8-N8/AR8</f>
        <v>0.72112938874067023</v>
      </c>
    </row>
    <row r="9" spans="1:57" x14ac:dyDescent="0.3">
      <c r="A9" t="s">
        <v>107</v>
      </c>
      <c r="B9" t="s">
        <v>276</v>
      </c>
      <c r="C9">
        <v>2007</v>
      </c>
      <c r="D9">
        <v>64000</v>
      </c>
      <c r="F9">
        <v>266</v>
      </c>
      <c r="G9">
        <v>760</v>
      </c>
      <c r="H9" t="s">
        <v>277</v>
      </c>
      <c r="I9">
        <v>400</v>
      </c>
      <c r="J9">
        <f t="shared" si="0"/>
        <v>1.6188</v>
      </c>
      <c r="K9">
        <f t="shared" si="1"/>
        <v>161.88</v>
      </c>
      <c r="L9" s="1">
        <f t="shared" si="3"/>
        <v>6.25</v>
      </c>
      <c r="M9">
        <f t="shared" si="2"/>
        <v>39.53545836422041</v>
      </c>
      <c r="N9">
        <v>290</v>
      </c>
      <c r="O9">
        <f t="shared" si="20"/>
        <v>1.1736300000000002</v>
      </c>
      <c r="P9">
        <f t="shared" si="21"/>
        <v>117.363</v>
      </c>
      <c r="Q9" s="1">
        <f t="shared" si="22"/>
        <v>4.53125</v>
      </c>
      <c r="R9">
        <f t="shared" si="23"/>
        <v>54.531666709269523</v>
      </c>
      <c r="S9">
        <v>35.801360000000003</v>
      </c>
      <c r="T9">
        <f>-114.97644</f>
        <v>-114.97644</v>
      </c>
      <c r="U9" s="98" t="s">
        <v>113</v>
      </c>
      <c r="V9" t="s">
        <v>797</v>
      </c>
      <c r="X9" t="s">
        <v>94</v>
      </c>
      <c r="Y9" s="259"/>
      <c r="Z9">
        <v>0.5</v>
      </c>
      <c r="AA9">
        <v>1.35</v>
      </c>
      <c r="AB9" t="s">
        <v>29</v>
      </c>
      <c r="AC9" t="s">
        <v>260</v>
      </c>
      <c r="AF9">
        <v>1</v>
      </c>
      <c r="AI9" s="271">
        <v>135033927</v>
      </c>
      <c r="AJ9">
        <f t="shared" si="5"/>
        <v>135.03392700000001</v>
      </c>
      <c r="AK9" s="100">
        <f t="shared" si="6"/>
        <v>2.9622185245342081</v>
      </c>
      <c r="AL9" s="159">
        <f t="shared" ref="AL9:AL13" si="28">N9/AJ9</f>
        <v>2.1476084302873009</v>
      </c>
      <c r="AM9" s="260">
        <f t="shared" si="8"/>
        <v>0.24085674764554796</v>
      </c>
      <c r="AO9">
        <v>1.1499999999999999</v>
      </c>
      <c r="AP9">
        <v>1.45</v>
      </c>
      <c r="AQ9">
        <v>113.780537</v>
      </c>
      <c r="AR9">
        <v>143.94184899999999</v>
      </c>
      <c r="AS9">
        <v>134</v>
      </c>
      <c r="AU9" s="260">
        <f>I9/AS9</f>
        <v>2.9850746268656718</v>
      </c>
      <c r="AX9" s="260">
        <f>I9/AQ9-AU9</f>
        <v>0.53046511786237449</v>
      </c>
      <c r="AY9" s="260">
        <f>AU9-I9/AR9</f>
        <v>0.20617465594755435</v>
      </c>
      <c r="BA9" s="260">
        <f>N9/AS9</f>
        <v>2.1641791044776117</v>
      </c>
      <c r="BB9" s="260"/>
      <c r="BC9" s="260"/>
      <c r="BD9" s="260">
        <f>N9/AQ9-BA9</f>
        <v>0.38458721045022193</v>
      </c>
      <c r="BE9" s="260">
        <f>BA9-N9/AR9</f>
        <v>0.14947662556197683</v>
      </c>
    </row>
    <row r="10" spans="1:57" x14ac:dyDescent="0.3">
      <c r="L10" s="1"/>
      <c r="Q10" s="1"/>
      <c r="U10" s="98"/>
      <c r="Y10" s="259"/>
      <c r="Z10" s="10"/>
      <c r="AA10" s="260"/>
      <c r="AI10" s="271"/>
      <c r="AK10" s="100"/>
      <c r="AL10" s="159"/>
      <c r="AM10" s="260"/>
      <c r="AO10" s="260"/>
      <c r="AP10" s="260"/>
      <c r="AU10" s="260"/>
      <c r="BA10" s="260"/>
      <c r="BB10" s="260"/>
      <c r="BC10" s="260"/>
      <c r="BD10" s="260"/>
      <c r="BE10" s="260"/>
    </row>
    <row r="11" spans="1:57" x14ac:dyDescent="0.3">
      <c r="A11" t="s">
        <v>26</v>
      </c>
      <c r="B11" t="s">
        <v>270</v>
      </c>
      <c r="C11">
        <v>2013</v>
      </c>
      <c r="D11">
        <v>250000</v>
      </c>
      <c r="F11">
        <v>1000</v>
      </c>
      <c r="H11" t="s">
        <v>800</v>
      </c>
      <c r="I11">
        <v>4640</v>
      </c>
      <c r="J11">
        <f t="shared" si="0"/>
        <v>18.778080000000003</v>
      </c>
      <c r="K11">
        <f t="shared" si="1"/>
        <v>1877.808</v>
      </c>
      <c r="L11" s="1">
        <f t="shared" si="3"/>
        <v>18.559999999999999</v>
      </c>
      <c r="M11">
        <f t="shared" si="2"/>
        <v>13.313395192692754</v>
      </c>
      <c r="N11">
        <v>1800</v>
      </c>
      <c r="O11">
        <f t="shared" si="20"/>
        <v>7.2846000000000002</v>
      </c>
      <c r="P11">
        <f t="shared" si="21"/>
        <v>728.46</v>
      </c>
      <c r="Q11" s="1">
        <f t="shared" si="22"/>
        <v>7.2</v>
      </c>
      <c r="R11">
        <f t="shared" si="23"/>
        <v>34.318974274496881</v>
      </c>
      <c r="S11">
        <v>33.428699999999999</v>
      </c>
      <c r="T11">
        <v>-114.6506</v>
      </c>
      <c r="U11" s="98" t="s">
        <v>113</v>
      </c>
      <c r="V11" t="s">
        <v>809</v>
      </c>
      <c r="X11" t="s">
        <v>96</v>
      </c>
      <c r="Y11" s="259"/>
      <c r="Z11">
        <v>0</v>
      </c>
      <c r="AA11" s="260">
        <v>1.25</v>
      </c>
      <c r="AB11" t="s">
        <v>342</v>
      </c>
      <c r="AC11" t="s">
        <v>147</v>
      </c>
      <c r="AF11">
        <v>1</v>
      </c>
      <c r="AI11" s="271">
        <v>559545807</v>
      </c>
      <c r="AJ11">
        <f t="shared" si="5"/>
        <v>559.54580699999997</v>
      </c>
      <c r="AK11" s="100">
        <f t="shared" si="6"/>
        <v>8.2924399431698372</v>
      </c>
      <c r="AL11" s="159">
        <f t="shared" si="28"/>
        <v>3.2168948055400226</v>
      </c>
      <c r="AM11" s="260">
        <f t="shared" si="8"/>
        <v>0.25550036849315066</v>
      </c>
      <c r="AO11" s="260">
        <v>1.1000000000000001</v>
      </c>
      <c r="AP11" s="260">
        <v>1.4</v>
      </c>
      <c r="AQ11">
        <v>479.94492500000001</v>
      </c>
      <c r="AR11">
        <v>617.28250800000001</v>
      </c>
      <c r="AS11">
        <v>600</v>
      </c>
      <c r="AU11" s="260">
        <f>I11/AS11</f>
        <v>7.7333333333333334</v>
      </c>
      <c r="AX11" s="260">
        <f>I11/AQ11-AU11</f>
        <v>1.9344426099168208</v>
      </c>
      <c r="AY11" s="260">
        <f>AU11-I11/AR11</f>
        <v>0.21651576623000679</v>
      </c>
      <c r="BA11" s="260">
        <f t="shared" ref="BA11:BA13" si="29">N11/AS11</f>
        <v>3</v>
      </c>
      <c r="BB11" s="260"/>
      <c r="BC11" s="260"/>
      <c r="BD11" s="260">
        <f t="shared" ref="BD11" si="30">N11/AQ11-BA11</f>
        <v>0.75043032281255995</v>
      </c>
      <c r="BE11" s="260">
        <f t="shared" ref="BE11" si="31">BA11-N11/AR11</f>
        <v>8.3993185175433638E-2</v>
      </c>
    </row>
    <row r="12" spans="1:57" x14ac:dyDescent="0.3">
      <c r="A12" t="s">
        <v>26</v>
      </c>
      <c r="B12" t="s">
        <v>354</v>
      </c>
      <c r="C12">
        <v>2008</v>
      </c>
      <c r="D12">
        <v>7500</v>
      </c>
      <c r="E12">
        <v>25000</v>
      </c>
      <c r="G12">
        <v>4</v>
      </c>
      <c r="H12" t="s">
        <v>804</v>
      </c>
      <c r="I12">
        <v>35</v>
      </c>
      <c r="J12">
        <f t="shared" si="0"/>
        <v>0.14164500000000002</v>
      </c>
      <c r="K12">
        <f t="shared" si="1"/>
        <v>14.1645</v>
      </c>
      <c r="L12" s="1">
        <f t="shared" si="3"/>
        <v>4.666666666666667</v>
      </c>
      <c r="M12">
        <f t="shared" si="2"/>
        <v>52.949274594938039</v>
      </c>
      <c r="N12">
        <v>14.9</v>
      </c>
      <c r="O12">
        <f t="shared" si="20"/>
        <v>6.0300300000000008E-2</v>
      </c>
      <c r="P12">
        <f t="shared" si="21"/>
        <v>6.03003</v>
      </c>
      <c r="Q12" s="1">
        <f>N12/(D12/1000)</f>
        <v>1.9866666666666668</v>
      </c>
      <c r="R12">
        <f t="shared" si="23"/>
        <v>124.37749065925044</v>
      </c>
      <c r="S12">
        <v>35.568024000000001</v>
      </c>
      <c r="T12" t="s">
        <v>357</v>
      </c>
      <c r="U12" s="159" t="s">
        <v>355</v>
      </c>
      <c r="V12" t="s">
        <v>809</v>
      </c>
      <c r="W12" t="s">
        <v>801</v>
      </c>
      <c r="X12" t="s">
        <v>94</v>
      </c>
      <c r="Y12" s="259"/>
      <c r="Z12">
        <v>0</v>
      </c>
      <c r="AA12" s="260">
        <v>1.25</v>
      </c>
      <c r="AB12" t="s">
        <v>29</v>
      </c>
      <c r="AC12" t="s">
        <v>358</v>
      </c>
      <c r="AF12">
        <v>1</v>
      </c>
      <c r="AI12" s="271">
        <v>8718484</v>
      </c>
      <c r="AJ12">
        <f t="shared" si="5"/>
        <v>8.7184840000000001</v>
      </c>
      <c r="AK12" s="100">
        <f t="shared" si="6"/>
        <v>4.0144593945461162</v>
      </c>
      <c r="AL12" s="159">
        <f t="shared" si="28"/>
        <v>1.7090127136782036</v>
      </c>
      <c r="AM12" s="260">
        <f t="shared" si="8"/>
        <v>0.13270143074581431</v>
      </c>
      <c r="AO12" s="260">
        <v>1.1000000000000001</v>
      </c>
      <c r="AP12" s="260">
        <v>1.4</v>
      </c>
      <c r="AQ12">
        <v>8.7264769999999992</v>
      </c>
      <c r="AR12">
        <v>11.078236</v>
      </c>
      <c r="AS12" s="155"/>
      <c r="AT12" s="260">
        <f>AVERAGE(AQ12:AR12)</f>
        <v>9.9023564999999998</v>
      </c>
      <c r="AU12" s="260"/>
      <c r="AV12" s="260">
        <f t="shared" ref="AV12:AV17" si="32">I12/AT12</f>
        <v>3.5345122143400918</v>
      </c>
      <c r="AX12" s="260">
        <f t="shared" ref="AX12" si="33">I12/AQ12-AV12</f>
        <v>0.47627014376387233</v>
      </c>
      <c r="AY12" s="260">
        <f t="shared" ref="AY12" si="34">AV12-I12/AR12</f>
        <v>0.37516446258611236</v>
      </c>
      <c r="BA12" s="260"/>
      <c r="BB12" s="260">
        <f t="shared" ref="BB12" si="35">N12/AT12</f>
        <v>1.5046923426762104</v>
      </c>
      <c r="BC12" s="260"/>
      <c r="BD12" s="260">
        <f t="shared" ref="BD12" si="36">N12/AQ12-BB12</f>
        <v>0.202755004059477</v>
      </c>
      <c r="BE12" s="260">
        <f t="shared" ref="BE12" si="37">BB12-N12/AR12</f>
        <v>0.15971287121523048</v>
      </c>
    </row>
    <row r="13" spans="1:57" x14ac:dyDescent="0.3">
      <c r="A13" t="s">
        <v>35</v>
      </c>
      <c r="B13" t="s">
        <v>258</v>
      </c>
      <c r="C13">
        <v>2010</v>
      </c>
      <c r="D13">
        <v>1500</v>
      </c>
      <c r="G13">
        <v>60</v>
      </c>
      <c r="I13">
        <v>15</v>
      </c>
      <c r="J13">
        <f t="shared" si="0"/>
        <v>6.0705000000000002E-2</v>
      </c>
      <c r="K13">
        <f t="shared" si="1"/>
        <v>6.0705</v>
      </c>
      <c r="L13" s="1">
        <f t="shared" si="3"/>
        <v>10</v>
      </c>
      <c r="M13">
        <f t="shared" si="2"/>
        <v>24.709661477637756</v>
      </c>
      <c r="N13">
        <v>4.2300000000000004</v>
      </c>
      <c r="O13">
        <f t="shared" si="20"/>
        <v>1.7118810000000002E-2</v>
      </c>
      <c r="P13">
        <f t="shared" si="21"/>
        <v>1.7118810000000002</v>
      </c>
      <c r="Q13" s="1">
        <f t="shared" si="22"/>
        <v>2.8200000000000003</v>
      </c>
      <c r="R13">
        <f t="shared" si="23"/>
        <v>87.622913041268632</v>
      </c>
      <c r="S13">
        <v>33.558669999999999</v>
      </c>
      <c r="T13">
        <v>-112.21833100000001</v>
      </c>
      <c r="U13" s="100" t="s">
        <v>114</v>
      </c>
      <c r="W13" t="s">
        <v>810</v>
      </c>
      <c r="X13" t="s">
        <v>94</v>
      </c>
      <c r="Y13" s="259"/>
      <c r="Z13">
        <v>0</v>
      </c>
      <c r="AB13" t="s">
        <v>29</v>
      </c>
      <c r="AC13" t="s">
        <v>260</v>
      </c>
      <c r="AF13">
        <v>1</v>
      </c>
      <c r="AI13" s="271">
        <v>2807420</v>
      </c>
      <c r="AJ13">
        <f t="shared" si="5"/>
        <v>2.80742</v>
      </c>
      <c r="AK13" s="100">
        <f t="shared" si="6"/>
        <v>5.3429839496762153</v>
      </c>
      <c r="AL13" s="159">
        <f t="shared" si="28"/>
        <v>1.5067214738086929</v>
      </c>
      <c r="AM13" s="260">
        <f t="shared" si="8"/>
        <v>0.21365449010654491</v>
      </c>
      <c r="AS13" s="155">
        <v>2.80742</v>
      </c>
      <c r="AU13" s="260">
        <f>I13/AS13</f>
        <v>5.3429839496762153</v>
      </c>
      <c r="BA13" s="260">
        <f t="shared" si="29"/>
        <v>1.5067214738086929</v>
      </c>
      <c r="BB13" s="260"/>
      <c r="BC13" s="260"/>
      <c r="BD13" s="260"/>
      <c r="BE13" s="260"/>
    </row>
    <row r="14" spans="1:57" x14ac:dyDescent="0.3">
      <c r="A14" t="s">
        <v>26</v>
      </c>
      <c r="B14" t="s">
        <v>98</v>
      </c>
      <c r="C14">
        <v>1995</v>
      </c>
      <c r="D14">
        <v>10000</v>
      </c>
      <c r="I14">
        <v>132</v>
      </c>
      <c r="J14">
        <f t="shared" ref="J14:J27" si="38">I14*0.004047</f>
        <v>0.53420400000000001</v>
      </c>
      <c r="K14">
        <f t="shared" ref="K14:K27" si="39">I14*0.4047</f>
        <v>53.420400000000001</v>
      </c>
      <c r="L14" s="1">
        <f t="shared" ref="L14:L27" si="40">I14/(D14/1000)</f>
        <v>13.2</v>
      </c>
      <c r="M14">
        <f t="shared" ref="M14:M27" si="41">D14/1000/J14</f>
        <v>18.719440513361935</v>
      </c>
      <c r="N14">
        <v>110</v>
      </c>
      <c r="O14">
        <f>N14*0.004047</f>
        <v>0.44517000000000001</v>
      </c>
      <c r="P14">
        <f>N14*0.4047</f>
        <v>44.517000000000003</v>
      </c>
      <c r="Q14" s="1">
        <f>N14/(D14/1000)</f>
        <v>11</v>
      </c>
      <c r="R14">
        <f>D14/1000/O14</f>
        <v>22.463328616034325</v>
      </c>
      <c r="S14">
        <v>34.871813000000003</v>
      </c>
      <c r="T14">
        <v>-116.83414999999999</v>
      </c>
      <c r="U14" s="98" t="s">
        <v>99</v>
      </c>
      <c r="W14" t="s">
        <v>837</v>
      </c>
      <c r="X14" t="s">
        <v>95</v>
      </c>
      <c r="Y14" s="259">
        <v>63</v>
      </c>
      <c r="Z14" s="100">
        <v>3</v>
      </c>
      <c r="AA14">
        <v>1.75</v>
      </c>
      <c r="AB14" t="s">
        <v>100</v>
      </c>
      <c r="AC14" t="s">
        <v>30</v>
      </c>
      <c r="AF14">
        <v>1</v>
      </c>
      <c r="AI14" s="272">
        <v>32870503</v>
      </c>
      <c r="AJ14">
        <f t="shared" ref="AJ14:AJ27" si="42">AI14/1000000</f>
        <v>32.870502999999999</v>
      </c>
      <c r="AK14" s="100">
        <f t="shared" ref="AK14:AK27" si="43">I14/AJ14</f>
        <v>4.0157584445848</v>
      </c>
      <c r="AL14" s="159">
        <f>N14/AJ14</f>
        <v>3.3464653704873335</v>
      </c>
      <c r="AM14" s="260">
        <f t="shared" ref="AM14:AM27" si="44">AI14/(8760*D14)</f>
        <v>0.37523405251141551</v>
      </c>
      <c r="AO14">
        <v>1.3</v>
      </c>
      <c r="AP14">
        <v>1.7</v>
      </c>
      <c r="AQ14">
        <v>20.071522000000002</v>
      </c>
      <c r="AR14">
        <v>30.339209</v>
      </c>
      <c r="AS14" s="155"/>
      <c r="AT14" s="260">
        <f>AVERAGE(AQ14:AR14)</f>
        <v>25.205365499999999</v>
      </c>
      <c r="AU14" s="260"/>
      <c r="AV14" s="260">
        <f>I14/AT14</f>
        <v>5.2369801977281387</v>
      </c>
      <c r="AX14" s="260">
        <f t="shared" ref="AX14:AX17" si="45">I14/AQ14-AV14</f>
        <v>1.3395016455521063</v>
      </c>
      <c r="AY14" s="260">
        <f t="shared" ref="AY14" si="46">AV14-I14/AR14</f>
        <v>0.88617461146516163</v>
      </c>
      <c r="BA14" s="260"/>
      <c r="BB14" s="260">
        <f t="shared" ref="BB14:BB15" si="47">N14/AT14</f>
        <v>4.3641501647734486</v>
      </c>
      <c r="BC14" s="260"/>
      <c r="BD14" s="260">
        <f t="shared" ref="BD14:BD15" si="48">N14/AQ14-BB14</f>
        <v>1.1162513712934219</v>
      </c>
      <c r="BE14" s="260">
        <f t="shared" ref="BE14:BE15" si="49">BB14-N14/AR14</f>
        <v>0.7384788428876341</v>
      </c>
    </row>
    <row r="15" spans="1:57" x14ac:dyDescent="0.3">
      <c r="A15" t="s">
        <v>26</v>
      </c>
      <c r="B15" t="s">
        <v>280</v>
      </c>
      <c r="C15">
        <v>2013</v>
      </c>
      <c r="D15">
        <v>150000</v>
      </c>
      <c r="G15">
        <v>17170</v>
      </c>
      <c r="H15" t="s">
        <v>281</v>
      </c>
      <c r="I15">
        <v>2560</v>
      </c>
      <c r="J15">
        <f t="shared" si="38"/>
        <v>10.360320000000002</v>
      </c>
      <c r="K15">
        <f t="shared" si="39"/>
        <v>1036.0319999999999</v>
      </c>
      <c r="L15" s="1">
        <f t="shared" si="40"/>
        <v>17.066666666666666</v>
      </c>
      <c r="M15">
        <f t="shared" si="41"/>
        <v>14.478317272053371</v>
      </c>
      <c r="N15">
        <v>1410</v>
      </c>
      <c r="O15">
        <f>N15*0.004047</f>
        <v>5.70627</v>
      </c>
      <c r="P15">
        <f>N15*0.4047</f>
        <v>570.62699999999995</v>
      </c>
      <c r="Q15" s="1">
        <f>N15/(D15/1000)</f>
        <v>9.4</v>
      </c>
      <c r="R15">
        <f>D15/1000/O15</f>
        <v>26.286873912380592</v>
      </c>
      <c r="S15">
        <v>34.066490000000002</v>
      </c>
      <c r="T15">
        <v>-114.81309</v>
      </c>
      <c r="U15" s="98" t="s">
        <v>99</v>
      </c>
      <c r="W15" t="s">
        <v>837</v>
      </c>
      <c r="X15" t="s">
        <v>95</v>
      </c>
      <c r="Y15" s="259">
        <v>200</v>
      </c>
      <c r="Z15">
        <v>7</v>
      </c>
      <c r="AA15">
        <v>2.125</v>
      </c>
      <c r="AB15" t="s">
        <v>342</v>
      </c>
      <c r="AC15" t="s">
        <v>297</v>
      </c>
      <c r="AF15">
        <v>1</v>
      </c>
      <c r="AI15" s="273">
        <v>669229627</v>
      </c>
      <c r="AJ15">
        <f t="shared" si="42"/>
        <v>669.22962700000005</v>
      </c>
      <c r="AK15" s="100">
        <f t="shared" si="43"/>
        <v>3.825293885263092</v>
      </c>
      <c r="AL15" s="159">
        <f>N15/AJ15</f>
        <v>2.1069001477425622</v>
      </c>
      <c r="AM15" s="260">
        <f t="shared" si="44"/>
        <v>0.50930717427701677</v>
      </c>
      <c r="AO15">
        <v>1.8</v>
      </c>
      <c r="AP15">
        <v>2.2000000000000002</v>
      </c>
      <c r="AQ15">
        <v>541.15484800000002</v>
      </c>
      <c r="AR15">
        <v>691.94617600000004</v>
      </c>
      <c r="AS15" s="155"/>
      <c r="AT15" s="260">
        <f>AVERAGE(AQ15:AR15)</f>
        <v>616.55051200000003</v>
      </c>
      <c r="AV15" s="260">
        <f t="shared" si="32"/>
        <v>4.1521334427178287</v>
      </c>
      <c r="AX15" s="260">
        <f>I15/AQ15-AV15</f>
        <v>0.57849035093614543</v>
      </c>
      <c r="AY15" s="260">
        <f>AV15-I15/AR15</f>
        <v>0.4524237126939723</v>
      </c>
      <c r="BA15" s="260"/>
      <c r="BB15" s="260">
        <f t="shared" si="47"/>
        <v>2.2869172477469291</v>
      </c>
      <c r="BC15" s="260"/>
      <c r="BD15" s="260">
        <f t="shared" si="48"/>
        <v>0.31862163860154924</v>
      </c>
      <c r="BE15" s="260">
        <f t="shared" si="49"/>
        <v>0.24918649800722692</v>
      </c>
    </row>
    <row r="16" spans="1:57" x14ac:dyDescent="0.3">
      <c r="A16" t="s">
        <v>35</v>
      </c>
      <c r="B16" t="s">
        <v>838</v>
      </c>
      <c r="C16">
        <v>2014</v>
      </c>
      <c r="D16">
        <v>100000</v>
      </c>
      <c r="H16" t="s">
        <v>839</v>
      </c>
      <c r="I16">
        <v>1675</v>
      </c>
      <c r="J16">
        <f t="shared" si="38"/>
        <v>6.7787250000000006</v>
      </c>
      <c r="K16">
        <f t="shared" si="39"/>
        <v>677.87250000000006</v>
      </c>
      <c r="L16" s="1">
        <f t="shared" si="40"/>
        <v>16.75</v>
      </c>
      <c r="M16">
        <f t="shared" si="41"/>
        <v>14.752036703067317</v>
      </c>
      <c r="Q16" s="260"/>
      <c r="S16">
        <v>33.848199999999999</v>
      </c>
      <c r="T16">
        <v>-114.1994</v>
      </c>
      <c r="U16" s="98" t="s">
        <v>99</v>
      </c>
      <c r="V16">
        <v>1000</v>
      </c>
      <c r="W16" t="s">
        <v>837</v>
      </c>
      <c r="X16" t="s">
        <v>840</v>
      </c>
      <c r="Y16" s="259">
        <v>200</v>
      </c>
      <c r="Z16">
        <v>10</v>
      </c>
      <c r="AA16" s="260">
        <v>2.5</v>
      </c>
      <c r="AB16" t="s">
        <v>24</v>
      </c>
      <c r="AF16">
        <v>1</v>
      </c>
      <c r="AI16" s="273">
        <v>547346817</v>
      </c>
      <c r="AJ16">
        <f t="shared" si="42"/>
        <v>547.34681699999999</v>
      </c>
      <c r="AK16" s="100">
        <f t="shared" si="43"/>
        <v>3.0602169373719041</v>
      </c>
      <c r="AL16" s="159"/>
      <c r="AM16" s="260">
        <f t="shared" si="44"/>
        <v>0.62482513356164382</v>
      </c>
      <c r="AO16">
        <v>2.2000000000000002</v>
      </c>
      <c r="AP16" s="260">
        <v>2.8</v>
      </c>
      <c r="AQ16">
        <v>489.24726399999997</v>
      </c>
      <c r="AR16">
        <v>578.49275899999998</v>
      </c>
      <c r="AS16">
        <v>500</v>
      </c>
      <c r="AU16" s="260">
        <f t="shared" si="15"/>
        <v>3.35</v>
      </c>
      <c r="AX16" s="260">
        <f>I16/AQ16-AU16</f>
        <v>7.3626708314101119E-2</v>
      </c>
      <c r="AY16" s="260">
        <f>AU16-I16/AR16</f>
        <v>0.45454457045330088</v>
      </c>
      <c r="BA16" s="260"/>
      <c r="BB16" s="260"/>
      <c r="BC16" s="260"/>
      <c r="BD16" s="260"/>
      <c r="BE16" s="260"/>
    </row>
    <row r="17" spans="1:57" x14ac:dyDescent="0.3">
      <c r="A17" t="s">
        <v>35</v>
      </c>
      <c r="B17" t="s">
        <v>836</v>
      </c>
      <c r="C17">
        <v>2014</v>
      </c>
      <c r="D17">
        <v>150000</v>
      </c>
      <c r="H17" t="s">
        <v>839</v>
      </c>
      <c r="I17">
        <v>2560</v>
      </c>
      <c r="J17">
        <f t="shared" si="38"/>
        <v>10.360320000000002</v>
      </c>
      <c r="K17">
        <f t="shared" si="39"/>
        <v>1036.0319999999999</v>
      </c>
      <c r="L17" s="1">
        <f t="shared" si="40"/>
        <v>17.066666666666666</v>
      </c>
      <c r="M17">
        <f t="shared" si="41"/>
        <v>14.478317272053371</v>
      </c>
      <c r="Q17" s="260"/>
      <c r="S17">
        <v>32.946199999999997</v>
      </c>
      <c r="T17">
        <v>-112.89190000000001</v>
      </c>
      <c r="U17" s="98" t="s">
        <v>99</v>
      </c>
      <c r="V17">
        <v>1000</v>
      </c>
      <c r="W17" t="s">
        <v>837</v>
      </c>
      <c r="X17" t="s">
        <v>840</v>
      </c>
      <c r="Y17" s="259">
        <v>200</v>
      </c>
      <c r="Z17">
        <v>10</v>
      </c>
      <c r="AA17" s="260">
        <v>2.5</v>
      </c>
      <c r="AB17" t="s">
        <v>24</v>
      </c>
      <c r="AF17">
        <v>1</v>
      </c>
      <c r="AH17" s="155"/>
      <c r="AI17" s="273">
        <v>774720936</v>
      </c>
      <c r="AJ17">
        <f t="shared" si="42"/>
        <v>774.72093600000005</v>
      </c>
      <c r="AK17" s="100">
        <f t="shared" si="43"/>
        <v>3.3044156689732209</v>
      </c>
      <c r="AL17" s="159"/>
      <c r="AM17" s="260">
        <f t="shared" si="44"/>
        <v>0.58958975342465758</v>
      </c>
      <c r="AO17" s="260">
        <v>2.2000000000000002</v>
      </c>
      <c r="AP17" s="260">
        <v>2.8</v>
      </c>
      <c r="AQ17">
        <v>682.76658799999996</v>
      </c>
      <c r="AR17">
        <v>821.67648799999995</v>
      </c>
      <c r="AS17" s="155"/>
      <c r="AT17" s="260">
        <f>AVERAGE(AQ17:AR17)</f>
        <v>752.22153800000001</v>
      </c>
      <c r="AV17" s="260">
        <f t="shared" si="32"/>
        <v>3.4032527263264827</v>
      </c>
      <c r="AX17" s="260">
        <f t="shared" si="45"/>
        <v>0.34619846972413626</v>
      </c>
      <c r="AY17" s="260">
        <f t="shared" ref="AY17" si="50">AV17-I17/AR17</f>
        <v>0.28767130543033037</v>
      </c>
      <c r="BA17" s="260"/>
      <c r="BB17" s="260"/>
      <c r="BC17" s="260"/>
      <c r="BD17" s="260"/>
      <c r="BE17" s="260"/>
    </row>
    <row r="18" spans="1:57" x14ac:dyDescent="0.3">
      <c r="A18" t="s">
        <v>107</v>
      </c>
      <c r="B18" t="s">
        <v>275</v>
      </c>
      <c r="C18">
        <v>2013</v>
      </c>
      <c r="D18">
        <v>110000</v>
      </c>
      <c r="G18">
        <v>17170</v>
      </c>
      <c r="H18" t="s">
        <v>281</v>
      </c>
      <c r="I18">
        <v>1600</v>
      </c>
      <c r="J18">
        <f t="shared" si="38"/>
        <v>6.4752000000000001</v>
      </c>
      <c r="K18">
        <f t="shared" si="39"/>
        <v>647.52</v>
      </c>
      <c r="L18" s="1">
        <f t="shared" si="40"/>
        <v>14.545454545454545</v>
      </c>
      <c r="M18">
        <f t="shared" si="41"/>
        <v>16.987892265875956</v>
      </c>
      <c r="N18">
        <v>1527</v>
      </c>
      <c r="O18">
        <f>N18*0.004047</f>
        <v>6.1797690000000003</v>
      </c>
      <c r="P18">
        <f>N18*0.4047</f>
        <v>617.9769</v>
      </c>
      <c r="Q18" s="1">
        <f>N18/(D18/1000)</f>
        <v>13.881818181818181</v>
      </c>
      <c r="R18">
        <f>D18/1000/O18</f>
        <v>17.800018091291115</v>
      </c>
      <c r="S18">
        <v>38.210940000000001</v>
      </c>
      <c r="T18">
        <v>-117.33725</v>
      </c>
      <c r="U18" s="98" t="s">
        <v>99</v>
      </c>
      <c r="V18" t="s">
        <v>814</v>
      </c>
      <c r="W18" t="s">
        <v>837</v>
      </c>
      <c r="X18" t="s">
        <v>840</v>
      </c>
      <c r="Y18" s="259"/>
      <c r="Z18">
        <v>10</v>
      </c>
      <c r="AA18" s="260">
        <v>2.5</v>
      </c>
      <c r="AB18" t="s">
        <v>342</v>
      </c>
      <c r="AC18" t="s">
        <v>269</v>
      </c>
      <c r="AF18">
        <v>1</v>
      </c>
      <c r="AI18" s="273">
        <v>564002105</v>
      </c>
      <c r="AJ18">
        <f t="shared" si="42"/>
        <v>564.00210500000003</v>
      </c>
      <c r="AK18" s="100">
        <f t="shared" si="43"/>
        <v>2.8368688446650387</v>
      </c>
      <c r="AL18" s="159">
        <f>N18/AJ18</f>
        <v>2.7074367036271965</v>
      </c>
      <c r="AM18" s="260">
        <f t="shared" si="44"/>
        <v>0.58530729036944795</v>
      </c>
      <c r="AO18" s="260">
        <v>2.2000000000000002</v>
      </c>
      <c r="AP18" s="260">
        <v>2.8</v>
      </c>
      <c r="AQ18">
        <v>524.99334499999998</v>
      </c>
      <c r="AR18">
        <v>590.13051099999996</v>
      </c>
      <c r="AS18" s="155"/>
      <c r="AT18" s="260">
        <f>AVERAGE(AQ18:AR18)</f>
        <v>557.56192799999997</v>
      </c>
      <c r="AU18" s="260"/>
      <c r="AV18" s="260">
        <f>I18/AT18</f>
        <v>2.8696363931075295</v>
      </c>
      <c r="AX18" s="260">
        <f>I18/AQ18-AU18</f>
        <v>3.0476576803083097</v>
      </c>
      <c r="AY18" s="260">
        <f>AU18-I18/AR18</f>
        <v>-2.7112646612505009</v>
      </c>
      <c r="BA18" s="260"/>
      <c r="BB18" s="260">
        <f t="shared" ref="BB18" si="51">N18/AT18</f>
        <v>2.7387092326719986</v>
      </c>
      <c r="BC18" s="260"/>
      <c r="BD18" s="260">
        <f>N18/AQ18-BB18</f>
        <v>0.16989906597224413</v>
      </c>
      <c r="BE18" s="260">
        <f>BB18-N18/AR18</f>
        <v>0.15114602159105184</v>
      </c>
    </row>
    <row r="19" spans="1:57" x14ac:dyDescent="0.3">
      <c r="A19" t="s">
        <v>3</v>
      </c>
      <c r="B19" t="s">
        <v>811</v>
      </c>
      <c r="D19">
        <v>200000</v>
      </c>
      <c r="G19">
        <f>17500*2</f>
        <v>35000</v>
      </c>
      <c r="H19" t="s">
        <v>281</v>
      </c>
      <c r="I19">
        <v>3000</v>
      </c>
      <c r="J19">
        <f t="shared" si="38"/>
        <v>12.141</v>
      </c>
      <c r="K19">
        <f t="shared" si="39"/>
        <v>1214.0999999999999</v>
      </c>
      <c r="L19" s="1">
        <f t="shared" si="40"/>
        <v>15</v>
      </c>
      <c r="M19">
        <f t="shared" si="41"/>
        <v>16.473107651758504</v>
      </c>
      <c r="N19">
        <v>2669</v>
      </c>
      <c r="O19">
        <f>N19*0.004047</f>
        <v>10.801443000000001</v>
      </c>
      <c r="P19">
        <f>N19*0.4047</f>
        <v>1080.1442999999999</v>
      </c>
      <c r="Q19" s="1">
        <f>N19/(D19/1000)</f>
        <v>13.345000000000001</v>
      </c>
      <c r="R19">
        <f>D19/1000/O19</f>
        <v>18.516044569230239</v>
      </c>
      <c r="S19">
        <v>37.79607</v>
      </c>
      <c r="T19">
        <v>-106.03045</v>
      </c>
      <c r="U19" s="98" t="s">
        <v>99</v>
      </c>
      <c r="W19" t="s">
        <v>837</v>
      </c>
      <c r="X19" t="s">
        <v>94</v>
      </c>
      <c r="Y19" s="259"/>
      <c r="Z19">
        <v>15</v>
      </c>
      <c r="AA19" s="260">
        <v>3.125</v>
      </c>
      <c r="AB19" t="s">
        <v>342</v>
      </c>
      <c r="AC19" t="s">
        <v>147</v>
      </c>
      <c r="AF19">
        <v>1</v>
      </c>
      <c r="AH19" s="155"/>
      <c r="AI19" s="273">
        <v>1180428401</v>
      </c>
      <c r="AJ19">
        <f t="shared" si="42"/>
        <v>1180.4284009999999</v>
      </c>
      <c r="AK19" s="100">
        <f t="shared" si="43"/>
        <v>2.5414502035519901</v>
      </c>
      <c r="AL19" s="159">
        <f>N19/AJ19</f>
        <v>2.2610435310934207</v>
      </c>
      <c r="AM19" s="260">
        <f t="shared" si="44"/>
        <v>0.67376050285388123</v>
      </c>
      <c r="AO19">
        <v>2.6</v>
      </c>
      <c r="AP19" s="260">
        <v>3.2</v>
      </c>
      <c r="AQ19">
        <v>1072.6984480000001</v>
      </c>
      <c r="AR19">
        <v>1215.503614</v>
      </c>
      <c r="AS19">
        <v>1100</v>
      </c>
      <c r="AU19" s="260">
        <f>I19/AS19</f>
        <v>2.7272727272727271</v>
      </c>
      <c r="AX19" s="260">
        <f>I19/AQ19-AU19</f>
        <v>6.9412590575332E-2</v>
      </c>
      <c r="AY19" s="260">
        <f>AU19-I19/AR19</f>
        <v>0.25915995043979878</v>
      </c>
      <c r="BA19" s="260">
        <f t="shared" ref="BA19:BA22" si="52">N19/AS19</f>
        <v>2.4263636363636363</v>
      </c>
      <c r="BB19" s="260"/>
      <c r="BC19" s="260"/>
      <c r="BD19" s="260">
        <f t="shared" ref="BD19" si="53">N19/AQ19-BA19</f>
        <v>6.1754068081853575E-2</v>
      </c>
      <c r="BE19" s="260">
        <f t="shared" ref="BE19" si="54">BA19-N19/AR19</f>
        <v>0.23056596924127426</v>
      </c>
    </row>
    <row r="20" spans="1:57" x14ac:dyDescent="0.3">
      <c r="A20" t="s">
        <v>26</v>
      </c>
      <c r="B20" t="s">
        <v>266</v>
      </c>
      <c r="C20">
        <v>2009</v>
      </c>
      <c r="D20">
        <v>5000</v>
      </c>
      <c r="G20">
        <v>24360</v>
      </c>
      <c r="H20" t="s">
        <v>265</v>
      </c>
      <c r="I20">
        <v>50</v>
      </c>
      <c r="J20">
        <f t="shared" si="38"/>
        <v>0.20235</v>
      </c>
      <c r="K20">
        <f t="shared" si="39"/>
        <v>20.234999999999999</v>
      </c>
      <c r="L20" s="1">
        <f t="shared" si="40"/>
        <v>10</v>
      </c>
      <c r="M20">
        <f t="shared" si="41"/>
        <v>24.709661477637756</v>
      </c>
      <c r="N20">
        <v>21.76</v>
      </c>
      <c r="O20">
        <f>N20*0.004047</f>
        <v>8.8062720000000011E-2</v>
      </c>
      <c r="P20">
        <f>N20*0.4047</f>
        <v>8.8062719999999999</v>
      </c>
      <c r="Q20" s="1">
        <f>N20/(D20/1000)</f>
        <v>4.3520000000000003</v>
      </c>
      <c r="R20">
        <f>D20/1000/O20</f>
        <v>56.777714792366162</v>
      </c>
      <c r="S20">
        <v>34.731693999999997</v>
      </c>
      <c r="T20" t="s">
        <v>267</v>
      </c>
      <c r="U20" s="98" t="s">
        <v>99</v>
      </c>
      <c r="W20" t="s">
        <v>801</v>
      </c>
      <c r="X20" t="s">
        <v>94</v>
      </c>
      <c r="Y20" s="259">
        <v>55</v>
      </c>
      <c r="Z20">
        <v>0</v>
      </c>
      <c r="AA20" s="260">
        <v>1.25</v>
      </c>
      <c r="AB20" t="s">
        <v>29</v>
      </c>
      <c r="AC20" t="s">
        <v>110</v>
      </c>
      <c r="AF20">
        <v>1</v>
      </c>
      <c r="AI20" s="270">
        <v>4938365</v>
      </c>
      <c r="AJ20">
        <f t="shared" si="42"/>
        <v>4.9383650000000001</v>
      </c>
      <c r="AK20" s="100">
        <f t="shared" si="43"/>
        <v>10.124808514558968</v>
      </c>
      <c r="AL20" s="159">
        <f>N20/AJ20</f>
        <v>4.406316665536063</v>
      </c>
      <c r="AM20" s="260">
        <f t="shared" si="44"/>
        <v>0.1127480593607306</v>
      </c>
      <c r="AO20" s="260">
        <v>1.1000000000000001</v>
      </c>
      <c r="AP20" s="260">
        <v>1.4</v>
      </c>
      <c r="AS20" s="155">
        <v>4.9383699999999999</v>
      </c>
      <c r="AU20" s="260">
        <f>I20/AS20</f>
        <v>10.124798263394602</v>
      </c>
      <c r="BA20" s="260">
        <f t="shared" si="52"/>
        <v>4.406312204229331</v>
      </c>
      <c r="BB20" s="260"/>
      <c r="BC20" s="260"/>
      <c r="BD20" s="260"/>
      <c r="BE20" s="260"/>
    </row>
    <row r="21" spans="1:57" x14ac:dyDescent="0.3">
      <c r="A21" t="s">
        <v>26</v>
      </c>
      <c r="B21" t="s">
        <v>823</v>
      </c>
      <c r="C21">
        <v>2015</v>
      </c>
      <c r="D21">
        <v>250000</v>
      </c>
      <c r="H21" t="s">
        <v>818</v>
      </c>
      <c r="I21">
        <f>3280/2</f>
        <v>1640</v>
      </c>
      <c r="J21">
        <f t="shared" si="38"/>
        <v>6.6370800000000001</v>
      </c>
      <c r="K21">
        <f t="shared" si="39"/>
        <v>663.70799999999997</v>
      </c>
      <c r="L21" s="1">
        <f t="shared" si="40"/>
        <v>6.56</v>
      </c>
      <c r="M21">
        <f t="shared" si="41"/>
        <v>37.667166886642917</v>
      </c>
      <c r="N21">
        <f>3119/2</f>
        <v>1559.5</v>
      </c>
      <c r="O21">
        <f>N21*0.004047</f>
        <v>6.3112965000000001</v>
      </c>
      <c r="P21">
        <f>N21*0.4047</f>
        <v>631.12964999999997</v>
      </c>
      <c r="Q21" s="1">
        <f>N21/(D21/1000)</f>
        <v>6.2380000000000004</v>
      </c>
      <c r="R21">
        <f>D21/1000/O21</f>
        <v>39.611512468159276</v>
      </c>
      <c r="S21">
        <v>35.976999999999997</v>
      </c>
      <c r="T21">
        <v>-115.8742</v>
      </c>
      <c r="U21" s="98" t="s">
        <v>99</v>
      </c>
      <c r="V21">
        <v>1000</v>
      </c>
      <c r="W21" t="s">
        <v>801</v>
      </c>
      <c r="X21" t="s">
        <v>96</v>
      </c>
      <c r="Y21" s="259">
        <v>227</v>
      </c>
      <c r="Z21" s="260">
        <v>0</v>
      </c>
      <c r="AA21" s="260">
        <v>1.25</v>
      </c>
      <c r="AB21" t="s">
        <v>24</v>
      </c>
      <c r="AF21">
        <v>1</v>
      </c>
      <c r="AI21" s="272">
        <v>610566907</v>
      </c>
      <c r="AJ21">
        <f t="shared" si="42"/>
        <v>610.56690700000001</v>
      </c>
      <c r="AK21" s="100">
        <f t="shared" si="43"/>
        <v>2.6860283143383663</v>
      </c>
      <c r="AL21" s="159">
        <f>N21/AJ21</f>
        <v>2.5541836318357816</v>
      </c>
      <c r="AM21" s="260">
        <f t="shared" si="44"/>
        <v>0.27879767442922376</v>
      </c>
      <c r="AO21" s="260">
        <v>1.1000000000000001</v>
      </c>
      <c r="AP21" s="260">
        <v>1.4</v>
      </c>
      <c r="AQ21">
        <v>544.58057599999995</v>
      </c>
      <c r="AR21">
        <v>655.11825899999997</v>
      </c>
      <c r="AS21">
        <v>623</v>
      </c>
      <c r="AU21" s="260">
        <f t="shared" si="15"/>
        <v>2.6324237560192616</v>
      </c>
      <c r="AX21" s="260">
        <f>I21/AQ21-AU21</f>
        <v>0.37906815587735387</v>
      </c>
      <c r="AY21" s="260">
        <f>AU21-I21/AR21</f>
        <v>0.12905893986627426</v>
      </c>
      <c r="BA21" s="260">
        <f t="shared" si="52"/>
        <v>2.5032102728731944</v>
      </c>
      <c r="BB21" s="260"/>
      <c r="BC21" s="260"/>
      <c r="BD21" s="260">
        <f t="shared" ref="BD21:BD22" si="55">N21/AQ21-BA21</f>
        <v>0.3604614567626423</v>
      </c>
      <c r="BE21" s="260">
        <f t="shared" ref="BE21:BE22" si="56">BA21-N21/AR21</f>
        <v>0.12272403458625325</v>
      </c>
    </row>
    <row r="22" spans="1:57" x14ac:dyDescent="0.3">
      <c r="A22" t="s">
        <v>26</v>
      </c>
      <c r="B22" t="s">
        <v>824</v>
      </c>
      <c r="C22">
        <v>2015</v>
      </c>
      <c r="D22">
        <v>250000</v>
      </c>
      <c r="H22" t="s">
        <v>818</v>
      </c>
      <c r="I22" s="260">
        <f>3280/2</f>
        <v>1640</v>
      </c>
      <c r="J22" s="260">
        <f t="shared" si="38"/>
        <v>6.6370800000000001</v>
      </c>
      <c r="K22" s="260">
        <f t="shared" si="39"/>
        <v>663.70799999999997</v>
      </c>
      <c r="L22" s="1">
        <f t="shared" si="40"/>
        <v>6.56</v>
      </c>
      <c r="M22" s="260">
        <f t="shared" si="41"/>
        <v>37.667166886642917</v>
      </c>
      <c r="N22">
        <f>3119/2</f>
        <v>1559.5</v>
      </c>
      <c r="O22">
        <f>N22*0.004047</f>
        <v>6.3112965000000001</v>
      </c>
      <c r="P22">
        <f>N22*0.4047</f>
        <v>631.12964999999997</v>
      </c>
      <c r="Q22" s="1">
        <f>N22/(D22/1000)</f>
        <v>6.2380000000000004</v>
      </c>
      <c r="R22">
        <f>D22/1000/O22</f>
        <v>39.611512468159276</v>
      </c>
      <c r="S22">
        <v>35.976999999999997</v>
      </c>
      <c r="T22">
        <v>-115.8742</v>
      </c>
      <c r="U22" s="98" t="s">
        <v>99</v>
      </c>
      <c r="V22">
        <v>1000</v>
      </c>
      <c r="W22" t="s">
        <v>801</v>
      </c>
      <c r="X22" t="s">
        <v>96</v>
      </c>
      <c r="Y22" s="259">
        <v>227</v>
      </c>
      <c r="Z22" s="260">
        <v>0</v>
      </c>
      <c r="AA22">
        <v>1.25</v>
      </c>
      <c r="AB22" t="s">
        <v>24</v>
      </c>
      <c r="AF22">
        <v>1</v>
      </c>
      <c r="AI22" s="272">
        <v>610566907</v>
      </c>
      <c r="AJ22">
        <f t="shared" si="42"/>
        <v>610.56690700000001</v>
      </c>
      <c r="AK22" s="100">
        <f t="shared" si="43"/>
        <v>2.6860283143383663</v>
      </c>
      <c r="AL22" s="159">
        <f>N22/AJ22</f>
        <v>2.5541836318357816</v>
      </c>
      <c r="AM22" s="260">
        <f t="shared" si="44"/>
        <v>0.27879767442922376</v>
      </c>
      <c r="AO22" s="260">
        <v>1.1000000000000001</v>
      </c>
      <c r="AP22" s="260">
        <v>1.4</v>
      </c>
      <c r="AQ22" s="260">
        <v>544.58057599999995</v>
      </c>
      <c r="AR22" s="260">
        <v>655.11825899999997</v>
      </c>
      <c r="AS22" s="260">
        <v>623</v>
      </c>
      <c r="AU22" s="260">
        <f>I22/AS22</f>
        <v>2.6324237560192616</v>
      </c>
      <c r="AX22" s="260">
        <f>I22/AQ22-AU22</f>
        <v>0.37906815587735387</v>
      </c>
      <c r="AY22" s="260">
        <f t="shared" ref="AY22:AY25" si="57">AU22-I22/AR22</f>
        <v>0.12905893986627426</v>
      </c>
      <c r="BA22" s="260">
        <f t="shared" si="52"/>
        <v>2.5032102728731944</v>
      </c>
      <c r="BB22" s="260"/>
      <c r="BC22" s="260"/>
      <c r="BD22" s="260">
        <f t="shared" si="55"/>
        <v>0.3604614567626423</v>
      </c>
      <c r="BE22" s="260">
        <f t="shared" si="56"/>
        <v>0.12272403458625325</v>
      </c>
    </row>
    <row r="23" spans="1:57" x14ac:dyDescent="0.3">
      <c r="A23" t="s">
        <v>26</v>
      </c>
      <c r="B23" t="s">
        <v>820</v>
      </c>
      <c r="C23">
        <v>2016</v>
      </c>
      <c r="D23">
        <v>250000</v>
      </c>
      <c r="G23">
        <f>225000/3</f>
        <v>75000</v>
      </c>
      <c r="H23" t="s">
        <v>818</v>
      </c>
      <c r="I23">
        <f>5750/3</f>
        <v>1916.6666666666667</v>
      </c>
      <c r="J23">
        <f t="shared" si="38"/>
        <v>7.7567500000000011</v>
      </c>
      <c r="K23">
        <f t="shared" si="39"/>
        <v>775.67500000000007</v>
      </c>
      <c r="L23" s="1">
        <f t="shared" si="40"/>
        <v>7.666666666666667</v>
      </c>
      <c r="M23">
        <f t="shared" si="41"/>
        <v>32.229993231701414</v>
      </c>
      <c r="S23">
        <v>33.4833</v>
      </c>
      <c r="T23">
        <v>-114.762</v>
      </c>
      <c r="U23" s="98" t="s">
        <v>99</v>
      </c>
      <c r="V23">
        <v>1000</v>
      </c>
      <c r="W23" t="s">
        <v>801</v>
      </c>
      <c r="X23" t="s">
        <v>95</v>
      </c>
      <c r="Y23" s="259">
        <v>286</v>
      </c>
      <c r="Z23" s="260">
        <v>0</v>
      </c>
      <c r="AA23">
        <v>1.25</v>
      </c>
      <c r="AB23" t="s">
        <v>24</v>
      </c>
      <c r="AF23">
        <v>1</v>
      </c>
      <c r="AH23" s="260"/>
      <c r="AI23" s="271">
        <v>605454842</v>
      </c>
      <c r="AJ23">
        <f t="shared" si="42"/>
        <v>605.45484199999999</v>
      </c>
      <c r="AK23" s="100">
        <f t="shared" si="43"/>
        <v>3.1656641151557046</v>
      </c>
      <c r="AL23" s="159"/>
      <c r="AM23" s="260">
        <f t="shared" si="44"/>
        <v>0.27646339817351601</v>
      </c>
      <c r="AO23" s="260">
        <v>1.1000000000000001</v>
      </c>
      <c r="AP23" s="260">
        <v>1.4</v>
      </c>
      <c r="AQ23">
        <v>528.69193199999995</v>
      </c>
      <c r="AR23">
        <v>659.02125000000001</v>
      </c>
      <c r="AS23">
        <v>573</v>
      </c>
      <c r="AU23" s="260">
        <f t="shared" si="15"/>
        <v>3.3449680046538686</v>
      </c>
      <c r="AX23" s="260">
        <f>I23/AQ23-AU23</f>
        <v>0.28033162762171315</v>
      </c>
      <c r="AY23" s="260">
        <f t="shared" si="57"/>
        <v>0.43661464477864964</v>
      </c>
      <c r="BA23" s="260"/>
      <c r="BB23" s="260"/>
      <c r="BC23" s="260"/>
      <c r="BD23" s="260"/>
      <c r="BE23" s="260"/>
    </row>
    <row r="24" spans="1:57" x14ac:dyDescent="0.3">
      <c r="A24" t="s">
        <v>26</v>
      </c>
      <c r="B24" t="s">
        <v>821</v>
      </c>
      <c r="C24">
        <v>2016</v>
      </c>
      <c r="D24">
        <v>250000</v>
      </c>
      <c r="G24">
        <f>225000/3</f>
        <v>75000</v>
      </c>
      <c r="H24" t="s">
        <v>818</v>
      </c>
      <c r="I24">
        <f>5750/3</f>
        <v>1916.6666666666667</v>
      </c>
      <c r="J24">
        <f t="shared" si="38"/>
        <v>7.7567500000000011</v>
      </c>
      <c r="K24">
        <f t="shared" si="39"/>
        <v>775.67500000000007</v>
      </c>
      <c r="L24" s="1">
        <f t="shared" si="40"/>
        <v>7.666666666666667</v>
      </c>
      <c r="M24">
        <f t="shared" si="41"/>
        <v>32.229993231701414</v>
      </c>
      <c r="Q24" s="260"/>
      <c r="S24">
        <v>33.4833</v>
      </c>
      <c r="T24">
        <v>-114.762</v>
      </c>
      <c r="U24" s="98" t="s">
        <v>99</v>
      </c>
      <c r="V24">
        <v>1000</v>
      </c>
      <c r="W24" s="259" t="s">
        <v>801</v>
      </c>
      <c r="X24" t="s">
        <v>95</v>
      </c>
      <c r="Y24" s="259"/>
      <c r="Z24" s="260">
        <v>0</v>
      </c>
      <c r="AA24">
        <v>1.25</v>
      </c>
      <c r="AB24" t="s">
        <v>24</v>
      </c>
      <c r="AF24">
        <v>1</v>
      </c>
      <c r="AH24" s="155"/>
      <c r="AI24" s="271">
        <v>605454842</v>
      </c>
      <c r="AJ24">
        <f t="shared" si="42"/>
        <v>605.45484199999999</v>
      </c>
      <c r="AK24" s="100">
        <f t="shared" si="43"/>
        <v>3.1656641151557046</v>
      </c>
      <c r="AL24" s="159"/>
      <c r="AM24" s="260">
        <f t="shared" si="44"/>
        <v>0.27646339817351601</v>
      </c>
      <c r="AO24" s="260">
        <v>1.1000000000000001</v>
      </c>
      <c r="AP24" s="260">
        <v>1.4</v>
      </c>
      <c r="AQ24" s="260">
        <v>528.69193199999995</v>
      </c>
      <c r="AR24" s="260">
        <v>659.02125000000001</v>
      </c>
      <c r="AS24" s="260">
        <v>573</v>
      </c>
      <c r="AU24" s="260">
        <f t="shared" si="15"/>
        <v>3.3449680046538686</v>
      </c>
      <c r="AX24" s="260">
        <f>I24/AQ24-AU24</f>
        <v>0.28033162762171315</v>
      </c>
      <c r="AY24" s="260">
        <f t="shared" si="57"/>
        <v>0.43661464477864964</v>
      </c>
      <c r="BA24" s="260"/>
      <c r="BB24" s="260"/>
      <c r="BC24" s="260"/>
      <c r="BD24" s="260"/>
      <c r="BE24" s="260"/>
    </row>
    <row r="25" spans="1:57" x14ac:dyDescent="0.3">
      <c r="A25" t="s">
        <v>26</v>
      </c>
      <c r="B25" t="s">
        <v>822</v>
      </c>
      <c r="C25">
        <v>2016</v>
      </c>
      <c r="D25">
        <v>250000</v>
      </c>
      <c r="G25">
        <f>225000/3</f>
        <v>75000</v>
      </c>
      <c r="H25" t="s">
        <v>818</v>
      </c>
      <c r="I25">
        <f>5750/3</f>
        <v>1916.6666666666667</v>
      </c>
      <c r="J25">
        <f t="shared" si="38"/>
        <v>7.7567500000000011</v>
      </c>
      <c r="K25">
        <f t="shared" si="39"/>
        <v>775.67500000000007</v>
      </c>
      <c r="L25" s="1">
        <f t="shared" si="40"/>
        <v>7.666666666666667</v>
      </c>
      <c r="M25">
        <f t="shared" si="41"/>
        <v>32.229993231701414</v>
      </c>
      <c r="Q25" s="260"/>
      <c r="S25">
        <v>33.4833</v>
      </c>
      <c r="T25">
        <v>-114.762</v>
      </c>
      <c r="U25" s="98" t="s">
        <v>99</v>
      </c>
      <c r="V25">
        <v>1000</v>
      </c>
      <c r="W25" s="259" t="s">
        <v>801</v>
      </c>
      <c r="X25" t="s">
        <v>95</v>
      </c>
      <c r="Y25" s="259"/>
      <c r="Z25" s="260">
        <v>0</v>
      </c>
      <c r="AA25">
        <v>1.25</v>
      </c>
      <c r="AB25" t="s">
        <v>24</v>
      </c>
      <c r="AF25">
        <v>1</v>
      </c>
      <c r="AH25" s="260"/>
      <c r="AI25" s="271">
        <v>605454842</v>
      </c>
      <c r="AJ25">
        <f t="shared" si="42"/>
        <v>605.45484199999999</v>
      </c>
      <c r="AK25" s="100">
        <f t="shared" si="43"/>
        <v>3.1656641151557046</v>
      </c>
      <c r="AL25" s="159"/>
      <c r="AM25" s="260">
        <f t="shared" si="44"/>
        <v>0.27646339817351601</v>
      </c>
      <c r="AO25" s="260">
        <v>1.1000000000000001</v>
      </c>
      <c r="AP25" s="260">
        <v>1.4</v>
      </c>
      <c r="AQ25" s="260">
        <v>528.69193199999995</v>
      </c>
      <c r="AR25" s="260">
        <v>659.02125000000001</v>
      </c>
      <c r="AS25" s="260">
        <v>573</v>
      </c>
      <c r="AU25" s="260">
        <f>I25/AS25</f>
        <v>3.3449680046538686</v>
      </c>
      <c r="AX25" s="260">
        <f>I25/AQ25-AU25</f>
        <v>0.28033162762171315</v>
      </c>
      <c r="AY25" s="260">
        <f t="shared" si="57"/>
        <v>0.43661464477864964</v>
      </c>
      <c r="BA25" s="260"/>
      <c r="BB25" s="260"/>
      <c r="BC25" s="260"/>
      <c r="BD25" s="260"/>
      <c r="BE25" s="260"/>
    </row>
    <row r="26" spans="1:57" x14ac:dyDescent="0.3">
      <c r="A26" t="s">
        <v>26</v>
      </c>
      <c r="B26" t="s">
        <v>819</v>
      </c>
      <c r="C26">
        <v>2011</v>
      </c>
      <c r="D26">
        <v>13000</v>
      </c>
      <c r="G26">
        <v>7644</v>
      </c>
      <c r="H26" t="s">
        <v>818</v>
      </c>
      <c r="I26">
        <v>86</v>
      </c>
      <c r="J26">
        <f t="shared" si="38"/>
        <v>0.34804200000000002</v>
      </c>
      <c r="K26">
        <f t="shared" si="39"/>
        <v>34.804200000000002</v>
      </c>
      <c r="L26" s="1">
        <f t="shared" si="40"/>
        <v>6.615384615384615</v>
      </c>
      <c r="M26">
        <f t="shared" si="41"/>
        <v>37.351813861545445</v>
      </c>
      <c r="N26">
        <v>57</v>
      </c>
      <c r="O26">
        <f>N26*0.004047</f>
        <v>0.23067900000000002</v>
      </c>
      <c r="P26">
        <f>N26*0.4047</f>
        <v>23.067900000000002</v>
      </c>
      <c r="Q26" s="1">
        <f>N26/(D26/1000)</f>
        <v>4.384615384615385</v>
      </c>
      <c r="R26">
        <f>D26/1000/O26</f>
        <v>56.355368282331717</v>
      </c>
      <c r="S26">
        <v>36.174239999999998</v>
      </c>
      <c r="T26">
        <v>-120.38603999999999</v>
      </c>
      <c r="U26" s="98" t="s">
        <v>99</v>
      </c>
      <c r="V26">
        <v>1000</v>
      </c>
      <c r="W26" t="s">
        <v>801</v>
      </c>
      <c r="X26" t="s">
        <v>96</v>
      </c>
      <c r="Y26" s="259"/>
      <c r="Z26" s="260">
        <v>0</v>
      </c>
      <c r="AA26">
        <v>1.25</v>
      </c>
      <c r="AB26" t="s">
        <v>24</v>
      </c>
      <c r="AF26">
        <v>1</v>
      </c>
      <c r="AI26" s="273">
        <v>10783204</v>
      </c>
      <c r="AJ26">
        <f t="shared" si="42"/>
        <v>10.783204</v>
      </c>
      <c r="AK26" s="100">
        <f t="shared" si="43"/>
        <v>7.975366134221332</v>
      </c>
      <c r="AL26" s="159">
        <f>N26/AJ26</f>
        <v>5.2859984843094878</v>
      </c>
      <c r="AM26" s="260">
        <f t="shared" si="44"/>
        <v>9.468918159466104E-2</v>
      </c>
      <c r="AO26" s="260">
        <v>1.1000000000000001</v>
      </c>
      <c r="AP26" s="260">
        <v>1.4</v>
      </c>
      <c r="AQ26">
        <v>8.6701920000000001</v>
      </c>
      <c r="AR26">
        <v>28.237784000000001</v>
      </c>
      <c r="AS26" s="155"/>
      <c r="AT26" s="260">
        <f>AVERAGE(AQ26:AR26)</f>
        <v>18.453988000000003</v>
      </c>
      <c r="AU26" s="260"/>
      <c r="AV26" s="260">
        <f>I26/AT26</f>
        <v>4.6602392935337331</v>
      </c>
      <c r="AX26" s="260">
        <f t="shared" ref="AX26" si="58">I26/AQ26-AV26</f>
        <v>5.2588028683930155</v>
      </c>
      <c r="AY26" s="260">
        <f t="shared" ref="AY26" si="59">AV26-I26/AR26</f>
        <v>1.6146745282532851</v>
      </c>
      <c r="BA26" s="260"/>
      <c r="BB26" s="260">
        <f t="shared" ref="BB26" si="60">N26/AT26</f>
        <v>3.0887632526909625</v>
      </c>
      <c r="BC26" s="260"/>
      <c r="BD26" s="260">
        <f t="shared" ref="BD26" si="61">N26/AQ26-BB26</f>
        <v>3.4854856220744406</v>
      </c>
      <c r="BE26" s="260">
        <f t="shared" ref="BE26" si="62">BB26-N26/AR26</f>
        <v>1.0701912570981071</v>
      </c>
    </row>
    <row r="27" spans="1:57" x14ac:dyDescent="0.3">
      <c r="A27" t="s">
        <v>26</v>
      </c>
      <c r="B27" t="s">
        <v>825</v>
      </c>
      <c r="C27">
        <v>2013</v>
      </c>
      <c r="D27">
        <v>377000</v>
      </c>
      <c r="F27">
        <v>2200</v>
      </c>
      <c r="G27">
        <v>214000</v>
      </c>
      <c r="H27" t="s">
        <v>818</v>
      </c>
      <c r="I27">
        <v>3582</v>
      </c>
      <c r="J27">
        <f t="shared" si="38"/>
        <v>14.496354</v>
      </c>
      <c r="K27">
        <f t="shared" si="39"/>
        <v>1449.6354000000001</v>
      </c>
      <c r="L27" s="1">
        <f t="shared" si="40"/>
        <v>9.5013262599469499</v>
      </c>
      <c r="M27">
        <f t="shared" si="41"/>
        <v>26.006539299467992</v>
      </c>
      <c r="N27">
        <v>3297</v>
      </c>
      <c r="O27">
        <f>N27*0.004047</f>
        <v>13.342959</v>
      </c>
      <c r="P27">
        <f>N27*0.4047</f>
        <v>1334.2959000000001</v>
      </c>
      <c r="Q27" s="1">
        <f>N27/(D27/1000)</f>
        <v>8.7453580901856771</v>
      </c>
      <c r="R27">
        <f>D27/1000/O27</f>
        <v>28.254602296237287</v>
      </c>
      <c r="S27">
        <v>35.560899999999997</v>
      </c>
      <c r="T27">
        <v>-115.4764</v>
      </c>
      <c r="U27" s="98" t="s">
        <v>99</v>
      </c>
      <c r="V27">
        <v>1000</v>
      </c>
      <c r="W27" t="s">
        <v>801</v>
      </c>
      <c r="X27" t="s">
        <v>95</v>
      </c>
      <c r="Y27" s="259"/>
      <c r="Z27" s="260">
        <v>0</v>
      </c>
      <c r="AA27">
        <v>1.25</v>
      </c>
      <c r="AB27" t="s">
        <v>342</v>
      </c>
      <c r="AC27" t="s">
        <v>147</v>
      </c>
      <c r="AF27">
        <v>1</v>
      </c>
      <c r="AI27" s="273">
        <v>888108984</v>
      </c>
      <c r="AJ27">
        <f t="shared" si="42"/>
        <v>888.10898399999996</v>
      </c>
      <c r="AK27" s="100">
        <f t="shared" si="43"/>
        <v>4.0332887793419729</v>
      </c>
      <c r="AL27" s="159">
        <f>N27/AJ27</f>
        <v>3.7123822181715482</v>
      </c>
      <c r="AM27" s="260">
        <f t="shared" si="44"/>
        <v>0.26891857854002399</v>
      </c>
      <c r="AO27" s="260">
        <v>1.1000000000000001</v>
      </c>
      <c r="AP27" s="260">
        <v>1.4</v>
      </c>
      <c r="AQ27">
        <v>869.24378400000001</v>
      </c>
      <c r="AR27">
        <v>1023.95835</v>
      </c>
      <c r="AS27">
        <v>1000</v>
      </c>
      <c r="AU27" s="260">
        <f t="shared" si="15"/>
        <v>3.5819999999999999</v>
      </c>
      <c r="AX27" s="260">
        <f>I27/AQ27-AU27</f>
        <v>0.5388232557231607</v>
      </c>
      <c r="AY27" s="260">
        <f>AU27-I27/AR27</f>
        <v>8.3810840255367669E-2</v>
      </c>
      <c r="BA27" s="260">
        <f t="shared" ref="BA27" si="63">N27/AS27</f>
        <v>3.2970000000000002</v>
      </c>
      <c r="BB27" s="260"/>
      <c r="BC27" s="260"/>
      <c r="BD27" s="260">
        <f t="shared" ref="BD27" si="64">N27/AQ27-BA27</f>
        <v>0.49595205865976011</v>
      </c>
      <c r="BE27" s="260">
        <f t="shared" ref="BE27" si="65">BA27-N27/AR27</f>
        <v>7.7142473568382997E-2</v>
      </c>
    </row>
    <row r="28" spans="1:57" x14ac:dyDescent="0.3">
      <c r="A28" s="98"/>
      <c r="B28" s="98" t="s">
        <v>805</v>
      </c>
      <c r="C28" s="98">
        <v>2011</v>
      </c>
      <c r="D28" s="98">
        <v>2500</v>
      </c>
      <c r="E28" s="98"/>
      <c r="F28" s="98"/>
      <c r="G28" s="98"/>
      <c r="H28" t="s">
        <v>804</v>
      </c>
      <c r="I28" s="98"/>
      <c r="J28" s="158"/>
      <c r="K28" s="158"/>
      <c r="L28" s="158"/>
      <c r="M28" s="158"/>
      <c r="N28" s="98">
        <v>3.61</v>
      </c>
      <c r="O28" s="158">
        <f>N28*0.004047</f>
        <v>1.460967E-2</v>
      </c>
      <c r="P28" s="158">
        <f>N28*0.4047</f>
        <v>1.4609669999999999</v>
      </c>
      <c r="Q28" s="1">
        <f t="shared" ref="Q28" si="66">N28/(D28/1000)</f>
        <v>1.444</v>
      </c>
      <c r="R28" s="158">
        <f>D28/1000/O28</f>
        <v>171.11953931882104</v>
      </c>
      <c r="S28" s="98"/>
      <c r="T28" s="98"/>
      <c r="U28" s="98"/>
      <c r="V28" s="98"/>
      <c r="W28" s="98"/>
      <c r="X28" s="98"/>
      <c r="Y28" s="98"/>
      <c r="Z28" s="98">
        <v>0</v>
      </c>
      <c r="AA28" s="98"/>
      <c r="AB28" s="98" t="s">
        <v>29</v>
      </c>
      <c r="AC28" s="98"/>
      <c r="AD28" s="98"/>
      <c r="AI28" s="270"/>
      <c r="AP28" s="260"/>
      <c r="BA28" s="260"/>
      <c r="BB28" s="260"/>
      <c r="BC28" s="260"/>
      <c r="BD28" s="260"/>
      <c r="BE28" s="260"/>
    </row>
    <row r="29" spans="1:57" x14ac:dyDescent="0.3">
      <c r="A29" s="100"/>
      <c r="B29" s="100" t="s">
        <v>817</v>
      </c>
      <c r="C29" s="100"/>
      <c r="D29" s="100">
        <v>500000</v>
      </c>
      <c r="E29" s="100"/>
      <c r="F29" s="100">
        <v>2000</v>
      </c>
      <c r="G29" s="100"/>
      <c r="H29" s="100"/>
      <c r="I29" s="100">
        <v>14000</v>
      </c>
      <c r="J29" s="105">
        <f>I29*0.004047</f>
        <v>56.658000000000001</v>
      </c>
      <c r="K29" s="105">
        <f>I29*0.4047</f>
        <v>5665.8</v>
      </c>
      <c r="L29" s="1">
        <f t="shared" si="3"/>
        <v>28</v>
      </c>
      <c r="M29" s="105">
        <f>D29/1000/J29</f>
        <v>8.8248790991563411</v>
      </c>
      <c r="N29" s="100"/>
      <c r="O29" s="100"/>
      <c r="P29" s="100"/>
      <c r="Q29" s="100"/>
      <c r="R29" s="100"/>
      <c r="S29" s="100"/>
      <c r="T29" s="100"/>
      <c r="U29" s="100"/>
      <c r="V29" s="100"/>
      <c r="W29" s="100"/>
      <c r="X29" s="100"/>
      <c r="Y29" s="100"/>
      <c r="Z29" s="100"/>
      <c r="AA29" s="100"/>
      <c r="AB29" s="100" t="s">
        <v>24</v>
      </c>
      <c r="AC29" s="100"/>
      <c r="AD29" s="100"/>
      <c r="AE29" s="100"/>
      <c r="AF29" s="100"/>
      <c r="AG29" s="100"/>
      <c r="AI29" s="270"/>
      <c r="AP29" s="260"/>
    </row>
    <row r="30" spans="1:57" x14ac:dyDescent="0.3">
      <c r="A30" s="100"/>
      <c r="B30" s="100" t="s">
        <v>815</v>
      </c>
      <c r="C30" s="100"/>
      <c r="D30" s="100">
        <v>200000</v>
      </c>
      <c r="E30" s="100"/>
      <c r="F30" s="100">
        <v>1000</v>
      </c>
      <c r="G30" s="100"/>
      <c r="H30" s="100" t="s">
        <v>816</v>
      </c>
      <c r="I30" s="100"/>
      <c r="J30" s="100"/>
      <c r="K30" s="100"/>
      <c r="L30" s="100"/>
      <c r="M30" s="100"/>
      <c r="N30" s="100"/>
      <c r="O30" s="100"/>
      <c r="P30" s="100"/>
      <c r="Q30" s="100"/>
      <c r="R30" s="100"/>
      <c r="S30" s="100"/>
      <c r="T30" s="100"/>
      <c r="U30" s="100"/>
      <c r="V30" s="100"/>
      <c r="W30" s="100"/>
      <c r="X30" s="100"/>
      <c r="Y30" s="100"/>
      <c r="Z30" s="100"/>
      <c r="AA30" s="100"/>
      <c r="AB30" s="100" t="s">
        <v>24</v>
      </c>
      <c r="AC30" s="100"/>
      <c r="AD30" s="100"/>
      <c r="AE30" s="100"/>
      <c r="AF30" s="100"/>
      <c r="AG30" s="100"/>
      <c r="AI30" s="270"/>
      <c r="AP30" s="260"/>
    </row>
    <row r="31" spans="1:57" x14ac:dyDescent="0.3">
      <c r="A31" s="100" t="s">
        <v>35</v>
      </c>
      <c r="B31" s="100" t="s">
        <v>802</v>
      </c>
      <c r="C31" s="100">
        <v>2013</v>
      </c>
      <c r="D31" s="100">
        <v>5000</v>
      </c>
      <c r="E31" s="100">
        <v>25000</v>
      </c>
      <c r="F31" s="100"/>
      <c r="G31" s="100"/>
      <c r="H31" s="100" t="s">
        <v>804</v>
      </c>
      <c r="I31" s="100" t="s">
        <v>806</v>
      </c>
      <c r="J31" s="100"/>
      <c r="K31" s="100"/>
      <c r="L31" s="100"/>
      <c r="M31" s="100"/>
      <c r="N31" s="100"/>
      <c r="O31" s="100"/>
      <c r="P31" s="100"/>
      <c r="Q31" s="100"/>
      <c r="R31" s="100"/>
      <c r="S31" s="100">
        <v>32.159050000000001</v>
      </c>
      <c r="T31" s="100">
        <v>-110.90161999999999</v>
      </c>
      <c r="U31" s="100" t="s">
        <v>355</v>
      </c>
      <c r="V31" s="100"/>
      <c r="W31" s="100"/>
      <c r="X31" s="100"/>
      <c r="Y31" s="100"/>
      <c r="Z31" s="100"/>
      <c r="AA31" s="100"/>
      <c r="AB31" s="100"/>
      <c r="AC31" s="100"/>
      <c r="AD31" s="100"/>
      <c r="AE31" s="100"/>
      <c r="AF31" s="100"/>
      <c r="AG31" s="100"/>
      <c r="AI31" s="270"/>
      <c r="AP31" s="260"/>
    </row>
    <row r="32" spans="1:57" x14ac:dyDescent="0.3">
      <c r="A32" s="100" t="s">
        <v>107</v>
      </c>
      <c r="B32" s="100" t="s">
        <v>826</v>
      </c>
      <c r="C32" s="100">
        <v>2014</v>
      </c>
      <c r="D32" s="100">
        <v>200000</v>
      </c>
      <c r="E32" s="100"/>
      <c r="F32" s="100"/>
      <c r="G32" s="100"/>
      <c r="H32" s="100" t="s">
        <v>818</v>
      </c>
      <c r="I32" s="100"/>
      <c r="J32" s="100"/>
      <c r="K32" s="100"/>
      <c r="L32" s="100"/>
      <c r="M32" s="100"/>
      <c r="N32" s="100"/>
      <c r="O32" s="100"/>
      <c r="P32" s="100"/>
      <c r="Q32" s="100"/>
      <c r="R32" s="100"/>
      <c r="S32" s="100"/>
      <c r="T32" s="100"/>
      <c r="U32" s="100" t="s">
        <v>99</v>
      </c>
      <c r="V32" s="100"/>
      <c r="W32" s="100"/>
      <c r="X32" s="100"/>
      <c r="Y32" s="100"/>
      <c r="Z32" s="100"/>
      <c r="AA32" s="100"/>
      <c r="AB32" s="100" t="s">
        <v>24</v>
      </c>
      <c r="AC32" s="100"/>
      <c r="AD32" s="100"/>
      <c r="AE32" s="100"/>
      <c r="AF32" s="100"/>
      <c r="AG32" s="100"/>
      <c r="AI32" s="270"/>
      <c r="AP32" s="260"/>
    </row>
    <row r="33" spans="1:42" x14ac:dyDescent="0.3">
      <c r="A33" s="100" t="s">
        <v>107</v>
      </c>
      <c r="B33" s="100" t="s">
        <v>827</v>
      </c>
      <c r="C33" s="100">
        <v>2015</v>
      </c>
      <c r="D33" s="100">
        <v>200000</v>
      </c>
      <c r="E33" s="100"/>
      <c r="F33" s="100"/>
      <c r="G33" s="100"/>
      <c r="H33" s="100" t="s">
        <v>818</v>
      </c>
      <c r="I33" s="100"/>
      <c r="J33" s="100"/>
      <c r="K33" s="100"/>
      <c r="L33" s="100"/>
      <c r="M33" s="100"/>
      <c r="N33" s="100"/>
      <c r="O33" s="100"/>
      <c r="P33" s="100"/>
      <c r="Q33" s="100"/>
      <c r="R33" s="100"/>
      <c r="S33" s="100"/>
      <c r="T33" s="100"/>
      <c r="U33" s="100" t="s">
        <v>99</v>
      </c>
      <c r="V33" s="100"/>
      <c r="W33" s="100"/>
      <c r="X33" s="100"/>
      <c r="Y33" s="100"/>
      <c r="Z33" s="100"/>
      <c r="AA33" s="100"/>
      <c r="AB33" s="100" t="s">
        <v>24</v>
      </c>
      <c r="AC33" s="100"/>
      <c r="AD33" s="100"/>
      <c r="AE33" s="100"/>
      <c r="AF33" s="100"/>
      <c r="AG33" s="100"/>
      <c r="AI33" s="270"/>
      <c r="AP33" s="260"/>
    </row>
    <row r="34" spans="1:42" x14ac:dyDescent="0.3">
      <c r="A34" s="155" t="s">
        <v>35</v>
      </c>
      <c r="B34" s="155" t="s">
        <v>111</v>
      </c>
      <c r="C34" s="155"/>
      <c r="D34" s="155">
        <v>375000</v>
      </c>
      <c r="E34" s="155"/>
      <c r="F34" s="155"/>
      <c r="G34" s="155"/>
      <c r="H34" s="155"/>
      <c r="I34" s="155">
        <v>4000</v>
      </c>
      <c r="J34" s="156">
        <f t="shared" ref="J34:J41" si="67">I34*0.004047</f>
        <v>16.188000000000002</v>
      </c>
      <c r="K34" s="156">
        <f t="shared" ref="K34:K41" si="68">I34*0.4047</f>
        <v>1618.8</v>
      </c>
      <c r="L34" s="156">
        <f t="shared" ref="L34:L41" si="69">I34/(D34/1000)</f>
        <v>10.666666666666666</v>
      </c>
      <c r="M34" s="156">
        <f t="shared" ref="M34:M41" si="70">D34/1000/J34</f>
        <v>23.165307635285394</v>
      </c>
      <c r="N34" s="155"/>
      <c r="O34" s="156"/>
      <c r="P34" s="156"/>
      <c r="Q34" s="156"/>
      <c r="R34" s="156"/>
      <c r="S34" s="155">
        <v>33.2333</v>
      </c>
      <c r="T34" s="157">
        <v>-112.57527</v>
      </c>
      <c r="U34" s="155" t="s">
        <v>112</v>
      </c>
      <c r="V34" s="155"/>
      <c r="W34" s="155"/>
      <c r="X34" s="155" t="s">
        <v>106</v>
      </c>
      <c r="Y34" s="155"/>
      <c r="Z34" s="155">
        <v>0</v>
      </c>
      <c r="AA34" s="155"/>
      <c r="AB34" s="155" t="s">
        <v>24</v>
      </c>
      <c r="AC34" s="155" t="s">
        <v>125</v>
      </c>
      <c r="AD34" s="155"/>
      <c r="AE34" s="155"/>
      <c r="AF34" s="155">
        <v>1</v>
      </c>
      <c r="AG34" s="155"/>
      <c r="AI34" s="270"/>
      <c r="AP34" s="260"/>
    </row>
    <row r="35" spans="1:42" x14ac:dyDescent="0.3">
      <c r="A35" s="155" t="s">
        <v>26</v>
      </c>
      <c r="B35" s="155" t="s">
        <v>360</v>
      </c>
      <c r="C35" s="155">
        <v>2014</v>
      </c>
      <c r="D35" s="155">
        <v>250000</v>
      </c>
      <c r="E35" s="155"/>
      <c r="F35" s="155"/>
      <c r="G35" s="155"/>
      <c r="H35" s="155"/>
      <c r="I35" s="155">
        <v>2012</v>
      </c>
      <c r="J35" s="156">
        <f t="shared" si="67"/>
        <v>8.1425640000000001</v>
      </c>
      <c r="K35" s="156">
        <f t="shared" si="68"/>
        <v>814.25639999999999</v>
      </c>
      <c r="L35" s="156">
        <f t="shared" si="69"/>
        <v>8.048</v>
      </c>
      <c r="M35" s="156">
        <f t="shared" si="70"/>
        <v>30.702859688913712</v>
      </c>
      <c r="N35" s="155"/>
      <c r="O35" s="156"/>
      <c r="P35" s="156"/>
      <c r="Q35" s="156"/>
      <c r="R35" s="156"/>
      <c r="S35" s="155"/>
      <c r="T35" s="157"/>
      <c r="U35" s="155" t="s">
        <v>113</v>
      </c>
      <c r="V35" s="155"/>
      <c r="W35" s="155"/>
      <c r="X35" s="155"/>
      <c r="Y35" s="155"/>
      <c r="Z35" s="155">
        <v>0</v>
      </c>
      <c r="AA35" s="155"/>
      <c r="AB35" s="155" t="s">
        <v>24</v>
      </c>
      <c r="AC35" s="155" t="s">
        <v>157</v>
      </c>
      <c r="AD35" s="155"/>
      <c r="AE35" s="155"/>
      <c r="AF35" s="155">
        <v>1</v>
      </c>
      <c r="AG35" s="155"/>
      <c r="AI35" s="270"/>
      <c r="AP35" s="260"/>
    </row>
    <row r="36" spans="1:42" x14ac:dyDescent="0.3">
      <c r="A36" s="155" t="s">
        <v>26</v>
      </c>
      <c r="B36" s="155" t="s">
        <v>115</v>
      </c>
      <c r="C36" s="155">
        <v>2013</v>
      </c>
      <c r="D36" s="155">
        <v>250000</v>
      </c>
      <c r="E36" s="155"/>
      <c r="F36" s="155"/>
      <c r="G36" s="155"/>
      <c r="H36" s="155"/>
      <c r="I36" s="155">
        <v>3920</v>
      </c>
      <c r="J36" s="156">
        <f t="shared" si="67"/>
        <v>15.864240000000001</v>
      </c>
      <c r="K36" s="156">
        <f t="shared" si="68"/>
        <v>1586.424</v>
      </c>
      <c r="L36" s="156">
        <f t="shared" si="69"/>
        <v>15.68</v>
      </c>
      <c r="M36" s="156">
        <f t="shared" si="70"/>
        <v>15.758712677064896</v>
      </c>
      <c r="N36" s="155">
        <v>1760</v>
      </c>
      <c r="O36" s="156">
        <f>N36*0.004047</f>
        <v>7.1227200000000002</v>
      </c>
      <c r="P36" s="156">
        <f>N36*0.4047</f>
        <v>712.27200000000005</v>
      </c>
      <c r="Q36" s="156">
        <f>N36/(D36/1000)</f>
        <v>7.04</v>
      </c>
      <c r="R36" s="156">
        <f>D36/1000/O36</f>
        <v>35.09895096255363</v>
      </c>
      <c r="S36" s="155">
        <v>35.569099999999999</v>
      </c>
      <c r="T36" s="155">
        <v>-117.7491</v>
      </c>
      <c r="U36" s="155" t="s">
        <v>113</v>
      </c>
      <c r="V36" s="155"/>
      <c r="W36" s="155"/>
      <c r="X36" s="155" t="s">
        <v>96</v>
      </c>
      <c r="Y36" s="155"/>
      <c r="Z36" s="155">
        <v>0</v>
      </c>
      <c r="AA36" s="155"/>
      <c r="AB36" s="155" t="s">
        <v>24</v>
      </c>
      <c r="AC36" s="155" t="s">
        <v>147</v>
      </c>
      <c r="AD36" s="155"/>
      <c r="AE36" s="155"/>
      <c r="AF36" s="155">
        <v>1</v>
      </c>
      <c r="AG36" s="155"/>
      <c r="AI36" s="270"/>
      <c r="AP36" s="260"/>
    </row>
    <row r="37" spans="1:42" x14ac:dyDescent="0.3">
      <c r="A37" s="155" t="s">
        <v>26</v>
      </c>
      <c r="B37" s="155" t="s">
        <v>279</v>
      </c>
      <c r="C37" s="155">
        <v>2013</v>
      </c>
      <c r="D37" s="155">
        <v>500000</v>
      </c>
      <c r="E37" s="155"/>
      <c r="F37" s="155"/>
      <c r="G37" s="155"/>
      <c r="H37" s="155"/>
      <c r="I37" s="155">
        <v>5200</v>
      </c>
      <c r="J37" s="156">
        <f t="shared" si="67"/>
        <v>21.0444</v>
      </c>
      <c r="K37" s="156">
        <f t="shared" si="68"/>
        <v>2104.44</v>
      </c>
      <c r="L37" s="156">
        <f t="shared" si="69"/>
        <v>10.4</v>
      </c>
      <c r="M37" s="156">
        <f t="shared" si="70"/>
        <v>23.759289882343996</v>
      </c>
      <c r="N37" s="155">
        <v>2970</v>
      </c>
      <c r="O37" s="156">
        <f>N37*0.004047</f>
        <v>12.019590000000001</v>
      </c>
      <c r="P37" s="156">
        <f>N37*0.4047</f>
        <v>1201.9590000000001</v>
      </c>
      <c r="Q37" s="156">
        <f t="shared" ref="Q37:Q39" si="71">N37/(D37/1000)</f>
        <v>5.94</v>
      </c>
      <c r="R37" s="156">
        <f>D37/1000/O37</f>
        <v>41.598756696359857</v>
      </c>
      <c r="S37" s="155">
        <v>33.696849999999998</v>
      </c>
      <c r="T37" s="155">
        <v>-115.2059</v>
      </c>
      <c r="U37" s="155" t="s">
        <v>113</v>
      </c>
      <c r="V37" s="155"/>
      <c r="W37" s="155"/>
      <c r="X37" s="155" t="s">
        <v>96</v>
      </c>
      <c r="Y37" s="155"/>
      <c r="Z37" s="155">
        <v>0</v>
      </c>
      <c r="AA37" s="155"/>
      <c r="AB37" s="155" t="s">
        <v>24</v>
      </c>
      <c r="AC37" s="155" t="s">
        <v>147</v>
      </c>
      <c r="AD37" s="155"/>
      <c r="AE37" s="155"/>
      <c r="AF37" s="155">
        <v>1</v>
      </c>
      <c r="AG37" s="155"/>
      <c r="AI37" s="270"/>
      <c r="AP37" s="260"/>
    </row>
    <row r="38" spans="1:42" x14ac:dyDescent="0.3">
      <c r="A38" s="155" t="s">
        <v>26</v>
      </c>
      <c r="B38" s="155" t="s">
        <v>268</v>
      </c>
      <c r="C38" s="155">
        <v>2013</v>
      </c>
      <c r="D38" s="155">
        <v>1000000</v>
      </c>
      <c r="E38" s="155"/>
      <c r="F38" s="155"/>
      <c r="G38" s="155"/>
      <c r="H38" s="155"/>
      <c r="I38" s="155">
        <v>7043</v>
      </c>
      <c r="J38" s="156">
        <f t="shared" si="67"/>
        <v>28.503021</v>
      </c>
      <c r="K38" s="156">
        <f t="shared" si="68"/>
        <v>2850.3020999999999</v>
      </c>
      <c r="L38" s="156">
        <f t="shared" si="69"/>
        <v>7.0430000000000001</v>
      </c>
      <c r="M38" s="156">
        <f t="shared" si="70"/>
        <v>35.084000394203827</v>
      </c>
      <c r="N38" s="155">
        <v>5950</v>
      </c>
      <c r="O38" s="156">
        <f>N38*0.004047</f>
        <v>24.079650000000001</v>
      </c>
      <c r="P38" s="156">
        <f>N38*0.4047</f>
        <v>2407.9650000000001</v>
      </c>
      <c r="Q38" s="156">
        <f t="shared" si="71"/>
        <v>5.95</v>
      </c>
      <c r="R38" s="156">
        <f>D38/1000/O38</f>
        <v>41.528842819559252</v>
      </c>
      <c r="S38" s="155">
        <v>33.658920000000002</v>
      </c>
      <c r="T38" s="155">
        <f>-114.71555</f>
        <v>-114.71554999999999</v>
      </c>
      <c r="U38" s="155" t="s">
        <v>113</v>
      </c>
      <c r="V38" s="155"/>
      <c r="W38" s="155"/>
      <c r="X38" s="155" t="s">
        <v>94</v>
      </c>
      <c r="Y38" s="155"/>
      <c r="Z38" s="155">
        <v>0</v>
      </c>
      <c r="AA38" s="155"/>
      <c r="AB38" s="155" t="s">
        <v>24</v>
      </c>
      <c r="AC38" s="155" t="s">
        <v>260</v>
      </c>
      <c r="AD38" s="155"/>
      <c r="AE38" s="155"/>
      <c r="AF38" s="155">
        <v>1</v>
      </c>
      <c r="AG38" s="155"/>
      <c r="AI38" s="270"/>
      <c r="AP38" s="260"/>
    </row>
    <row r="39" spans="1:42" x14ac:dyDescent="0.3">
      <c r="A39" s="155" t="s">
        <v>107</v>
      </c>
      <c r="B39" s="155" t="s">
        <v>278</v>
      </c>
      <c r="C39" s="155">
        <v>2013</v>
      </c>
      <c r="D39" s="155">
        <v>484000</v>
      </c>
      <c r="E39" s="155"/>
      <c r="F39" s="155"/>
      <c r="G39" s="155"/>
      <c r="H39" s="155"/>
      <c r="I39" s="155">
        <v>6320</v>
      </c>
      <c r="J39" s="156">
        <f t="shared" si="67"/>
        <v>25.57704</v>
      </c>
      <c r="K39" s="156">
        <f t="shared" si="68"/>
        <v>2557.7040000000002</v>
      </c>
      <c r="L39" s="156">
        <f t="shared" si="69"/>
        <v>13.057851239669422</v>
      </c>
      <c r="M39" s="156">
        <f t="shared" si="70"/>
        <v>18.923221764520054</v>
      </c>
      <c r="N39" s="155">
        <v>4350</v>
      </c>
      <c r="O39" s="156">
        <f>N39*0.004047</f>
        <v>17.60445</v>
      </c>
      <c r="P39" s="156">
        <f>N39*0.4047</f>
        <v>1760.4449999999999</v>
      </c>
      <c r="Q39" s="156">
        <f t="shared" si="71"/>
        <v>8.9876033057851235</v>
      </c>
      <c r="R39" s="156">
        <f>D39/1000/O39</f>
        <v>27.493048632590057</v>
      </c>
      <c r="S39" s="155">
        <v>36.609699999999997</v>
      </c>
      <c r="T39" s="157">
        <v>-116.4911</v>
      </c>
      <c r="U39" s="155" t="s">
        <v>113</v>
      </c>
      <c r="V39" s="155"/>
      <c r="W39" s="155"/>
      <c r="X39" s="155" t="s">
        <v>96</v>
      </c>
      <c r="Y39" s="155"/>
      <c r="Z39" s="155">
        <v>4.5</v>
      </c>
      <c r="AA39" s="155"/>
      <c r="AB39" s="155" t="s">
        <v>24</v>
      </c>
      <c r="AC39" s="155" t="s">
        <v>125</v>
      </c>
      <c r="AD39" s="155"/>
      <c r="AE39" s="155"/>
      <c r="AF39" s="155">
        <v>1</v>
      </c>
      <c r="AG39" s="155"/>
      <c r="AI39" s="270"/>
      <c r="AP39" s="260"/>
    </row>
    <row r="40" spans="1:42" x14ac:dyDescent="0.3">
      <c r="A40" s="155" t="s">
        <v>26</v>
      </c>
      <c r="B40" s="155" t="s">
        <v>271</v>
      </c>
      <c r="C40" s="155">
        <v>2014</v>
      </c>
      <c r="D40" s="155">
        <v>750000</v>
      </c>
      <c r="E40" s="155"/>
      <c r="F40" s="155"/>
      <c r="G40" s="155">
        <v>30000</v>
      </c>
      <c r="H40" s="155" t="s">
        <v>807</v>
      </c>
      <c r="I40" s="155">
        <v>6500</v>
      </c>
      <c r="J40" s="155">
        <f t="shared" si="67"/>
        <v>26.305500000000002</v>
      </c>
      <c r="K40" s="155">
        <f t="shared" si="68"/>
        <v>2630.55</v>
      </c>
      <c r="L40" s="156">
        <f t="shared" si="69"/>
        <v>8.6666666666666661</v>
      </c>
      <c r="M40" s="155">
        <f t="shared" si="70"/>
        <v>28.511147858812794</v>
      </c>
      <c r="N40" s="155"/>
      <c r="O40" s="155"/>
      <c r="P40" s="155"/>
      <c r="Q40" s="155"/>
      <c r="R40" s="155"/>
      <c r="S40" s="155">
        <v>32.772550000000003</v>
      </c>
      <c r="T40" s="155">
        <v>-115.86933000000001</v>
      </c>
      <c r="U40" s="155" t="s">
        <v>114</v>
      </c>
      <c r="V40" s="155"/>
      <c r="W40" s="155"/>
      <c r="X40" s="155" t="s">
        <v>95</v>
      </c>
      <c r="Y40" s="155"/>
      <c r="Z40" s="155">
        <v>0</v>
      </c>
      <c r="AA40" s="155"/>
      <c r="AB40" s="155" t="s">
        <v>342</v>
      </c>
      <c r="AC40" s="155" t="s">
        <v>125</v>
      </c>
      <c r="AD40" s="155"/>
      <c r="AE40" s="155"/>
      <c r="AF40" s="155">
        <v>1</v>
      </c>
      <c r="AG40" s="155"/>
      <c r="AI40" s="270"/>
      <c r="AP40" s="260"/>
    </row>
    <row r="41" spans="1:42" x14ac:dyDescent="0.3">
      <c r="A41" s="155" t="s">
        <v>26</v>
      </c>
      <c r="B41" s="155" t="s">
        <v>116</v>
      </c>
      <c r="C41" s="155">
        <v>2011</v>
      </c>
      <c r="D41" s="155">
        <v>850000</v>
      </c>
      <c r="E41" s="155"/>
      <c r="F41" s="155"/>
      <c r="G41" s="155">
        <v>34000</v>
      </c>
      <c r="H41" s="155"/>
      <c r="I41" s="155">
        <v>8230</v>
      </c>
      <c r="J41" s="155">
        <f t="shared" si="67"/>
        <v>33.306809999999999</v>
      </c>
      <c r="K41" s="155">
        <f t="shared" si="68"/>
        <v>3330.681</v>
      </c>
      <c r="L41" s="156">
        <f t="shared" si="69"/>
        <v>9.6823529411764699</v>
      </c>
      <c r="M41" s="155">
        <f t="shared" si="70"/>
        <v>25.520306507888328</v>
      </c>
      <c r="N41" s="155"/>
      <c r="O41" s="155"/>
      <c r="P41" s="155"/>
      <c r="Q41" s="155"/>
      <c r="R41" s="155"/>
      <c r="S41" s="155">
        <v>34.810299999999998</v>
      </c>
      <c r="T41" s="155">
        <f>-116.3964</f>
        <v>-116.3964</v>
      </c>
      <c r="U41" s="155" t="s">
        <v>114</v>
      </c>
      <c r="V41" s="155"/>
      <c r="W41" s="155"/>
      <c r="X41" s="155" t="s">
        <v>95</v>
      </c>
      <c r="Y41" s="155"/>
      <c r="Z41" s="155">
        <v>0</v>
      </c>
      <c r="AA41" s="155"/>
      <c r="AB41" s="155" t="s">
        <v>24</v>
      </c>
      <c r="AC41" s="155" t="s">
        <v>269</v>
      </c>
      <c r="AD41" s="155"/>
      <c r="AE41" s="155"/>
      <c r="AF41" s="155">
        <v>1</v>
      </c>
      <c r="AG41" s="155"/>
      <c r="AI41" s="270"/>
    </row>
    <row r="42" spans="1:42" x14ac:dyDescent="0.3">
      <c r="D42">
        <f>MAX(D3:D27)</f>
        <v>377000</v>
      </c>
      <c r="AF42" s="155"/>
      <c r="AJ42" s="260" t="s">
        <v>331</v>
      </c>
      <c r="AK42" s="260" t="s">
        <v>920</v>
      </c>
    </row>
    <row r="43" spans="1:42" x14ac:dyDescent="0.3">
      <c r="AJ43" s="260" t="s">
        <v>968</v>
      </c>
      <c r="AK43" s="260" t="s">
        <v>968</v>
      </c>
    </row>
    <row r="44" spans="1:42" ht="15" thickBot="1" x14ac:dyDescent="0.35">
      <c r="G44" s="11" t="s">
        <v>257</v>
      </c>
      <c r="H44" s="11"/>
      <c r="I44" s="11"/>
      <c r="J44" s="11"/>
      <c r="K44" s="11"/>
      <c r="L44" s="11"/>
      <c r="M44" s="11"/>
      <c r="N44" s="11"/>
      <c r="O44" s="11"/>
      <c r="P44" s="11"/>
      <c r="Q44" s="11"/>
      <c r="R44" s="11"/>
      <c r="S44" t="s">
        <v>914</v>
      </c>
      <c r="T44" t="s">
        <v>13</v>
      </c>
      <c r="AH44" s="11" t="s">
        <v>257</v>
      </c>
      <c r="AI44" s="11"/>
      <c r="AJ44" s="11"/>
    </row>
    <row r="45" spans="1:42" x14ac:dyDescent="0.3">
      <c r="D45" s="26">
        <f>MAX(D3:D27)</f>
        <v>377000</v>
      </c>
      <c r="G45" s="11"/>
      <c r="H45" t="s">
        <v>134</v>
      </c>
      <c r="I45" s="26">
        <f>MAX(I3:I27)</f>
        <v>4640</v>
      </c>
      <c r="J45" s="26">
        <f t="shared" ref="J45:R45" si="72">MAX(J3:J27)</f>
        <v>18.778080000000003</v>
      </c>
      <c r="K45" s="26">
        <f t="shared" si="72"/>
        <v>1877.808</v>
      </c>
      <c r="L45" s="26">
        <f t="shared" si="72"/>
        <v>18.559999999999999</v>
      </c>
      <c r="M45" s="26">
        <f t="shared" si="72"/>
        <v>52.949274594938039</v>
      </c>
      <c r="N45" s="26">
        <f t="shared" si="72"/>
        <v>3297</v>
      </c>
      <c r="O45" s="26">
        <f t="shared" si="72"/>
        <v>13.342959</v>
      </c>
      <c r="P45" s="26">
        <f t="shared" si="72"/>
        <v>1334.2959000000001</v>
      </c>
      <c r="Q45" s="26">
        <f t="shared" si="72"/>
        <v>13.881818181818181</v>
      </c>
      <c r="R45" s="26">
        <f t="shared" si="72"/>
        <v>124.37749065925044</v>
      </c>
      <c r="S45" s="26" t="str">
        <f>SUMIF($N$3:$N$27,"&gt;0",$D$3:$D$27)/1000 &amp; " MW"</f>
        <v>2504 MW</v>
      </c>
      <c r="T45" s="26" t="str">
        <f>SUM($D$3:$D$27)/1000 &amp; " MW"</f>
        <v>3754 MW</v>
      </c>
      <c r="U45" s="186"/>
      <c r="V45" s="118" t="s">
        <v>13</v>
      </c>
      <c r="W45" s="185"/>
      <c r="X45" s="118"/>
      <c r="Y45" s="118" t="s">
        <v>9</v>
      </c>
      <c r="Z45" s="185"/>
      <c r="AA45" s="119"/>
      <c r="AC45">
        <f>SUM(N3:N27)/SUMIF(N3:N27,"&gt;0",I3:I131)</f>
        <v>0.74708362532118655</v>
      </c>
      <c r="AH45" s="11"/>
      <c r="AI45" t="s">
        <v>134</v>
      </c>
      <c r="AJ45" s="26">
        <f>MAX(AK3:AK27)</f>
        <v>10.124808514558968</v>
      </c>
      <c r="AK45" s="26">
        <f>MAX(AL3:AL27)</f>
        <v>5.2859984843094878</v>
      </c>
      <c r="AM45" s="59">
        <f>L45-L46</f>
        <v>5.0236363636363635</v>
      </c>
      <c r="AN45" s="59">
        <f>Q45-Q46</f>
        <v>5.5227996141789237</v>
      </c>
    </row>
    <row r="46" spans="1:42" s="260" customFormat="1" x14ac:dyDescent="0.3">
      <c r="D46" s="26"/>
      <c r="G46" s="11"/>
      <c r="I46" s="26"/>
      <c r="J46" s="26"/>
      <c r="K46" s="26"/>
      <c r="L46" s="26">
        <f>PERCENTILE(L3:L27,0.75)</f>
        <v>13.536363636363635</v>
      </c>
      <c r="M46" s="26"/>
      <c r="N46" s="26"/>
      <c r="O46" s="26"/>
      <c r="P46" s="26"/>
      <c r="Q46" s="26">
        <f>PERCENTILE(Q3:Q27,0.75)</f>
        <v>8.3590185676392572</v>
      </c>
      <c r="R46" s="26"/>
      <c r="S46" s="26"/>
      <c r="T46" s="26"/>
      <c r="U46" s="188"/>
      <c r="V46" s="121"/>
      <c r="W46" s="30"/>
      <c r="X46" s="121"/>
      <c r="Y46" s="121"/>
      <c r="Z46" s="30"/>
      <c r="AA46" s="276"/>
      <c r="AH46" s="11"/>
      <c r="AJ46" s="26"/>
      <c r="AK46" s="26"/>
      <c r="AM46" s="59">
        <f t="shared" ref="AM46" si="73">L46-L47</f>
        <v>3.6242790442854087</v>
      </c>
      <c r="AN46" s="59">
        <f t="shared" ref="AN46:AN47" si="74">Q46-Q47</f>
        <v>1.6281718436294366</v>
      </c>
    </row>
    <row r="47" spans="1:42" s="260" customFormat="1" x14ac:dyDescent="0.3">
      <c r="D47" s="26"/>
      <c r="G47" s="11"/>
      <c r="I47" s="26"/>
      <c r="J47" s="26"/>
      <c r="K47" s="26"/>
      <c r="L47" s="26">
        <f>AVERAGE(L3:L27)</f>
        <v>9.9120845920782266</v>
      </c>
      <c r="M47" s="26">
        <f>L47-L50</f>
        <v>-6.021162528991475E-2</v>
      </c>
      <c r="N47" s="26"/>
      <c r="O47" s="26"/>
      <c r="P47" s="26"/>
      <c r="Q47" s="26">
        <f>AVERAGE(Q3:Q27)</f>
        <v>6.7308467240098206</v>
      </c>
      <c r="R47" s="26">
        <f>Q47-Q50</f>
        <v>-0.93272755714033906</v>
      </c>
      <c r="S47" s="26"/>
      <c r="T47" s="26"/>
      <c r="U47" s="188"/>
      <c r="V47" s="121"/>
      <c r="W47" s="30"/>
      <c r="X47" s="121"/>
      <c r="Y47" s="121"/>
      <c r="Z47" s="30"/>
      <c r="AA47" s="276"/>
      <c r="AH47" s="11"/>
      <c r="AJ47" s="26"/>
      <c r="AK47" s="26"/>
      <c r="AM47" s="59">
        <f>L47-L48</f>
        <v>3.3115582762887534</v>
      </c>
      <c r="AN47" s="59">
        <f t="shared" si="74"/>
        <v>2.3085605397992941</v>
      </c>
    </row>
    <row r="48" spans="1:42" s="260" customFormat="1" x14ac:dyDescent="0.3">
      <c r="D48" s="26"/>
      <c r="G48" s="11"/>
      <c r="I48" s="26"/>
      <c r="J48" s="26"/>
      <c r="K48" s="26"/>
      <c r="L48" s="26">
        <f>PERCENTILE(L3:L27,0.25)</f>
        <v>6.6005263157894731</v>
      </c>
      <c r="M48" s="26"/>
      <c r="N48" s="26"/>
      <c r="O48" s="26"/>
      <c r="P48" s="26"/>
      <c r="Q48" s="26">
        <f>PERCENTILE(Q3:Q27,0.25)</f>
        <v>4.4222861842105265</v>
      </c>
      <c r="R48" s="26"/>
      <c r="S48" s="26"/>
      <c r="T48" s="26"/>
      <c r="U48" s="188"/>
      <c r="V48" s="121"/>
      <c r="W48" s="30"/>
      <c r="X48" s="121"/>
      <c r="Y48" s="121"/>
      <c r="Z48" s="30"/>
      <c r="AA48" s="276"/>
      <c r="AH48" s="11"/>
      <c r="AJ48" s="26"/>
      <c r="AK48" s="26"/>
      <c r="AM48" s="59">
        <f>L48</f>
        <v>6.6005263157894731</v>
      </c>
      <c r="AN48" s="59">
        <f>Q48</f>
        <v>4.4222861842105265</v>
      </c>
    </row>
    <row r="49" spans="3:40" ht="15" thickBot="1" x14ac:dyDescent="0.35">
      <c r="D49" s="26">
        <f>MIN(D3:D27)</f>
        <v>1500</v>
      </c>
      <c r="G49" s="11"/>
      <c r="H49" t="s">
        <v>135</v>
      </c>
      <c r="I49" s="26">
        <f>MIN(I3:I27)</f>
        <v>15</v>
      </c>
      <c r="J49" s="26">
        <f t="shared" ref="J49:R49" si="75">MIN(J3:J27)</f>
        <v>6.0705000000000002E-2</v>
      </c>
      <c r="K49" s="26">
        <f t="shared" si="75"/>
        <v>6.0705</v>
      </c>
      <c r="L49" s="26">
        <f t="shared" si="75"/>
        <v>4.666666666666667</v>
      </c>
      <c r="M49" s="26">
        <f t="shared" si="75"/>
        <v>13.313395192692754</v>
      </c>
      <c r="N49" s="26">
        <f t="shared" si="75"/>
        <v>4.2300000000000004</v>
      </c>
      <c r="O49" s="26">
        <f t="shared" si="75"/>
        <v>1.7118810000000002E-2</v>
      </c>
      <c r="P49" s="26">
        <f t="shared" si="75"/>
        <v>1.7118810000000002</v>
      </c>
      <c r="Q49" s="26">
        <f t="shared" si="75"/>
        <v>1.9866666666666668</v>
      </c>
      <c r="R49" s="26">
        <f t="shared" si="75"/>
        <v>17.800018091291115</v>
      </c>
      <c r="S49" s="26" t="str">
        <f>COUNTIF($N$3:$N$27,"&gt;1") &amp; " projects"</f>
        <v>18 projects</v>
      </c>
      <c r="T49" s="26" t="str">
        <f xml:space="preserve"> COUNT($D$3:$D$27) &amp; " Installations"</f>
        <v>24 Installations</v>
      </c>
      <c r="U49" s="187" t="str">
        <f>G44</f>
        <v>All CSP</v>
      </c>
      <c r="V49" s="182" t="s">
        <v>239</v>
      </c>
      <c r="W49" s="181" t="s">
        <v>239</v>
      </c>
      <c r="X49" s="182" t="s">
        <v>762</v>
      </c>
      <c r="Y49" s="182" t="s">
        <v>239</v>
      </c>
      <c r="Z49" s="181"/>
      <c r="AA49" s="183" t="s">
        <v>762</v>
      </c>
      <c r="AH49" s="11"/>
      <c r="AI49" t="s">
        <v>135</v>
      </c>
      <c r="AJ49" s="26">
        <f>MIN(AK3:AK27)</f>
        <v>2.2873719657568508</v>
      </c>
      <c r="AK49" s="26">
        <f>MIN(AL3:AL27)</f>
        <v>1.5067214738086929</v>
      </c>
      <c r="AM49" s="59">
        <f>L48-L49</f>
        <v>1.9338596491228062</v>
      </c>
      <c r="AN49" s="59">
        <f>Q48-Q49</f>
        <v>2.4356195175438597</v>
      </c>
    </row>
    <row r="50" spans="3:40" x14ac:dyDescent="0.3">
      <c r="G50" s="11"/>
      <c r="H50" t="s">
        <v>137</v>
      </c>
      <c r="I50">
        <f>wtavg($D$3:$D$27,I$3:I$27)</f>
        <v>2296.1145444858817</v>
      </c>
      <c r="J50">
        <f t="shared" ref="J50:R50" si="76">wtavg($D$3:$D$27,J$3:J$27)</f>
        <v>9.2923755615343619</v>
      </c>
      <c r="K50">
        <f t="shared" si="76"/>
        <v>929.23755615343634</v>
      </c>
      <c r="L50">
        <f t="shared" si="76"/>
        <v>9.9722962173681413</v>
      </c>
      <c r="M50">
        <f t="shared" si="76"/>
        <v>28.812089235554996</v>
      </c>
      <c r="N50">
        <f t="shared" si="76"/>
        <v>1889.6569069488819</v>
      </c>
      <c r="O50">
        <f t="shared" si="76"/>
        <v>7.6474415024221241</v>
      </c>
      <c r="P50">
        <f t="shared" si="76"/>
        <v>764.74415024221241</v>
      </c>
      <c r="Q50" s="59">
        <f t="shared" si="76"/>
        <v>7.6635742811501597</v>
      </c>
      <c r="R50">
        <f t="shared" si="76"/>
        <v>35.497638966889717</v>
      </c>
      <c r="U50" s="188" t="str">
        <f>H45</f>
        <v>Max</v>
      </c>
      <c r="V50" s="9">
        <f>L45</f>
        <v>18.559999999999999</v>
      </c>
      <c r="W50" s="30">
        <f>V50*2.47105381</f>
        <v>45.862758713599995</v>
      </c>
      <c r="X50" s="9">
        <f>M45</f>
        <v>52.949274594938039</v>
      </c>
      <c r="Y50" s="9">
        <f>Q45</f>
        <v>13.881818181818181</v>
      </c>
      <c r="Z50" s="30"/>
      <c r="AA50" s="161">
        <f>R45</f>
        <v>124.37749065925044</v>
      </c>
      <c r="AH50" s="11"/>
      <c r="AI50" t="s">
        <v>137</v>
      </c>
      <c r="AJ50">
        <f>wtavg($D$3:$D$27,AK$3:AK$27)</f>
        <v>3.4831681779804229</v>
      </c>
      <c r="AK50">
        <f>wtavg($D$3:$D$27,AL$3:AL$27)</f>
        <v>2.698711674173893</v>
      </c>
    </row>
    <row r="51" spans="3:40" x14ac:dyDescent="0.3">
      <c r="G51" s="11"/>
      <c r="H51" t="s">
        <v>136</v>
      </c>
      <c r="I51" s="26">
        <f>wtstd($D$3:$D$27,I$3:I$27)</f>
        <v>423.7916389845667</v>
      </c>
      <c r="J51" s="26">
        <f t="shared" ref="J51:R51" si="77">wtstd($D$3:$D$27,J$3:J$27)</f>
        <v>1.7150847629705415</v>
      </c>
      <c r="K51" s="26">
        <f t="shared" si="77"/>
        <v>171.50847629705413</v>
      </c>
      <c r="L51" s="26">
        <f t="shared" si="77"/>
        <v>1.773408009271269</v>
      </c>
      <c r="M51" s="26">
        <f t="shared" si="77"/>
        <v>4.1136940173131782</v>
      </c>
      <c r="N51" s="26">
        <f t="shared" si="77"/>
        <v>403.15968895802621</v>
      </c>
      <c r="O51" s="26">
        <f t="shared" si="77"/>
        <v>1.6315872612131319</v>
      </c>
      <c r="P51" s="26">
        <f t="shared" si="77"/>
        <v>163.15872612131321</v>
      </c>
      <c r="Q51" s="26">
        <f t="shared" si="77"/>
        <v>1.2545516726841357</v>
      </c>
      <c r="R51" s="26">
        <f t="shared" si="77"/>
        <v>5.284842384406728</v>
      </c>
      <c r="U51" s="218" t="str">
        <f>H49</f>
        <v>Min</v>
      </c>
      <c r="V51" s="215">
        <f>L49</f>
        <v>4.666666666666667</v>
      </c>
      <c r="W51" s="216">
        <f>V51*2.47105381</f>
        <v>11.531584446666667</v>
      </c>
      <c r="X51" s="215">
        <f>M49</f>
        <v>13.313395192692754</v>
      </c>
      <c r="Y51" s="215">
        <f>Q49</f>
        <v>1.9866666666666668</v>
      </c>
      <c r="Z51" s="216"/>
      <c r="AA51" s="217">
        <f>R49</f>
        <v>17.800018091291115</v>
      </c>
      <c r="AH51" s="11"/>
      <c r="AI51" t="s">
        <v>136</v>
      </c>
      <c r="AJ51" s="25">
        <f>wtstd($D$3:$D$27,AK$3:AK$27)</f>
        <v>0.60940569071404482</v>
      </c>
      <c r="AK51" s="274">
        <f>wtstd($D$3:$D$27,AL$3:AL$27)</f>
        <v>0.33680598221207858</v>
      </c>
    </row>
    <row r="52" spans="3:40" x14ac:dyDescent="0.3">
      <c r="U52" s="189" t="str">
        <f>H50</f>
        <v>W. Average</v>
      </c>
      <c r="V52" s="170">
        <f>L50</f>
        <v>9.9722962173681413</v>
      </c>
      <c r="W52" s="184">
        <f>V52*2.47105381</f>
        <v>24.642080562376133</v>
      </c>
      <c r="X52" s="170">
        <f>M50</f>
        <v>28.812089235554996</v>
      </c>
      <c r="Y52" s="289">
        <f>Q50</f>
        <v>7.6635742811501597</v>
      </c>
      <c r="Z52" s="184"/>
      <c r="AA52" s="172">
        <f>R50</f>
        <v>35.497638966889717</v>
      </c>
    </row>
    <row r="53" spans="3:40" ht="15" thickBot="1" x14ac:dyDescent="0.35">
      <c r="D53" s="260">
        <f>SUMIF($AB$3:$AB$27,"=Decommissioned",$D$3:$D$27)/1000</f>
        <v>10</v>
      </c>
      <c r="G53" s="11" t="s">
        <v>112</v>
      </c>
      <c r="H53" s="11"/>
      <c r="I53" s="11"/>
      <c r="J53" s="11"/>
      <c r="K53" s="11"/>
      <c r="L53" s="11"/>
      <c r="M53" s="11"/>
      <c r="N53" s="11"/>
      <c r="O53" s="11"/>
      <c r="P53" s="11"/>
      <c r="Q53" s="11"/>
      <c r="R53" s="11"/>
      <c r="U53" s="188" t="str">
        <f>H51</f>
        <v>SD</v>
      </c>
      <c r="V53" s="9">
        <f>L51</f>
        <v>1.773408009271269</v>
      </c>
      <c r="W53" s="30">
        <f>V53*2.47105381</f>
        <v>4.3821866179942841</v>
      </c>
      <c r="X53" s="9">
        <f>M51</f>
        <v>4.1136940173131782</v>
      </c>
      <c r="Y53" s="113">
        <f>Q51</f>
        <v>1.2545516726841357</v>
      </c>
      <c r="Z53" s="30"/>
      <c r="AA53" s="161">
        <f>R51</f>
        <v>5.284842384406728</v>
      </c>
      <c r="AH53" s="11" t="s">
        <v>112</v>
      </c>
      <c r="AI53" s="11"/>
      <c r="AJ53" s="11"/>
      <c r="AK53" s="11"/>
    </row>
    <row r="54" spans="3:40" ht="15" thickBot="1" x14ac:dyDescent="0.35">
      <c r="D54" s="260" t="s">
        <v>956</v>
      </c>
      <c r="G54" s="11"/>
      <c r="H54" t="s">
        <v>134</v>
      </c>
      <c r="I54" s="26">
        <f>MAX(I3:I11)</f>
        <v>4640</v>
      </c>
      <c r="J54" s="26">
        <f t="shared" ref="J54:R54" si="78">MAX(J3:J11)</f>
        <v>18.778080000000003</v>
      </c>
      <c r="K54" s="26">
        <f t="shared" si="78"/>
        <v>1877.808</v>
      </c>
      <c r="L54" s="26">
        <f t="shared" si="78"/>
        <v>18.559999999999999</v>
      </c>
      <c r="M54" s="26">
        <f t="shared" si="78"/>
        <v>46.622002787995761</v>
      </c>
      <c r="N54" s="26">
        <f t="shared" si="78"/>
        <v>2057</v>
      </c>
      <c r="O54" s="26">
        <f t="shared" si="78"/>
        <v>8.3246789999999997</v>
      </c>
      <c r="P54" s="26">
        <f t="shared" si="78"/>
        <v>832.46789999999999</v>
      </c>
      <c r="Q54" s="26">
        <f t="shared" si="78"/>
        <v>7.2</v>
      </c>
      <c r="R54" s="26">
        <f t="shared" si="78"/>
        <v>56.338028169014073</v>
      </c>
      <c r="S54" s="26" t="str">
        <f>SUMIF($N$3:$N$11,"&gt;0",$D$3:$D$11)/1000 &amp; " MW"</f>
        <v>1130 MW</v>
      </c>
      <c r="T54" s="26" t="str">
        <f>SUM($D$3:$D$11)/1000 &amp; " MW"</f>
        <v>1380 MW</v>
      </c>
      <c r="U54" s="190" t="str">
        <f>G53</f>
        <v>Parabolic Trough</v>
      </c>
      <c r="V54" s="176"/>
      <c r="W54" s="165"/>
      <c r="X54" s="176"/>
      <c r="Y54" s="176"/>
      <c r="Z54" s="165"/>
      <c r="AA54" s="177"/>
      <c r="AH54" s="11"/>
      <c r="AI54" t="s">
        <v>134</v>
      </c>
      <c r="AJ54" s="26">
        <f>MAX(AK3:AK11)</f>
        <v>8.2924399431698372</v>
      </c>
      <c r="AK54" s="26">
        <f>MAX(AL3:AL11)</f>
        <v>4.4976580863006808</v>
      </c>
    </row>
    <row r="55" spans="3:40" x14ac:dyDescent="0.3">
      <c r="D55" s="11" t="s">
        <v>217</v>
      </c>
      <c r="G55" s="11"/>
      <c r="H55" t="s">
        <v>135</v>
      </c>
      <c r="I55" s="26">
        <f>MIN(I3:I11)</f>
        <v>265</v>
      </c>
      <c r="J55" s="26">
        <f t="shared" ref="J55:R55" si="79">MIN(J3:J11)</f>
        <v>1.0724550000000002</v>
      </c>
      <c r="K55" s="26">
        <f t="shared" si="79"/>
        <v>107.24550000000001</v>
      </c>
      <c r="L55" s="26">
        <f t="shared" si="79"/>
        <v>5.3</v>
      </c>
      <c r="M55" s="26">
        <f t="shared" si="79"/>
        <v>13.313395192692754</v>
      </c>
      <c r="N55" s="26">
        <f t="shared" si="79"/>
        <v>230</v>
      </c>
      <c r="O55" s="26">
        <f t="shared" si="79"/>
        <v>0.93081000000000003</v>
      </c>
      <c r="P55" s="26">
        <f t="shared" si="79"/>
        <v>93.081000000000003</v>
      </c>
      <c r="Q55" s="26">
        <f t="shared" si="79"/>
        <v>4.3859649122807021</v>
      </c>
      <c r="R55" s="26">
        <f t="shared" si="79"/>
        <v>34.318974274496881</v>
      </c>
      <c r="S55" s="26" t="str">
        <f>COUNTIF($N$3:$N$11,"&gt;1") &amp; " projects"</f>
        <v>7 projects</v>
      </c>
      <c r="T55" s="26" t="str">
        <f xml:space="preserve"> COUNT($D$3:$D$11) &amp; " Installations"</f>
        <v>8 Installations</v>
      </c>
      <c r="U55" s="188" t="str">
        <f>H54</f>
        <v>Max</v>
      </c>
      <c r="V55" s="9">
        <f>L54</f>
        <v>18.559999999999999</v>
      </c>
      <c r="W55" s="30">
        <f>V55*2.47105381</f>
        <v>45.862758713599995</v>
      </c>
      <c r="X55" s="9">
        <f>M54</f>
        <v>46.622002787995761</v>
      </c>
      <c r="Y55" s="9">
        <f>Q54</f>
        <v>7.2</v>
      </c>
      <c r="Z55" s="30"/>
      <c r="AA55" s="161">
        <f>R54</f>
        <v>56.338028169014073</v>
      </c>
      <c r="AH55" s="11"/>
      <c r="AI55" t="s">
        <v>135</v>
      </c>
      <c r="AJ55" s="26">
        <f>MIN(AK3:AK11)</f>
        <v>2.2873719657568508</v>
      </c>
      <c r="AK55" s="26">
        <f>MIN(AL3:AL11)</f>
        <v>1.8632485739368623</v>
      </c>
    </row>
    <row r="56" spans="3:40" x14ac:dyDescent="0.3">
      <c r="C56" s="11">
        <f>COUNTIF($AB$3:$AB$27,"=proposed")</f>
        <v>9</v>
      </c>
      <c r="D56" s="11">
        <f>SUMIF($AB$3:$AB$27,"=proposed",$D$3:$D$27)/1000</f>
        <v>1570</v>
      </c>
      <c r="G56" s="11"/>
      <c r="H56" t="s">
        <v>137</v>
      </c>
      <c r="I56">
        <f>wtavg($D$3:$D$11,I$3:I$11)</f>
        <v>2389.2949275362321</v>
      </c>
      <c r="J56">
        <f t="shared" ref="J56:R56" si="80">wtavg($D$3:$D$11,J$3:J$11)</f>
        <v>9.6694765717391302</v>
      </c>
      <c r="K56">
        <f t="shared" si="80"/>
        <v>966.94765717391306</v>
      </c>
      <c r="L56">
        <f t="shared" si="80"/>
        <v>9.5007246376811594</v>
      </c>
      <c r="M56">
        <f t="shared" si="80"/>
        <v>31.25909451547486</v>
      </c>
      <c r="N56">
        <f t="shared" si="80"/>
        <v>1587.295575221239</v>
      </c>
      <c r="O56">
        <f t="shared" si="80"/>
        <v>6.423785192920354</v>
      </c>
      <c r="P56">
        <f t="shared" si="80"/>
        <v>642.37851929203532</v>
      </c>
      <c r="Q56">
        <f t="shared" si="80"/>
        <v>6.1590265486725659</v>
      </c>
      <c r="R56">
        <f t="shared" si="80"/>
        <v>41.166988925032598</v>
      </c>
      <c r="U56" s="188" t="str">
        <f>H55</f>
        <v>Min</v>
      </c>
      <c r="V56" s="9">
        <f>L55</f>
        <v>5.3</v>
      </c>
      <c r="W56" s="30">
        <f>V56*2.47105381</f>
        <v>13.096585192999999</v>
      </c>
      <c r="X56" s="9">
        <f>M55</f>
        <v>13.313395192692754</v>
      </c>
      <c r="Y56" s="9">
        <f>Q55</f>
        <v>4.3859649122807021</v>
      </c>
      <c r="Z56" s="30"/>
      <c r="AA56" s="161">
        <f>R55</f>
        <v>34.318974274496881</v>
      </c>
      <c r="AH56" s="11"/>
      <c r="AI56" t="s">
        <v>137</v>
      </c>
      <c r="AJ56">
        <f>wtavg($D$3:$D$11,AK$3:AK$11)</f>
        <v>3.9199950566284816</v>
      </c>
      <c r="AK56">
        <f>wtavg($D$3:$D$11,AL$3:AL$11)</f>
        <v>2.5447437692848918</v>
      </c>
    </row>
    <row r="57" spans="3:40" x14ac:dyDescent="0.3">
      <c r="D57" s="11" t="s">
        <v>218</v>
      </c>
      <c r="G57" s="11"/>
      <c r="H57" t="s">
        <v>136</v>
      </c>
      <c r="I57" s="26">
        <f>wtstd($D$3:$D$11,I$3:I$11)</f>
        <v>1022.4375074859469</v>
      </c>
      <c r="J57" s="26">
        <f t="shared" ref="J57:R57" si="81">wtstd($D$3:$D$11,J$3:J$11)</f>
        <v>4.1378045927956277</v>
      </c>
      <c r="K57" s="26">
        <f t="shared" si="81"/>
        <v>413.78045927956271</v>
      </c>
      <c r="L57" s="26">
        <f t="shared" si="81"/>
        <v>3.5348550299079839</v>
      </c>
      <c r="M57" s="26">
        <f t="shared" si="81"/>
        <v>8.449122203854488</v>
      </c>
      <c r="N57" s="26">
        <f t="shared" si="81"/>
        <v>559.34066879028092</v>
      </c>
      <c r="O57" s="26">
        <f t="shared" si="81"/>
        <v>2.2636516865942666</v>
      </c>
      <c r="P57" s="26">
        <f t="shared" si="81"/>
        <v>226.36516865942667</v>
      </c>
      <c r="Q57" s="26">
        <f t="shared" si="81"/>
        <v>0.76426552227311595</v>
      </c>
      <c r="R57" s="26">
        <f t="shared" si="81"/>
        <v>5.6896983304412627</v>
      </c>
      <c r="U57" s="189" t="str">
        <f>H56</f>
        <v>W. Average</v>
      </c>
      <c r="V57" s="170">
        <f>L56</f>
        <v>9.5007246376811594</v>
      </c>
      <c r="W57" s="184">
        <f>V57*2.47105381</f>
        <v>23.476801813702899</v>
      </c>
      <c r="X57" s="170">
        <f>M56</f>
        <v>31.25909451547486</v>
      </c>
      <c r="Y57" s="170">
        <f>Q56</f>
        <v>6.1590265486725659</v>
      </c>
      <c r="Z57" s="184"/>
      <c r="AA57" s="172">
        <f>R56</f>
        <v>41.166988925032598</v>
      </c>
      <c r="AH57" s="11"/>
      <c r="AI57" t="s">
        <v>136</v>
      </c>
      <c r="AJ57" s="26">
        <f>wtstd($D$3:$D$11,AK$3:AK$11)</f>
        <v>1.6391923551583383</v>
      </c>
      <c r="AK57" s="26">
        <f>wtstd($D$3:$D$11,AL$3:AL$11)</f>
        <v>0.58318072598638249</v>
      </c>
    </row>
    <row r="58" spans="3:40" ht="15" thickBot="1" x14ac:dyDescent="0.35">
      <c r="C58" s="11">
        <f>COUNTIF($AB$3:$AB$27,"=construction")</f>
        <v>7</v>
      </c>
      <c r="D58" s="11">
        <f>SUMIF($AB$3:$AB$27,"=construction",$D$3:$D$27)/1000</f>
        <v>1617</v>
      </c>
      <c r="U58" s="188" t="str">
        <f>H57</f>
        <v>SD</v>
      </c>
      <c r="V58" s="9">
        <f>L57</f>
        <v>3.5348550299079839</v>
      </c>
      <c r="W58" s="30">
        <f>V58*2.47105381</f>
        <v>8.7348169894517866</v>
      </c>
      <c r="X58" s="9">
        <f>M57</f>
        <v>8.449122203854488</v>
      </c>
      <c r="Y58" s="9">
        <f>Q57</f>
        <v>0.76426552227311595</v>
      </c>
      <c r="Z58" s="30"/>
      <c r="AA58" s="161">
        <f>R57</f>
        <v>5.6896983304412627</v>
      </c>
    </row>
    <row r="59" spans="3:40" ht="15" thickBot="1" x14ac:dyDescent="0.35">
      <c r="D59" s="260" t="s">
        <v>595</v>
      </c>
      <c r="G59" s="11" t="s">
        <v>114</v>
      </c>
      <c r="H59" s="11"/>
      <c r="I59" s="11"/>
      <c r="J59" s="11"/>
      <c r="K59" s="11"/>
      <c r="L59" s="11"/>
      <c r="M59" s="11"/>
      <c r="N59" s="11"/>
      <c r="O59" s="11"/>
      <c r="P59" s="11"/>
      <c r="Q59" s="11"/>
      <c r="R59" s="11"/>
      <c r="U59" s="190" t="str">
        <f>G65</f>
        <v>Tower</v>
      </c>
      <c r="V59" s="176"/>
      <c r="W59" s="165"/>
      <c r="X59" s="176"/>
      <c r="Y59" s="176"/>
      <c r="Z59" s="165"/>
      <c r="AA59" s="177"/>
      <c r="AH59" s="11" t="s">
        <v>114</v>
      </c>
      <c r="AI59" s="11"/>
      <c r="AJ59" s="11"/>
      <c r="AK59" s="11"/>
    </row>
    <row r="60" spans="3:40" x14ac:dyDescent="0.3">
      <c r="C60" s="11">
        <f>COUNTIF($AB$3:$AB$27,"=completed")</f>
        <v>6</v>
      </c>
      <c r="D60" s="11">
        <f>SUMIF($AB$3:$AB$27,"=completed",$D$3:$D$27)/1000</f>
        <v>507</v>
      </c>
      <c r="G60" s="11"/>
      <c r="H60" t="s">
        <v>134</v>
      </c>
      <c r="I60" s="26">
        <f>MAX(I13)</f>
        <v>15</v>
      </c>
      <c r="J60" s="26">
        <f t="shared" ref="J60:R60" si="82">MAX(J13)</f>
        <v>6.0705000000000002E-2</v>
      </c>
      <c r="K60" s="26">
        <f t="shared" si="82"/>
        <v>6.0705</v>
      </c>
      <c r="L60" s="26">
        <f t="shared" si="82"/>
        <v>10</v>
      </c>
      <c r="M60" s="26">
        <f t="shared" si="82"/>
        <v>24.709661477637756</v>
      </c>
      <c r="N60" s="26">
        <f t="shared" si="82"/>
        <v>4.2300000000000004</v>
      </c>
      <c r="O60" s="26">
        <f t="shared" si="82"/>
        <v>1.7118810000000002E-2</v>
      </c>
      <c r="P60" s="26">
        <f t="shared" si="82"/>
        <v>1.7118810000000002</v>
      </c>
      <c r="Q60" s="26">
        <f t="shared" si="82"/>
        <v>2.8200000000000003</v>
      </c>
      <c r="R60" s="26">
        <f t="shared" si="82"/>
        <v>87.622913041268632</v>
      </c>
      <c r="U60" s="188" t="str">
        <f>H66</f>
        <v>Max</v>
      </c>
      <c r="V60" s="9">
        <f>L66</f>
        <v>17.066666666666666</v>
      </c>
      <c r="W60" s="30">
        <f>V60*2.47105381</f>
        <v>42.172651690666662</v>
      </c>
      <c r="X60" s="9">
        <f>M66</f>
        <v>37.667166886642917</v>
      </c>
      <c r="Y60" s="9">
        <f>Q66</f>
        <v>13.881818181818181</v>
      </c>
      <c r="Z60" s="30"/>
      <c r="AA60" s="161">
        <f>R66</f>
        <v>56.777714792366162</v>
      </c>
      <c r="AH60" s="11"/>
      <c r="AI60" t="s">
        <v>134</v>
      </c>
      <c r="AJ60" s="26">
        <f>MAX(AK13)</f>
        <v>5.3429839496762153</v>
      </c>
      <c r="AK60" s="26">
        <f>MAX(AL13)</f>
        <v>1.5067214738086929</v>
      </c>
    </row>
    <row r="61" spans="3:40" ht="15" thickBot="1" x14ac:dyDescent="0.35">
      <c r="D61" s="260" t="s">
        <v>957</v>
      </c>
      <c r="G61" s="11"/>
      <c r="H61" t="s">
        <v>135</v>
      </c>
      <c r="I61" s="26">
        <f>MIN(I13)</f>
        <v>15</v>
      </c>
      <c r="J61" s="26">
        <f t="shared" ref="J61:R61" si="83">MIN(J13)</f>
        <v>6.0705000000000002E-2</v>
      </c>
      <c r="K61" s="26">
        <f t="shared" si="83"/>
        <v>6.0705</v>
      </c>
      <c r="L61" s="26">
        <f t="shared" si="83"/>
        <v>10</v>
      </c>
      <c r="M61" s="26">
        <f t="shared" si="83"/>
        <v>24.709661477637756</v>
      </c>
      <c r="N61" s="26">
        <f t="shared" si="83"/>
        <v>4.2300000000000004</v>
      </c>
      <c r="O61" s="26">
        <f t="shared" si="83"/>
        <v>1.7118810000000002E-2</v>
      </c>
      <c r="P61" s="26">
        <f t="shared" si="83"/>
        <v>1.7118810000000002</v>
      </c>
      <c r="Q61" s="26">
        <f t="shared" si="83"/>
        <v>2.8200000000000003</v>
      </c>
      <c r="R61" s="26">
        <f t="shared" si="83"/>
        <v>87.622913041268632</v>
      </c>
      <c r="U61" s="188" t="str">
        <f>H67</f>
        <v>Min</v>
      </c>
      <c r="V61" s="9">
        <f>L67</f>
        <v>6.56</v>
      </c>
      <c r="W61" s="30">
        <f>V61*2.47105381</f>
        <v>16.210112993599999</v>
      </c>
      <c r="X61" s="9">
        <f>M67</f>
        <v>14.478317272053371</v>
      </c>
      <c r="Y61" s="9">
        <f>Q67</f>
        <v>4.3520000000000003</v>
      </c>
      <c r="Z61" s="30"/>
      <c r="AA61" s="161">
        <f>R67</f>
        <v>17.800018091291115</v>
      </c>
      <c r="AH61" s="11"/>
      <c r="AI61" t="s">
        <v>135</v>
      </c>
      <c r="AJ61" s="26">
        <f>MIN(AK13)</f>
        <v>5.3429839496762153</v>
      </c>
      <c r="AK61" s="26">
        <f>MIN(AL13)</f>
        <v>1.5067214738086929</v>
      </c>
    </row>
    <row r="62" spans="3:40" ht="15" thickBot="1" x14ac:dyDescent="0.35">
      <c r="C62" s="278">
        <f>C60+C58</f>
        <v>13</v>
      </c>
      <c r="D62" s="278">
        <f>D60+D58</f>
        <v>2124</v>
      </c>
      <c r="G62" s="11"/>
      <c r="H62" t="s">
        <v>137</v>
      </c>
      <c r="I62" s="26">
        <f>SUMPRODUCT(I13,$D13)/SUM($D13)</f>
        <v>15</v>
      </c>
      <c r="J62" s="26">
        <f t="shared" ref="J62:Q62" si="84">SUMPRODUCT(J13,$D13)/SUM($D13)</f>
        <v>6.0705000000000002E-2</v>
      </c>
      <c r="K62" s="26">
        <f t="shared" si="84"/>
        <v>6.0705</v>
      </c>
      <c r="L62" s="26">
        <f t="shared" si="84"/>
        <v>10</v>
      </c>
      <c r="M62" s="26">
        <f t="shared" si="84"/>
        <v>24.709661477637752</v>
      </c>
      <c r="N62" s="26">
        <f t="shared" si="84"/>
        <v>4.2300000000000004</v>
      </c>
      <c r="O62" s="26">
        <f t="shared" si="84"/>
        <v>1.7118810000000002E-2</v>
      </c>
      <c r="P62" s="26">
        <f t="shared" si="84"/>
        <v>1.7118810000000002</v>
      </c>
      <c r="Q62" s="26">
        <f t="shared" si="84"/>
        <v>2.82</v>
      </c>
      <c r="R62" s="26">
        <f>SUMPRODUCT(R13,$D13)/SUM($D13)</f>
        <v>87.622913041268632</v>
      </c>
      <c r="U62" s="189" t="str">
        <f>H68</f>
        <v>W. Average</v>
      </c>
      <c r="V62" s="170">
        <f>L68</f>
        <v>10.264270613107822</v>
      </c>
      <c r="W62" s="184">
        <f>V62*2.47105381</f>
        <v>25.36356500539112</v>
      </c>
      <c r="X62" s="170">
        <f>M68</f>
        <v>27.310295351898372</v>
      </c>
      <c r="Y62" s="170">
        <f>Q68</f>
        <v>8.945611721611721</v>
      </c>
      <c r="Z62" s="184"/>
      <c r="AA62" s="172">
        <f>R68</f>
        <v>30.258699588497244</v>
      </c>
      <c r="AH62" s="11"/>
      <c r="AI62" t="s">
        <v>137</v>
      </c>
      <c r="AJ62" s="26">
        <f>SUMPRODUCT(AK13,$D13)/SUM($D13)</f>
        <v>5.3429839496762153</v>
      </c>
      <c r="AK62" s="26">
        <f>SUMPRODUCT(AL13,$D13)/SUM($D13)</f>
        <v>1.5067214738086929</v>
      </c>
    </row>
    <row r="63" spans="3:40" ht="15" thickBot="1" x14ac:dyDescent="0.35">
      <c r="G63" s="11"/>
      <c r="H63" t="s">
        <v>136</v>
      </c>
      <c r="I63" s="26"/>
      <c r="J63" s="26"/>
      <c r="K63" s="26"/>
      <c r="L63" s="26"/>
      <c r="M63" s="26"/>
      <c r="N63" s="26"/>
      <c r="O63" s="26"/>
      <c r="P63" s="26"/>
      <c r="Q63" s="26"/>
      <c r="R63" s="26"/>
      <c r="U63" s="188" t="str">
        <f>H69</f>
        <v>SD</v>
      </c>
      <c r="V63" s="9">
        <f>L69</f>
        <v>2.1937491156623388</v>
      </c>
      <c r="W63" s="30">
        <f>V63*2.47105381</f>
        <v>5.4208721104415529</v>
      </c>
      <c r="X63" s="9">
        <f>M69</f>
        <v>4.7700340648642419</v>
      </c>
      <c r="Y63" s="9">
        <f>Q69</f>
        <v>1.9779937478941763</v>
      </c>
      <c r="Z63" s="30"/>
      <c r="AA63" s="161">
        <f>R69</f>
        <v>6.2090427686626128</v>
      </c>
      <c r="AH63" s="11"/>
      <c r="AI63" t="s">
        <v>136</v>
      </c>
      <c r="AJ63" s="26"/>
      <c r="AK63" s="26"/>
    </row>
    <row r="64" spans="3:40" ht="15" thickBot="1" x14ac:dyDescent="0.35">
      <c r="U64" s="190" t="str">
        <f>G59</f>
        <v>Stirling Engine</v>
      </c>
      <c r="V64" s="176"/>
      <c r="W64" s="165"/>
      <c r="X64" s="176"/>
      <c r="Y64" s="176"/>
      <c r="Z64" s="165"/>
      <c r="AA64" s="177"/>
    </row>
    <row r="65" spans="2:67" ht="15" thickBot="1" x14ac:dyDescent="0.35">
      <c r="G65" s="11" t="s">
        <v>99</v>
      </c>
      <c r="H65" s="11"/>
      <c r="I65" s="11"/>
      <c r="J65" s="11"/>
      <c r="K65" s="11"/>
      <c r="L65" s="11"/>
      <c r="M65" s="11"/>
      <c r="N65" s="11"/>
      <c r="O65" s="11"/>
      <c r="P65" s="11"/>
      <c r="Q65" s="11"/>
      <c r="R65" s="11"/>
      <c r="U65" s="235"/>
      <c r="V65" s="293">
        <f>L62</f>
        <v>10</v>
      </c>
      <c r="W65" s="236">
        <f>V65*2.47105381</f>
        <v>24.710538100000001</v>
      </c>
      <c r="X65" s="214">
        <f>M62</f>
        <v>24.709661477637752</v>
      </c>
      <c r="Y65" s="214">
        <f>Q62</f>
        <v>2.82</v>
      </c>
      <c r="Z65" s="236"/>
      <c r="AA65" s="237">
        <f>R62</f>
        <v>87.622913041268632</v>
      </c>
      <c r="AH65" s="11" t="s">
        <v>99</v>
      </c>
      <c r="AI65" s="11"/>
      <c r="AJ65" s="11"/>
      <c r="AK65" s="11"/>
    </row>
    <row r="66" spans="2:67" ht="15" thickBot="1" x14ac:dyDescent="0.35">
      <c r="G66" s="11"/>
      <c r="H66" t="s">
        <v>134</v>
      </c>
      <c r="I66" s="26">
        <f>MAX(I14:I27)</f>
        <v>3582</v>
      </c>
      <c r="J66" s="26">
        <f t="shared" ref="J66:R66" si="85">MAX(J14:J27)</f>
        <v>14.496354</v>
      </c>
      <c r="K66" s="26">
        <f t="shared" si="85"/>
        <v>1449.6354000000001</v>
      </c>
      <c r="L66" s="26">
        <f t="shared" si="85"/>
        <v>17.066666666666666</v>
      </c>
      <c r="M66" s="26">
        <f t="shared" si="85"/>
        <v>37.667166886642917</v>
      </c>
      <c r="N66" s="26">
        <f t="shared" si="85"/>
        <v>3297</v>
      </c>
      <c r="O66" s="26">
        <f t="shared" si="85"/>
        <v>13.342959</v>
      </c>
      <c r="P66" s="26">
        <f t="shared" si="85"/>
        <v>1334.2959000000001</v>
      </c>
      <c r="Q66" s="26">
        <f t="shared" si="85"/>
        <v>13.881818181818181</v>
      </c>
      <c r="R66" s="26">
        <f t="shared" si="85"/>
        <v>56.777714792366162</v>
      </c>
      <c r="S66" s="26" t="str">
        <f>SUMIF($N$14:$N$27,"&gt;0",$D$14:$D$27)/1000 &amp; " MW"</f>
        <v>1365 MW</v>
      </c>
      <c r="T66" s="26" t="str">
        <f>SUM($D$14:$D$27)/1000 &amp; " MW"</f>
        <v>2365 MW</v>
      </c>
      <c r="U66" s="190" t="s">
        <v>355</v>
      </c>
      <c r="V66" s="294"/>
      <c r="W66" s="165"/>
      <c r="X66" s="176"/>
      <c r="Y66" s="176"/>
      <c r="Z66" s="165"/>
      <c r="AA66" s="177"/>
      <c r="AH66" s="11"/>
      <c r="AI66" t="s">
        <v>134</v>
      </c>
      <c r="AJ66" s="26">
        <f>MAX(AK14:AK27)</f>
        <v>10.124808514558968</v>
      </c>
      <c r="AK66" s="26">
        <f>MAX(AL14:AL27)</f>
        <v>5.2859984843094878</v>
      </c>
    </row>
    <row r="67" spans="2:67" ht="15" thickBot="1" x14ac:dyDescent="0.35">
      <c r="G67" s="11"/>
      <c r="H67" t="s">
        <v>135</v>
      </c>
      <c r="I67" s="26">
        <f>MIN(I14:I27)</f>
        <v>50</v>
      </c>
      <c r="J67" s="26">
        <f t="shared" ref="J67:R67" si="86">MIN(J14:J27)</f>
        <v>0.20235</v>
      </c>
      <c r="K67" s="26">
        <f t="shared" si="86"/>
        <v>20.234999999999999</v>
      </c>
      <c r="L67" s="26">
        <f t="shared" si="86"/>
        <v>6.56</v>
      </c>
      <c r="M67" s="26">
        <f t="shared" si="86"/>
        <v>14.478317272053371</v>
      </c>
      <c r="N67" s="26">
        <f t="shared" si="86"/>
        <v>21.76</v>
      </c>
      <c r="O67" s="26">
        <f t="shared" si="86"/>
        <v>8.8062720000000011E-2</v>
      </c>
      <c r="P67" s="26">
        <f t="shared" si="86"/>
        <v>8.8062719999999999</v>
      </c>
      <c r="Q67" s="26">
        <f t="shared" si="86"/>
        <v>4.3520000000000003</v>
      </c>
      <c r="R67" s="26">
        <f t="shared" si="86"/>
        <v>17.800018091291115</v>
      </c>
      <c r="S67" s="26" t="str">
        <f>COUNTIF($N$14:$N$27,"&gt;1") &amp; " projects"</f>
        <v>9 projects</v>
      </c>
      <c r="T67" s="26" t="str">
        <f xml:space="preserve"> COUNT($D$14:$D$27) &amp; " Installations"</f>
        <v>14 Installations</v>
      </c>
      <c r="U67" s="238"/>
      <c r="V67" s="295">
        <f>L12</f>
        <v>4.666666666666667</v>
      </c>
      <c r="W67" s="240">
        <f>V67*2.47105381</f>
        <v>11.531584446666667</v>
      </c>
      <c r="X67" s="239">
        <f>M12</f>
        <v>52.949274594938039</v>
      </c>
      <c r="Y67" s="239">
        <f>Q12</f>
        <v>1.9866666666666668</v>
      </c>
      <c r="Z67" s="240"/>
      <c r="AA67" s="241">
        <f>R12</f>
        <v>124.37749065925044</v>
      </c>
      <c r="AH67" s="11"/>
      <c r="AI67" t="s">
        <v>135</v>
      </c>
      <c r="AJ67" s="26">
        <f>MIN(AK14:AK27)</f>
        <v>2.5414502035519901</v>
      </c>
      <c r="AK67" s="26">
        <f>MIN(AL14:AL27)</f>
        <v>2.1069001477425622</v>
      </c>
    </row>
    <row r="68" spans="2:67" x14ac:dyDescent="0.3">
      <c r="G68" s="11"/>
      <c r="H68" t="s">
        <v>137</v>
      </c>
      <c r="I68">
        <f>wtavg($D$14:$D$27,I$14:I$27)</f>
        <v>2250.3602536997887</v>
      </c>
      <c r="J68">
        <f t="shared" ref="J68:R68" si="87">wtavg($D$14:$D$27,J$14:J$27)</f>
        <v>9.1072079467230438</v>
      </c>
      <c r="K68">
        <f t="shared" si="87"/>
        <v>910.72079467230446</v>
      </c>
      <c r="L68">
        <f t="shared" si="87"/>
        <v>10.264270613107822</v>
      </c>
      <c r="M68">
        <f t="shared" si="87"/>
        <v>27.310295351898372</v>
      </c>
      <c r="N68">
        <f t="shared" si="87"/>
        <v>2152.3361172161171</v>
      </c>
      <c r="O68">
        <f t="shared" si="87"/>
        <v>8.7105042663736274</v>
      </c>
      <c r="P68">
        <f t="shared" si="87"/>
        <v>871.05042663736276</v>
      </c>
      <c r="Q68">
        <f t="shared" si="87"/>
        <v>8.945611721611721</v>
      </c>
      <c r="R68">
        <f t="shared" si="87"/>
        <v>30.258699588497244</v>
      </c>
      <c r="U68" s="121"/>
      <c r="V68" s="9"/>
      <c r="W68" s="30"/>
      <c r="X68" s="9"/>
      <c r="Y68" s="9"/>
      <c r="Z68" s="30"/>
      <c r="AA68" s="9"/>
      <c r="AH68" s="11"/>
      <c r="AI68" t="s">
        <v>137</v>
      </c>
      <c r="AJ68">
        <f>wtavg($D$14:$D$27,AK$14:AK$27)</f>
        <v>3.2254110953943318</v>
      </c>
      <c r="AK68">
        <f>wtavg($D$14:$D$27,AL$14:AL$27)</f>
        <v>2.8329200697994148</v>
      </c>
    </row>
    <row r="69" spans="2:67" x14ac:dyDescent="0.3">
      <c r="G69" s="11"/>
      <c r="H69" t="s">
        <v>136</v>
      </c>
      <c r="I69" s="26">
        <f>wtstd($D$14:$D$27,I$14:I$27)</f>
        <v>409.52552380275057</v>
      </c>
      <c r="J69" s="26">
        <f t="shared" ref="J69:R69" si="88">wtstd($D$14:$D$27,J$14:J$27)</f>
        <v>1.6573497948297315</v>
      </c>
      <c r="K69" s="26">
        <f t="shared" si="88"/>
        <v>165.73497948297316</v>
      </c>
      <c r="L69" s="26">
        <f t="shared" si="88"/>
        <v>2.1937491156623388</v>
      </c>
      <c r="M69" s="26">
        <f t="shared" si="88"/>
        <v>4.7700340648642419</v>
      </c>
      <c r="N69" s="26">
        <f t="shared" si="88"/>
        <v>596.15376580423606</v>
      </c>
      <c r="O69" s="26">
        <f t="shared" si="88"/>
        <v>2.4126342902097435</v>
      </c>
      <c r="P69" s="26">
        <f t="shared" si="88"/>
        <v>241.26342902097434</v>
      </c>
      <c r="Q69" s="26">
        <f t="shared" si="88"/>
        <v>1.9779937478941763</v>
      </c>
      <c r="R69" s="26">
        <f t="shared" si="88"/>
        <v>6.2090427686626128</v>
      </c>
      <c r="U69" s="121"/>
      <c r="V69" s="9"/>
      <c r="W69" s="30"/>
      <c r="X69" s="9"/>
      <c r="Y69" s="9"/>
      <c r="Z69" s="30"/>
      <c r="AA69" s="9"/>
      <c r="AH69" s="11"/>
      <c r="AI69" t="s">
        <v>136</v>
      </c>
      <c r="AJ69" s="26">
        <f>wtstd($D$14:$D$27,AK$14:AK$27)</f>
        <v>0.37822878570762913</v>
      </c>
      <c r="AK69" s="26">
        <f>wtstd($D$14:$D$27,AL$14:AL$27)</f>
        <v>0.4568923885322137</v>
      </c>
    </row>
    <row r="70" spans="2:67" ht="15" thickBot="1" x14ac:dyDescent="0.35">
      <c r="U70" s="121"/>
      <c r="V70" s="9"/>
      <c r="W70" s="30"/>
      <c r="X70" s="9"/>
      <c r="Y70" s="9"/>
      <c r="Z70" s="30"/>
      <c r="AA70" s="9"/>
    </row>
    <row r="71" spans="2:67" ht="15" thickBot="1" x14ac:dyDescent="0.35">
      <c r="U71" s="429" t="s">
        <v>921</v>
      </c>
      <c r="V71" s="431" t="s">
        <v>13</v>
      </c>
      <c r="W71" s="432"/>
      <c r="X71" s="432"/>
      <c r="Y71" s="433"/>
      <c r="Z71" s="431" t="s">
        <v>249</v>
      </c>
      <c r="AA71" s="432"/>
      <c r="AB71" s="432"/>
      <c r="AC71" s="433"/>
      <c r="BO71">
        <v>0</v>
      </c>
    </row>
    <row r="72" spans="2:67" ht="15" thickBot="1" x14ac:dyDescent="0.35">
      <c r="U72" s="430"/>
      <c r="V72" s="283" t="s">
        <v>922</v>
      </c>
      <c r="W72" s="283" t="s">
        <v>923</v>
      </c>
      <c r="X72" s="283" t="s">
        <v>967</v>
      </c>
      <c r="Y72" s="284" t="s">
        <v>968</v>
      </c>
      <c r="Z72" s="283" t="s">
        <v>922</v>
      </c>
      <c r="AA72" s="283" t="s">
        <v>923</v>
      </c>
      <c r="AB72" s="283" t="s">
        <v>967</v>
      </c>
      <c r="AC72" s="284" t="s">
        <v>968</v>
      </c>
    </row>
    <row r="73" spans="2:67" ht="15" thickBot="1" x14ac:dyDescent="0.35">
      <c r="B73" t="s">
        <v>112</v>
      </c>
      <c r="U73" s="285" t="s">
        <v>927</v>
      </c>
      <c r="V73" s="286">
        <f>COUNT(D3:D27)</f>
        <v>24</v>
      </c>
      <c r="W73" s="286">
        <f>D53+D56+D58+D60</f>
        <v>3704</v>
      </c>
      <c r="X73" s="292" t="str">
        <f>ROUND(V52,1)  &amp; " ± " &amp;  ROUND(V53,1)</f>
        <v>10 ± 1.8</v>
      </c>
      <c r="Y73" s="287" t="str">
        <f>ROUND(AJ50,1) &amp;" ± " &amp; ROUND(AJ51,1)</f>
        <v>3.5 ± 0.6</v>
      </c>
      <c r="Z73" s="287">
        <v>18</v>
      </c>
      <c r="AA73" s="286">
        <f>SUMIF($Q$3:$Q$27,"&gt;0",$D$3:$D$27)/1000</f>
        <v>2504</v>
      </c>
      <c r="AB73" s="292" t="str">
        <f>ROUND(Y52,1)  &amp; " ± " &amp;  ROUND(Y53,1)</f>
        <v>7.7 ± 1.3</v>
      </c>
      <c r="AC73" s="287" t="str">
        <f>ROUND(AK50,1) &amp;" ± " &amp; ROUND(AK51,1)</f>
        <v>2.7 ± 0.3</v>
      </c>
    </row>
    <row r="74" spans="2:67" ht="15" thickBot="1" x14ac:dyDescent="0.35">
      <c r="B74" t="s">
        <v>99</v>
      </c>
      <c r="U74" s="285" t="s">
        <v>294</v>
      </c>
      <c r="V74" s="286">
        <v>9</v>
      </c>
      <c r="W74" s="286">
        <f>SUM(D3:D11)/1000</f>
        <v>1380</v>
      </c>
      <c r="X74" s="286" t="str">
        <f>ROUND(V57,1) &amp; " ± " &amp; ROUND(V58,1)</f>
        <v>9.5 ± 3.5</v>
      </c>
      <c r="Y74" s="287" t="str">
        <f>ROUND(AJ56,1) &amp;" ± " &amp; ROUND(AJ57,1)</f>
        <v>3.9 ± 1.6</v>
      </c>
      <c r="Z74" s="287">
        <v>7</v>
      </c>
      <c r="AA74" s="286">
        <f>SUMIF($Q$3:$Q$11,"&gt;0",$D$3:$D$11)/1000</f>
        <v>1130</v>
      </c>
      <c r="AB74" s="286" t="str">
        <f>ROUND(Y57,1) &amp; " ± " &amp; ROUND(Y58,1)</f>
        <v>6.2 ± 0.8</v>
      </c>
      <c r="AC74" s="287" t="str">
        <f>ROUND(AK56,1) &amp;" ± " &amp; ROUND(AK57,1)</f>
        <v>2.5 ± 0.6</v>
      </c>
      <c r="AE74" s="260"/>
    </row>
    <row r="75" spans="2:67" ht="15" thickBot="1" x14ac:dyDescent="0.35">
      <c r="B75" t="s">
        <v>928</v>
      </c>
      <c r="U75" s="285" t="s">
        <v>99</v>
      </c>
      <c r="V75" s="286">
        <v>14</v>
      </c>
      <c r="W75" s="286">
        <f>SUM(D14:D27)/1000</f>
        <v>2365</v>
      </c>
      <c r="X75" s="286" t="str">
        <f>ROUND(V62,1) &amp; " ± " &amp; ROUND( V63,1)</f>
        <v>10.3 ± 2.2</v>
      </c>
      <c r="Y75" s="287" t="str">
        <f>ROUND(AJ68,1) &amp;" ± " &amp; ROUND(AJ69,1)</f>
        <v>3.2 ± 0.4</v>
      </c>
      <c r="Z75" s="287">
        <v>9</v>
      </c>
      <c r="AA75" s="286">
        <f>SUMIF($Q$14:$Q$27,"&gt;0",$D$14:$D$27)/1000</f>
        <v>1365</v>
      </c>
      <c r="AB75" s="286" t="str">
        <f>ROUND(Y62,1) &amp; " ± " &amp; ROUND( Y63,1)</f>
        <v>8.9 ± 2</v>
      </c>
      <c r="AC75" s="287" t="str">
        <f>ROUND(AK68,1) &amp;" ± " &amp; ROUND(AK69,1)</f>
        <v>2.8 ± 0.5</v>
      </c>
      <c r="AE75" s="260"/>
    </row>
    <row r="76" spans="2:67" ht="15" thickBot="1" x14ac:dyDescent="0.35">
      <c r="B76" t="s">
        <v>355</v>
      </c>
      <c r="U76" s="285" t="s">
        <v>355</v>
      </c>
      <c r="V76" s="286">
        <v>1</v>
      </c>
      <c r="W76" s="286">
        <v>7.5</v>
      </c>
      <c r="X76" s="290">
        <f>V67</f>
        <v>4.666666666666667</v>
      </c>
      <c r="Y76" s="296">
        <f>AK12</f>
        <v>4.0144593945461162</v>
      </c>
      <c r="Z76" s="287">
        <v>1</v>
      </c>
      <c r="AA76" s="286">
        <v>7.5</v>
      </c>
      <c r="AB76" s="290">
        <f>Y67</f>
        <v>1.9866666666666668</v>
      </c>
      <c r="AC76" s="296">
        <f>AL12</f>
        <v>1.7090127136782036</v>
      </c>
      <c r="AE76" s="260"/>
    </row>
    <row r="77" spans="2:67" ht="15" thickBot="1" x14ac:dyDescent="0.35">
      <c r="U77" s="285" t="s">
        <v>140</v>
      </c>
      <c r="V77" s="286">
        <v>1</v>
      </c>
      <c r="W77" s="286">
        <v>1.5</v>
      </c>
      <c r="X77" s="291">
        <f>V65</f>
        <v>10</v>
      </c>
      <c r="Y77" s="296">
        <f>AK13</f>
        <v>5.3429839496762153</v>
      </c>
      <c r="Z77" s="286">
        <v>1</v>
      </c>
      <c r="AA77" s="286">
        <v>1.5</v>
      </c>
      <c r="AB77" s="291">
        <f>Y65</f>
        <v>2.82</v>
      </c>
      <c r="AC77" s="296">
        <f>AL13</f>
        <v>1.5067214738086929</v>
      </c>
      <c r="AE77" s="260"/>
    </row>
    <row r="78" spans="2:67" x14ac:dyDescent="0.3">
      <c r="U78" s="288"/>
    </row>
    <row r="122" spans="11:14" x14ac:dyDescent="0.3">
      <c r="N122" t="s">
        <v>935</v>
      </c>
    </row>
    <row r="123" spans="11:14" x14ac:dyDescent="0.3">
      <c r="N123" t="s">
        <v>934</v>
      </c>
    </row>
    <row r="125" spans="11:14" x14ac:dyDescent="0.3">
      <c r="N125" t="s">
        <v>936</v>
      </c>
    </row>
    <row r="128" spans="11:14" x14ac:dyDescent="0.3">
      <c r="K128">
        <v>1</v>
      </c>
    </row>
    <row r="173" spans="1:57" x14ac:dyDescent="0.3">
      <c r="A173" t="s">
        <v>1104</v>
      </c>
    </row>
    <row r="174" spans="1:57" s="260" customFormat="1" x14ac:dyDescent="0.3">
      <c r="A174" s="260" t="s">
        <v>35</v>
      </c>
      <c r="B174" s="260" t="s">
        <v>261</v>
      </c>
      <c r="C174" s="260">
        <v>2005</v>
      </c>
      <c r="D174" s="260">
        <v>1000</v>
      </c>
      <c r="F174" s="260">
        <v>6</v>
      </c>
      <c r="G174" s="260">
        <v>24</v>
      </c>
      <c r="H174" s="260" t="s">
        <v>359</v>
      </c>
      <c r="I174" s="260">
        <v>25.82</v>
      </c>
      <c r="J174" s="260">
        <f t="shared" ref="J174" si="89">I174*0.004047</f>
        <v>0.10449354000000001</v>
      </c>
      <c r="K174" s="260">
        <f t="shared" ref="K174" si="90">I174*0.4047</f>
        <v>10.449354</v>
      </c>
      <c r="L174" s="1">
        <f t="shared" ref="L174" si="91">I174/(D174/1000)</f>
        <v>25.82</v>
      </c>
      <c r="M174" s="260">
        <f t="shared" ref="M174" si="92">D174/1000/J174</f>
        <v>9.5699695885506397</v>
      </c>
      <c r="N174" s="260">
        <v>9.77</v>
      </c>
      <c r="O174" s="260">
        <f t="shared" ref="O174" si="93">N174*0.004047</f>
        <v>3.9539190000000002E-2</v>
      </c>
      <c r="P174" s="260">
        <f t="shared" ref="P174" si="94">N174*0.4047</f>
        <v>3.953919</v>
      </c>
      <c r="Q174" s="1">
        <f t="shared" ref="Q174" si="95">N174/(D174/1000)</f>
        <v>9.77</v>
      </c>
      <c r="R174" s="260">
        <f t="shared" ref="R174" si="96">D174/1000/O174</f>
        <v>25.291362822556557</v>
      </c>
      <c r="S174" s="260">
        <v>32.547831000000002</v>
      </c>
      <c r="T174" s="260">
        <v>-111.292807</v>
      </c>
      <c r="U174" s="98" t="s">
        <v>113</v>
      </c>
      <c r="V174" s="260" t="s">
        <v>799</v>
      </c>
      <c r="W174" s="260" t="s">
        <v>798</v>
      </c>
      <c r="X174" s="260" t="s">
        <v>94</v>
      </c>
      <c r="Z174" s="10">
        <v>0</v>
      </c>
      <c r="AA174" s="260">
        <v>1.25</v>
      </c>
      <c r="AB174" s="260" t="s">
        <v>29</v>
      </c>
      <c r="AC174" s="260" t="s">
        <v>260</v>
      </c>
      <c r="AF174" s="260">
        <v>1</v>
      </c>
      <c r="AI174" s="271">
        <v>2304119</v>
      </c>
      <c r="AJ174" s="260">
        <f t="shared" ref="AJ174" si="97">AI174/1000000</f>
        <v>2.304119</v>
      </c>
      <c r="AK174" s="100">
        <f t="shared" ref="AK174" si="98">I174/AJ174</f>
        <v>11.206018439151798</v>
      </c>
      <c r="AL174" s="159">
        <f t="shared" ref="AL174" si="99">N174/AJ174</f>
        <v>4.24023238383087</v>
      </c>
      <c r="AM174" s="260">
        <f t="shared" ref="AM174" si="100">AI174/(8760*D174)</f>
        <v>0.26302728310502282</v>
      </c>
      <c r="AO174" s="260">
        <v>1.1000000000000001</v>
      </c>
      <c r="AP174" s="260">
        <v>1.4</v>
      </c>
      <c r="AQ174" s="260">
        <v>2.0407130000000002</v>
      </c>
      <c r="AR174" s="260">
        <v>2.4851380000000001</v>
      </c>
      <c r="AS174" s="260">
        <v>2.1</v>
      </c>
      <c r="AU174" s="260">
        <f t="shared" ref="AU174" si="101">I174/AS174</f>
        <v>12.295238095238094</v>
      </c>
      <c r="AX174" s="260">
        <f>I174/AQ174-AU174</f>
        <v>0.35720249782913172</v>
      </c>
      <c r="AY174" s="260">
        <f>AU174-I174/AR174</f>
        <v>1.9054730198177356</v>
      </c>
      <c r="BA174" s="260">
        <f t="shared" ref="BA174" si="102">N174/AS174</f>
        <v>4.6523809523809518</v>
      </c>
      <c r="BD174" s="260">
        <f t="shared" ref="BD174" si="103">N174/AQ174-BA174</f>
        <v>0.13516144089041848</v>
      </c>
      <c r="BE174" s="260">
        <f t="shared" ref="BE174" si="104">BA174-N174/AR174</f>
        <v>0.72100973677843827</v>
      </c>
    </row>
  </sheetData>
  <sortState ref="A14:AN27">
    <sortCondition ref="Z14:Z27"/>
  </sortState>
  <customSheetViews>
    <customSheetView guid="{A817C2B6-B412-4BD4-89EB-C78C16183A0C}" scale="80" topLeftCell="G13">
      <selection activeCell="AF47" sqref="AF47"/>
      <pageMargins left="0.7" right="0.7" top="0.75" bottom="0.75" header="0.3" footer="0.3"/>
      <pageSetup orientation="portrait" r:id="rId1"/>
    </customSheetView>
  </customSheetViews>
  <mergeCells count="5">
    <mergeCell ref="I1:K1"/>
    <mergeCell ref="N1:P1"/>
    <mergeCell ref="U71:U72"/>
    <mergeCell ref="V71:Y71"/>
    <mergeCell ref="Z71:AC71"/>
  </mergeCells>
  <pageMargins left="0.7" right="0.7" top="0.75" bottom="0.75" header="0.3" footer="0.3"/>
  <pageSetup orientation="portrait"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Q248"/>
  <sheetViews>
    <sheetView zoomScale="70" zoomScaleNormal="70" workbookViewId="0">
      <selection activeCell="O18" sqref="O18"/>
    </sheetView>
  </sheetViews>
  <sheetFormatPr defaultColWidth="9.109375" defaultRowHeight="14.4" x14ac:dyDescent="0.3"/>
  <cols>
    <col min="1" max="1" width="26.88671875" style="260" customWidth="1"/>
    <col min="2" max="2" width="7.33203125" style="260" customWidth="1"/>
    <col min="3" max="3" width="10.88671875" style="260" customWidth="1"/>
    <col min="4" max="4" width="14" style="260" customWidth="1"/>
    <col min="5" max="5" width="14.88671875" style="260" customWidth="1"/>
    <col min="6" max="7" width="9.109375" style="260" customWidth="1"/>
    <col min="8" max="8" width="19.88671875" style="260" customWidth="1"/>
    <col min="9" max="9" width="50.109375" style="260" customWidth="1"/>
    <col min="10" max="10" width="13.44140625" style="260" customWidth="1"/>
    <col min="11" max="11" width="10.33203125" style="260" customWidth="1"/>
    <col min="12" max="12" width="11.33203125" style="260" customWidth="1"/>
    <col min="13" max="13" width="12" style="260" bestFit="1" customWidth="1"/>
    <col min="14" max="14" width="17.88671875" style="260" customWidth="1"/>
    <col min="15" max="15" width="19.109375" style="260" customWidth="1"/>
    <col min="16" max="17" width="15" style="260" customWidth="1"/>
    <col min="18" max="18" width="15.88671875" customWidth="1"/>
    <col min="19" max="19" width="27.88671875" style="12" customWidth="1"/>
    <col min="20" max="20" width="9.6640625" style="297" customWidth="1"/>
    <col min="21" max="27" width="9.109375" style="297" customWidth="1"/>
    <col min="28" max="28" width="9.109375" style="260" customWidth="1"/>
    <col min="29" max="29" width="2.109375" style="260" customWidth="1"/>
    <col min="30" max="30" width="9.109375" style="260" customWidth="1"/>
    <col min="31" max="16384" width="9.109375" style="260"/>
  </cols>
  <sheetData>
    <row r="1" spans="1:43" ht="53.4" thickBot="1" x14ac:dyDescent="0.35">
      <c r="A1" s="302" t="s">
        <v>1</v>
      </c>
      <c r="B1" s="262" t="s">
        <v>0</v>
      </c>
      <c r="C1" s="262" t="s">
        <v>980</v>
      </c>
      <c r="D1" s="262" t="s">
        <v>981</v>
      </c>
      <c r="E1" s="262" t="s">
        <v>982</v>
      </c>
      <c r="F1" s="262" t="s">
        <v>757</v>
      </c>
      <c r="G1" s="262" t="s">
        <v>64</v>
      </c>
      <c r="H1" s="262" t="s">
        <v>17</v>
      </c>
      <c r="I1" s="262" t="s">
        <v>351</v>
      </c>
      <c r="J1"/>
      <c r="K1" s="12" t="s">
        <v>1090</v>
      </c>
      <c r="L1" s="297" t="s">
        <v>1091</v>
      </c>
      <c r="M1" s="297"/>
      <c r="N1" s="410"/>
      <c r="O1" s="411" t="s">
        <v>1156</v>
      </c>
      <c r="P1" s="411" t="s">
        <v>1157</v>
      </c>
      <c r="Q1" s="411" t="s">
        <v>1158</v>
      </c>
      <c r="R1" s="411" t="s">
        <v>1159</v>
      </c>
      <c r="S1" s="297"/>
      <c r="T1" s="260"/>
      <c r="U1" s="260"/>
      <c r="V1" s="260"/>
      <c r="W1" s="260"/>
      <c r="X1" s="260"/>
      <c r="Y1" s="260"/>
      <c r="Z1" s="260"/>
      <c r="AA1" s="260"/>
      <c r="AE1" s="416" t="s">
        <v>1</v>
      </c>
      <c r="AF1" s="417" t="s">
        <v>0</v>
      </c>
      <c r="AG1" s="417" t="s">
        <v>983</v>
      </c>
      <c r="AH1" s="417" t="s">
        <v>1160</v>
      </c>
      <c r="AI1" s="417" t="s">
        <v>1161</v>
      </c>
      <c r="AJ1" s="417" t="s">
        <v>984</v>
      </c>
      <c r="AL1" s="260" t="s">
        <v>1</v>
      </c>
      <c r="AM1" s="260" t="s">
        <v>0</v>
      </c>
      <c r="AN1" s="260" t="s">
        <v>983</v>
      </c>
      <c r="AO1" s="260" t="s">
        <v>65</v>
      </c>
      <c r="AP1" s="260" t="s">
        <v>351</v>
      </c>
      <c r="AQ1" s="260" t="s">
        <v>984</v>
      </c>
    </row>
    <row r="2" spans="1:43" ht="15" thickBot="1" x14ac:dyDescent="0.35">
      <c r="A2" s="261" t="s">
        <v>985</v>
      </c>
      <c r="B2" s="261" t="s">
        <v>35</v>
      </c>
      <c r="C2" s="20">
        <v>0.17499999999999999</v>
      </c>
      <c r="D2" s="20">
        <v>10.973423239945067</v>
      </c>
      <c r="E2" s="20">
        <v>5.7719535084726346</v>
      </c>
      <c r="F2" s="261" t="s">
        <v>732</v>
      </c>
      <c r="G2" s="64">
        <v>0.28999999999999998</v>
      </c>
      <c r="H2" s="261" t="s">
        <v>1069</v>
      </c>
      <c r="I2" s="261" t="s">
        <v>352</v>
      </c>
      <c r="J2"/>
      <c r="K2" s="309">
        <f>IFERROR(D2*$C2,"")</f>
        <v>1.9203490669903867</v>
      </c>
      <c r="L2" s="309">
        <f>IFERROR(E2*$C2,"")</f>
        <v>1.010091863982711</v>
      </c>
      <c r="M2" s="297"/>
      <c r="N2" s="412" t="s">
        <v>225</v>
      </c>
      <c r="O2" s="413">
        <f>COUNTIF($I$2:$I$193,"=Official Documents")/COUNTIF($I$2:$I$193,"&lt;&gt;''")</f>
        <v>0.17708333333333334</v>
      </c>
      <c r="P2" s="413">
        <f>COUNTIF($I$2:$I$193,"=Developer")/COUNTIF($I$2:$I$193,"&lt;&gt;''")</f>
        <v>0.36458333333333331</v>
      </c>
      <c r="Q2" s="413">
        <f>COUNTIF($I$2:$I$193,"=Third Party")/COUNTIF($I$2:$I$193,"&lt;&gt;''")</f>
        <v>0.45833333333333331</v>
      </c>
      <c r="R2" s="413">
        <f>COUNTIF($AJ$2:$AJ$193,"=Yes")/COUNTIF($AJ$2:$AJ$193,"&lt;&gt;''")</f>
        <v>0.39583333333333331</v>
      </c>
      <c r="S2" s="297"/>
      <c r="T2" s="260"/>
      <c r="U2" s="260"/>
      <c r="V2" s="260"/>
      <c r="W2" s="260"/>
      <c r="X2" s="260"/>
      <c r="Y2" s="260"/>
      <c r="Z2" s="260"/>
      <c r="AA2" s="260"/>
      <c r="AE2" s="332" t="s">
        <v>985</v>
      </c>
      <c r="AF2" s="328" t="s">
        <v>35</v>
      </c>
      <c r="AG2" s="328">
        <v>175</v>
      </c>
      <c r="AH2" s="328" t="s">
        <v>139</v>
      </c>
      <c r="AI2" s="328" t="s">
        <v>352</v>
      </c>
      <c r="AJ2" s="328" t="s">
        <v>986</v>
      </c>
      <c r="AL2" s="260" t="s">
        <v>27</v>
      </c>
      <c r="AM2" s="260" t="s">
        <v>26</v>
      </c>
      <c r="AN2" s="260">
        <v>354000</v>
      </c>
      <c r="AO2" s="260" t="s">
        <v>113</v>
      </c>
      <c r="AP2" s="260" t="s">
        <v>352</v>
      </c>
      <c r="AQ2" s="260" t="s">
        <v>986</v>
      </c>
    </row>
    <row r="3" spans="1:43" ht="15" thickBot="1" x14ac:dyDescent="0.35">
      <c r="A3" s="261" t="s">
        <v>537</v>
      </c>
      <c r="B3" s="261" t="s">
        <v>35</v>
      </c>
      <c r="C3" s="20">
        <v>1.069</v>
      </c>
      <c r="D3" s="20">
        <v>7.8969748511723967</v>
      </c>
      <c r="E3" s="20">
        <v>5.9652533106548411</v>
      </c>
      <c r="F3" s="261" t="s">
        <v>21</v>
      </c>
      <c r="G3" s="64">
        <v>0.13769999999999999</v>
      </c>
      <c r="H3" s="261" t="s">
        <v>1069</v>
      </c>
      <c r="I3" s="261" t="s">
        <v>252</v>
      </c>
      <c r="K3" s="309">
        <f t="shared" ref="K3:K66" si="0">IFERROR(D3*$C3,"")</f>
        <v>8.4418661159032915</v>
      </c>
      <c r="L3" s="309">
        <f t="shared" ref="L3:L66" si="1">IFERROR(E3*$C3,"")</f>
        <v>6.3768557890900253</v>
      </c>
      <c r="M3" s="297"/>
      <c r="N3" s="414" t="s">
        <v>122</v>
      </c>
      <c r="O3" s="415">
        <f>COUNTIF($H$196:$H$219,"=Official Documents")/COUNTIF($H$196:$H$219,"&lt;&gt;''")</f>
        <v>0.45833333333333331</v>
      </c>
      <c r="P3" s="415">
        <f>COUNTIF($H$196:$H$219,"=Developer")/COUNTIF($H$196:$H$219,"&lt;&gt;''")</f>
        <v>0.29166666666666669</v>
      </c>
      <c r="Q3" s="415">
        <f>COUNTIF($H$196:$H$219,"=Third Party")/COUNTIF($H$196:$H$219,"&lt;&gt;''")</f>
        <v>0.25</v>
      </c>
      <c r="R3" s="415">
        <f>COUNTIF($AQ$2:$AQ$26,"=Yes")/COUNTIF($AQ$2:$AQ$26,"&lt;&gt;''")</f>
        <v>0.4</v>
      </c>
      <c r="S3" s="297"/>
      <c r="T3" s="260"/>
      <c r="U3" s="260"/>
      <c r="V3" s="260"/>
      <c r="W3" s="260"/>
      <c r="X3" s="260"/>
      <c r="Y3" s="260"/>
      <c r="Z3" s="260"/>
      <c r="AA3" s="260"/>
      <c r="AE3" s="403" t="s">
        <v>537</v>
      </c>
      <c r="AF3" s="418" t="s">
        <v>35</v>
      </c>
      <c r="AG3" s="418">
        <v>1069</v>
      </c>
      <c r="AH3" s="418" t="s">
        <v>21</v>
      </c>
      <c r="AI3" s="418" t="s">
        <v>252</v>
      </c>
      <c r="AJ3" s="418" t="s">
        <v>986</v>
      </c>
      <c r="AL3" s="260" t="s">
        <v>830</v>
      </c>
      <c r="AM3" s="260" t="s">
        <v>26</v>
      </c>
      <c r="AN3" s="260">
        <v>50000</v>
      </c>
      <c r="AO3" s="260" t="s">
        <v>113</v>
      </c>
      <c r="AP3" s="260" t="s">
        <v>930</v>
      </c>
      <c r="AQ3" s="260" t="s">
        <v>990</v>
      </c>
    </row>
    <row r="4" spans="1:43" ht="15" thickBot="1" x14ac:dyDescent="0.35">
      <c r="A4" s="261" t="s">
        <v>165</v>
      </c>
      <c r="B4" s="261" t="s">
        <v>35</v>
      </c>
      <c r="C4" s="20">
        <v>1.1000000000000001</v>
      </c>
      <c r="D4" s="20">
        <v>9.6097534628376309</v>
      </c>
      <c r="E4" s="20">
        <v>6.8336024624623155</v>
      </c>
      <c r="F4" s="261" t="s">
        <v>21</v>
      </c>
      <c r="G4" s="64" t="s">
        <v>28</v>
      </c>
      <c r="H4" s="261" t="s">
        <v>1069</v>
      </c>
      <c r="I4" s="261" t="s">
        <v>352</v>
      </c>
      <c r="K4" s="309">
        <f t="shared" si="0"/>
        <v>10.570728809121395</v>
      </c>
      <c r="L4" s="309">
        <f t="shared" si="1"/>
        <v>7.5169627087085473</v>
      </c>
      <c r="M4" s="297"/>
      <c r="N4" s="412"/>
      <c r="O4" s="413"/>
      <c r="P4" s="413"/>
      <c r="Q4" s="413"/>
      <c r="R4" s="413"/>
      <c r="S4" s="297"/>
      <c r="T4" s="260"/>
      <c r="U4" s="260"/>
      <c r="V4" s="260"/>
      <c r="W4" s="260"/>
      <c r="X4" s="260"/>
      <c r="Y4" s="260"/>
      <c r="Z4" s="260"/>
      <c r="AA4" s="260"/>
      <c r="AE4" s="332" t="s">
        <v>165</v>
      </c>
      <c r="AF4" s="328" t="s">
        <v>35</v>
      </c>
      <c r="AG4" s="328">
        <v>1100</v>
      </c>
      <c r="AH4" s="328" t="s">
        <v>21</v>
      </c>
      <c r="AI4" s="328" t="s">
        <v>352</v>
      </c>
      <c r="AJ4" s="328" t="s">
        <v>986</v>
      </c>
      <c r="AL4" s="260" t="s">
        <v>828</v>
      </c>
      <c r="AM4" s="260" t="s">
        <v>26</v>
      </c>
      <c r="AN4" s="260">
        <v>57000</v>
      </c>
      <c r="AO4" s="260" t="s">
        <v>113</v>
      </c>
      <c r="AP4" s="260" t="s">
        <v>930</v>
      </c>
      <c r="AQ4" s="260" t="s">
        <v>990</v>
      </c>
    </row>
    <row r="5" spans="1:43" ht="15" thickBot="1" x14ac:dyDescent="0.35">
      <c r="A5" s="261" t="s">
        <v>987</v>
      </c>
      <c r="B5" s="261" t="s">
        <v>35</v>
      </c>
      <c r="C5" s="20">
        <v>2.83</v>
      </c>
      <c r="D5" s="20">
        <v>7.9685117053447492</v>
      </c>
      <c r="E5" s="20">
        <v>7.885506375080741</v>
      </c>
      <c r="F5" s="261" t="s">
        <v>21</v>
      </c>
      <c r="G5" s="64" t="s">
        <v>28</v>
      </c>
      <c r="H5" s="261" t="s">
        <v>1069</v>
      </c>
      <c r="I5" s="261" t="s">
        <v>352</v>
      </c>
      <c r="K5" s="309">
        <f t="shared" si="0"/>
        <v>22.550888126125642</v>
      </c>
      <c r="L5" s="309">
        <f t="shared" si="1"/>
        <v>22.315983041478496</v>
      </c>
      <c r="M5" s="297"/>
      <c r="N5" s="414"/>
      <c r="O5" s="415"/>
      <c r="P5" s="415"/>
      <c r="Q5" s="415"/>
      <c r="R5" s="415"/>
      <c r="S5" s="297"/>
      <c r="T5" s="260"/>
      <c r="U5" s="260"/>
      <c r="V5" s="260"/>
      <c r="W5" s="260"/>
      <c r="X5" s="260"/>
      <c r="Y5" s="260"/>
      <c r="Z5" s="260"/>
      <c r="AA5" s="260"/>
      <c r="AE5" s="403" t="s">
        <v>987</v>
      </c>
      <c r="AF5" s="418" t="s">
        <v>35</v>
      </c>
      <c r="AG5" s="418">
        <v>2830</v>
      </c>
      <c r="AH5" s="418" t="s">
        <v>21</v>
      </c>
      <c r="AI5" s="418" t="s">
        <v>352</v>
      </c>
      <c r="AJ5" s="418" t="s">
        <v>986</v>
      </c>
      <c r="AL5" s="260" t="s">
        <v>792</v>
      </c>
      <c r="AM5" s="260" t="s">
        <v>26</v>
      </c>
      <c r="AN5" s="260">
        <v>250000</v>
      </c>
      <c r="AO5" s="260" t="s">
        <v>113</v>
      </c>
      <c r="AP5" s="260" t="s">
        <v>352</v>
      </c>
      <c r="AQ5" s="260" t="s">
        <v>990</v>
      </c>
    </row>
    <row r="6" spans="1:43" ht="15" thickBot="1" x14ac:dyDescent="0.35">
      <c r="A6" s="261" t="s">
        <v>36</v>
      </c>
      <c r="B6" s="261" t="s">
        <v>35</v>
      </c>
      <c r="C6" s="20">
        <v>6.48</v>
      </c>
      <c r="D6" s="20">
        <v>13.14800901577761</v>
      </c>
      <c r="E6" s="20">
        <v>6.9853493613824194</v>
      </c>
      <c r="F6" s="261" t="s">
        <v>91</v>
      </c>
      <c r="G6" s="64">
        <v>0.10970000000000001</v>
      </c>
      <c r="H6" s="261" t="s">
        <v>1069</v>
      </c>
      <c r="I6" s="261" t="s">
        <v>252</v>
      </c>
      <c r="K6" s="309">
        <f t="shared" si="0"/>
        <v>85.199098422238919</v>
      </c>
      <c r="L6" s="309">
        <f t="shared" si="1"/>
        <v>45.26506386175808</v>
      </c>
      <c r="M6" s="297"/>
      <c r="N6" s="297"/>
      <c r="O6" s="297"/>
      <c r="P6" s="297"/>
      <c r="Q6" s="297"/>
      <c r="R6" s="297"/>
      <c r="S6" s="297"/>
      <c r="T6" s="260"/>
      <c r="U6" s="260"/>
      <c r="V6" s="260"/>
      <c r="W6" s="260"/>
      <c r="X6" s="260"/>
      <c r="Y6" s="260"/>
      <c r="Z6" s="260"/>
      <c r="AA6" s="260"/>
      <c r="AE6" s="332" t="s">
        <v>36</v>
      </c>
      <c r="AF6" s="328" t="s">
        <v>35</v>
      </c>
      <c r="AG6" s="328">
        <v>6480</v>
      </c>
      <c r="AH6" s="328" t="s">
        <v>91</v>
      </c>
      <c r="AI6" s="328" t="s">
        <v>252</v>
      </c>
      <c r="AJ6" s="328" t="s">
        <v>986</v>
      </c>
      <c r="AL6" s="260" t="s">
        <v>264</v>
      </c>
      <c r="AM6" s="260" t="s">
        <v>35</v>
      </c>
      <c r="AN6" s="260">
        <v>280000</v>
      </c>
      <c r="AO6" s="260" t="s">
        <v>262</v>
      </c>
      <c r="AP6" s="260" t="s">
        <v>352</v>
      </c>
      <c r="AQ6" s="260" t="s">
        <v>990</v>
      </c>
    </row>
    <row r="7" spans="1:43" ht="15" thickBot="1" x14ac:dyDescent="0.35">
      <c r="A7" s="261" t="s">
        <v>988</v>
      </c>
      <c r="B7" s="261" t="s">
        <v>35</v>
      </c>
      <c r="C7" s="20">
        <v>10</v>
      </c>
      <c r="D7" s="20">
        <v>7.0471525394142631</v>
      </c>
      <c r="E7" s="20" t="s">
        <v>28</v>
      </c>
      <c r="F7" s="261" t="s">
        <v>21</v>
      </c>
      <c r="G7" s="64">
        <v>0.14299999999999999</v>
      </c>
      <c r="H7" s="261" t="s">
        <v>342</v>
      </c>
      <c r="I7" s="261" t="s">
        <v>352</v>
      </c>
      <c r="K7" s="309">
        <f t="shared" si="0"/>
        <v>70.471525394142631</v>
      </c>
      <c r="L7" s="309" t="str">
        <f t="shared" si="1"/>
        <v/>
      </c>
      <c r="M7" s="297"/>
      <c r="N7" s="297"/>
      <c r="O7" s="297"/>
      <c r="P7" s="297"/>
      <c r="Q7" s="297"/>
      <c r="R7" s="297"/>
      <c r="S7" s="297"/>
      <c r="T7" s="260"/>
      <c r="U7" s="260"/>
      <c r="V7" s="260"/>
      <c r="W7" s="260"/>
      <c r="X7" s="260"/>
      <c r="Y7" s="260"/>
      <c r="Z7" s="260"/>
      <c r="AA7" s="260"/>
      <c r="AE7" s="403" t="s">
        <v>988</v>
      </c>
      <c r="AF7" s="418" t="s">
        <v>35</v>
      </c>
      <c r="AG7" s="418">
        <v>10000</v>
      </c>
      <c r="AH7" s="418" t="s">
        <v>21</v>
      </c>
      <c r="AI7" s="418" t="s">
        <v>989</v>
      </c>
      <c r="AJ7" s="418" t="s">
        <v>990</v>
      </c>
      <c r="AL7" s="260" t="s">
        <v>272</v>
      </c>
      <c r="AM7" s="260" t="s">
        <v>148</v>
      </c>
      <c r="AN7" s="260">
        <v>75000</v>
      </c>
      <c r="AO7" s="260" t="s">
        <v>113</v>
      </c>
      <c r="AP7" s="260" t="s">
        <v>252</v>
      </c>
      <c r="AQ7" s="260" t="s">
        <v>986</v>
      </c>
    </row>
    <row r="8" spans="1:43" ht="15" thickBot="1" x14ac:dyDescent="0.35">
      <c r="A8" s="261" t="s">
        <v>991</v>
      </c>
      <c r="B8" s="261" t="s">
        <v>35</v>
      </c>
      <c r="C8" s="20">
        <v>11.75</v>
      </c>
      <c r="D8" s="20">
        <v>8</v>
      </c>
      <c r="E8" s="20" t="s">
        <v>28</v>
      </c>
      <c r="F8" s="261" t="s">
        <v>21</v>
      </c>
      <c r="G8" s="64" t="s">
        <v>28</v>
      </c>
      <c r="H8" s="261" t="s">
        <v>342</v>
      </c>
      <c r="I8" s="261" t="s">
        <v>352</v>
      </c>
      <c r="K8" s="309">
        <f t="shared" si="0"/>
        <v>94</v>
      </c>
      <c r="L8" s="309" t="str">
        <f t="shared" si="1"/>
        <v/>
      </c>
      <c r="M8" s="297"/>
      <c r="N8" s="297"/>
      <c r="O8" s="297"/>
      <c r="P8" s="297"/>
      <c r="Q8" s="297"/>
      <c r="R8" s="297"/>
      <c r="S8" s="297"/>
      <c r="T8" s="260"/>
      <c r="U8" s="260"/>
      <c r="V8" s="260"/>
      <c r="W8" s="260"/>
      <c r="X8" s="260"/>
      <c r="Y8" s="260"/>
      <c r="Z8" s="260"/>
      <c r="AA8" s="260"/>
      <c r="AE8" s="332" t="s">
        <v>991</v>
      </c>
      <c r="AF8" s="328" t="s">
        <v>35</v>
      </c>
      <c r="AG8" s="328">
        <v>11750</v>
      </c>
      <c r="AH8" s="328" t="s">
        <v>21</v>
      </c>
      <c r="AI8" s="328" t="s">
        <v>989</v>
      </c>
      <c r="AJ8" s="328" t="s">
        <v>990</v>
      </c>
      <c r="AL8" s="260" t="s">
        <v>276</v>
      </c>
      <c r="AM8" s="260" t="s">
        <v>107</v>
      </c>
      <c r="AN8" s="260">
        <v>64000</v>
      </c>
      <c r="AO8" s="260" t="s">
        <v>113</v>
      </c>
      <c r="AP8" s="260" t="s">
        <v>352</v>
      </c>
      <c r="AQ8" s="260" t="s">
        <v>986</v>
      </c>
    </row>
    <row r="9" spans="1:43" ht="15" thickBot="1" x14ac:dyDescent="0.35">
      <c r="A9" s="261" t="s">
        <v>992</v>
      </c>
      <c r="B9" s="261" t="s">
        <v>35</v>
      </c>
      <c r="C9" s="20">
        <v>15</v>
      </c>
      <c r="D9" s="20">
        <v>7.1428571428571432</v>
      </c>
      <c r="E9" s="20" t="s">
        <v>28</v>
      </c>
      <c r="F9" s="261" t="s">
        <v>21</v>
      </c>
      <c r="G9" s="64">
        <v>0.185</v>
      </c>
      <c r="H9" s="261" t="s">
        <v>1069</v>
      </c>
      <c r="I9" s="261" t="s">
        <v>352</v>
      </c>
      <c r="K9" s="309">
        <f t="shared" si="0"/>
        <v>107.14285714285715</v>
      </c>
      <c r="L9" s="309" t="str">
        <f t="shared" si="1"/>
        <v/>
      </c>
      <c r="M9" s="297"/>
      <c r="N9" s="297"/>
      <c r="O9" s="297"/>
      <c r="P9" s="297"/>
      <c r="Q9" s="297"/>
      <c r="R9" s="297"/>
      <c r="S9" s="297"/>
      <c r="T9" s="260"/>
      <c r="U9" s="260"/>
      <c r="V9" s="260"/>
      <c r="W9" s="260"/>
      <c r="X9" s="260"/>
      <c r="Y9" s="260"/>
      <c r="Z9" s="260"/>
      <c r="AA9" s="260"/>
      <c r="AE9" s="403" t="s">
        <v>992</v>
      </c>
      <c r="AF9" s="418" t="s">
        <v>35</v>
      </c>
      <c r="AG9" s="418">
        <v>15000</v>
      </c>
      <c r="AH9" s="418" t="s">
        <v>21</v>
      </c>
      <c r="AI9" s="418" t="s">
        <v>352</v>
      </c>
      <c r="AJ9" s="418" t="s">
        <v>990</v>
      </c>
      <c r="AL9" s="260" t="s">
        <v>261</v>
      </c>
      <c r="AM9" s="260" t="s">
        <v>35</v>
      </c>
      <c r="AN9" s="260">
        <v>1000</v>
      </c>
      <c r="AO9" s="260" t="s">
        <v>113</v>
      </c>
      <c r="AP9" s="260" t="s">
        <v>352</v>
      </c>
      <c r="AQ9" s="260" t="s">
        <v>986</v>
      </c>
    </row>
    <row r="10" spans="1:43" ht="15" thickBot="1" x14ac:dyDescent="0.35">
      <c r="A10" s="261" t="s">
        <v>993</v>
      </c>
      <c r="B10" s="261" t="s">
        <v>35</v>
      </c>
      <c r="C10" s="20">
        <v>17</v>
      </c>
      <c r="D10" s="20">
        <v>8.9816650012142549</v>
      </c>
      <c r="E10" s="20" t="s">
        <v>28</v>
      </c>
      <c r="F10" s="261" t="s">
        <v>21</v>
      </c>
      <c r="G10" s="64">
        <v>0.14000000000000001</v>
      </c>
      <c r="H10" s="261" t="s">
        <v>342</v>
      </c>
      <c r="I10" s="261" t="s">
        <v>352</v>
      </c>
      <c r="K10" s="309">
        <f t="shared" si="0"/>
        <v>152.68830502064233</v>
      </c>
      <c r="L10" s="309" t="str">
        <f t="shared" si="1"/>
        <v/>
      </c>
      <c r="M10" s="297"/>
      <c r="N10" s="297"/>
      <c r="O10" s="297"/>
      <c r="P10" s="297"/>
      <c r="Q10" s="297"/>
      <c r="R10" s="297"/>
      <c r="S10" s="297"/>
      <c r="T10" s="260"/>
      <c r="U10" s="260"/>
      <c r="V10" s="260"/>
      <c r="W10" s="260"/>
      <c r="X10" s="260"/>
      <c r="Y10" s="260"/>
      <c r="Z10" s="260"/>
      <c r="AA10" s="260"/>
      <c r="AE10" s="332" t="s">
        <v>993</v>
      </c>
      <c r="AF10" s="328" t="s">
        <v>35</v>
      </c>
      <c r="AG10" s="328">
        <v>17000</v>
      </c>
      <c r="AH10" s="328" t="s">
        <v>21</v>
      </c>
      <c r="AI10" s="328" t="s">
        <v>352</v>
      </c>
      <c r="AJ10" s="328" t="s">
        <v>990</v>
      </c>
      <c r="AL10" s="260" t="s">
        <v>270</v>
      </c>
      <c r="AM10" s="260" t="s">
        <v>26</v>
      </c>
      <c r="AN10" s="260">
        <v>250000</v>
      </c>
      <c r="AO10" s="260" t="s">
        <v>113</v>
      </c>
      <c r="AP10" s="260" t="s">
        <v>930</v>
      </c>
      <c r="AQ10" s="260" t="s">
        <v>990</v>
      </c>
    </row>
    <row r="11" spans="1:43" ht="15" thickBot="1" x14ac:dyDescent="0.35">
      <c r="A11" s="261" t="s">
        <v>642</v>
      </c>
      <c r="B11" s="261" t="s">
        <v>35</v>
      </c>
      <c r="C11" s="20">
        <v>20.2958</v>
      </c>
      <c r="D11" s="20">
        <v>11.574074074074073</v>
      </c>
      <c r="E11" s="20" t="s">
        <v>28</v>
      </c>
      <c r="F11" s="261" t="s">
        <v>91</v>
      </c>
      <c r="G11" s="64">
        <v>0.106</v>
      </c>
      <c r="H11" s="261" t="s">
        <v>1069</v>
      </c>
      <c r="I11" s="261" t="s">
        <v>352</v>
      </c>
      <c r="K11" s="309">
        <f t="shared" si="0"/>
        <v>234.90509259259255</v>
      </c>
      <c r="L11" s="309" t="str">
        <f t="shared" si="1"/>
        <v/>
      </c>
      <c r="M11" s="297"/>
      <c r="N11" s="297"/>
      <c r="O11" s="297"/>
      <c r="P11" s="297"/>
      <c r="Q11" s="297"/>
      <c r="R11" s="297"/>
      <c r="S11" s="297"/>
      <c r="T11" s="260"/>
      <c r="U11" s="260"/>
      <c r="V11" s="260"/>
      <c r="W11" s="260"/>
      <c r="X11" s="260"/>
      <c r="Y11" s="260"/>
      <c r="Z11" s="260"/>
      <c r="AA11" s="260"/>
      <c r="AE11" s="403" t="s">
        <v>642</v>
      </c>
      <c r="AF11" s="418" t="s">
        <v>35</v>
      </c>
      <c r="AG11" s="418">
        <v>20295.8</v>
      </c>
      <c r="AH11" s="418" t="s">
        <v>91</v>
      </c>
      <c r="AI11" s="418" t="s">
        <v>352</v>
      </c>
      <c r="AJ11" s="418" t="s">
        <v>990</v>
      </c>
      <c r="AL11" s="260" t="s">
        <v>354</v>
      </c>
      <c r="AM11" s="260" t="s">
        <v>26</v>
      </c>
      <c r="AN11" s="260">
        <v>7500</v>
      </c>
      <c r="AO11" s="260" t="s">
        <v>355</v>
      </c>
      <c r="AP11" s="260" t="s">
        <v>252</v>
      </c>
      <c r="AQ11" s="260" t="s">
        <v>986</v>
      </c>
    </row>
    <row r="12" spans="1:43" ht="15" thickBot="1" x14ac:dyDescent="0.35">
      <c r="A12" s="261" t="s">
        <v>994</v>
      </c>
      <c r="B12" s="261" t="s">
        <v>35</v>
      </c>
      <c r="C12" s="20">
        <v>21</v>
      </c>
      <c r="D12" s="20">
        <v>8.0555555555555554</v>
      </c>
      <c r="E12" s="20" t="s">
        <v>28</v>
      </c>
      <c r="F12" s="261" t="s">
        <v>21</v>
      </c>
      <c r="G12" s="64" t="s">
        <v>28</v>
      </c>
      <c r="H12" s="261" t="s">
        <v>1069</v>
      </c>
      <c r="I12" s="261" t="s">
        <v>352</v>
      </c>
      <c r="K12" s="309">
        <f t="shared" si="0"/>
        <v>169.16666666666666</v>
      </c>
      <c r="L12" s="309" t="str">
        <f t="shared" si="1"/>
        <v/>
      </c>
      <c r="M12" s="297"/>
      <c r="N12" s="297"/>
      <c r="O12" s="297"/>
      <c r="P12" s="297"/>
      <c r="Q12" s="297"/>
      <c r="R12" s="297"/>
      <c r="S12" s="297"/>
      <c r="T12" s="260"/>
      <c r="U12" s="260"/>
      <c r="V12" s="260"/>
      <c r="W12" s="260"/>
      <c r="X12" s="260"/>
      <c r="Y12" s="260"/>
      <c r="Z12" s="260"/>
      <c r="AA12" s="260"/>
      <c r="AE12" s="332" t="s">
        <v>994</v>
      </c>
      <c r="AF12" s="328" t="s">
        <v>35</v>
      </c>
      <c r="AG12" s="328">
        <v>21000</v>
      </c>
      <c r="AH12" s="328" t="s">
        <v>21</v>
      </c>
      <c r="AI12" s="328" t="s">
        <v>352</v>
      </c>
      <c r="AJ12" s="328" t="s">
        <v>990</v>
      </c>
      <c r="AL12" s="260" t="s">
        <v>258</v>
      </c>
      <c r="AM12" s="260" t="s">
        <v>35</v>
      </c>
      <c r="AN12" s="260">
        <v>1500</v>
      </c>
      <c r="AO12" s="260" t="s">
        <v>114</v>
      </c>
      <c r="AP12" s="260" t="s">
        <v>352</v>
      </c>
      <c r="AQ12" s="260" t="s">
        <v>986</v>
      </c>
    </row>
    <row r="13" spans="1:43" ht="15" thickBot="1" x14ac:dyDescent="0.35">
      <c r="A13" s="261" t="s">
        <v>485</v>
      </c>
      <c r="B13" s="261" t="s">
        <v>35</v>
      </c>
      <c r="C13" s="20">
        <v>23.490509999999997</v>
      </c>
      <c r="D13" s="20">
        <v>7.2</v>
      </c>
      <c r="E13" s="20">
        <v>5.92</v>
      </c>
      <c r="F13" s="261" t="s">
        <v>21</v>
      </c>
      <c r="G13" s="64">
        <v>0.19</v>
      </c>
      <c r="H13" s="261" t="s">
        <v>1069</v>
      </c>
      <c r="I13" s="261" t="s">
        <v>252</v>
      </c>
      <c r="K13" s="309">
        <f t="shared" si="0"/>
        <v>169.13167199999998</v>
      </c>
      <c r="L13" s="309">
        <f t="shared" si="1"/>
        <v>139.06381919999998</v>
      </c>
      <c r="M13" s="297"/>
      <c r="N13" s="297"/>
      <c r="O13" s="297"/>
      <c r="P13" s="297"/>
      <c r="Q13" s="297"/>
      <c r="R13" s="297"/>
      <c r="S13" s="297"/>
      <c r="T13" s="260"/>
      <c r="U13" s="260"/>
      <c r="V13" s="260"/>
      <c r="W13" s="260"/>
      <c r="X13" s="260"/>
      <c r="Y13" s="260"/>
      <c r="Z13" s="260"/>
      <c r="AA13" s="260"/>
      <c r="AE13" s="403" t="s">
        <v>485</v>
      </c>
      <c r="AF13" s="418" t="s">
        <v>35</v>
      </c>
      <c r="AG13" s="418">
        <v>23490.51</v>
      </c>
      <c r="AH13" s="418" t="s">
        <v>21</v>
      </c>
      <c r="AI13" s="418" t="s">
        <v>252</v>
      </c>
      <c r="AJ13" s="418" t="s">
        <v>986</v>
      </c>
      <c r="AL13" s="260" t="s">
        <v>98</v>
      </c>
      <c r="AM13" s="260" t="s">
        <v>26</v>
      </c>
      <c r="AN13" s="260">
        <v>10000</v>
      </c>
      <c r="AO13" s="260" t="s">
        <v>99</v>
      </c>
      <c r="AP13" s="260" t="s">
        <v>352</v>
      </c>
      <c r="AQ13" s="260" t="s">
        <v>986</v>
      </c>
    </row>
    <row r="14" spans="1:43" ht="15" thickBot="1" x14ac:dyDescent="0.35">
      <c r="A14" s="261" t="s">
        <v>995</v>
      </c>
      <c r="B14" s="261" t="s">
        <v>35</v>
      </c>
      <c r="C14" s="20">
        <v>23.490509999999997</v>
      </c>
      <c r="D14" s="20">
        <v>8</v>
      </c>
      <c r="E14" s="20">
        <v>7</v>
      </c>
      <c r="F14" s="261" t="s">
        <v>21</v>
      </c>
      <c r="G14" s="64">
        <v>0.14000000000000001</v>
      </c>
      <c r="H14" s="261" t="s">
        <v>342</v>
      </c>
      <c r="I14" s="261" t="s">
        <v>641</v>
      </c>
      <c r="K14" s="309">
        <f t="shared" si="0"/>
        <v>187.92407999999998</v>
      </c>
      <c r="L14" s="309">
        <f t="shared" si="1"/>
        <v>164.43356999999997</v>
      </c>
      <c r="M14" s="297"/>
      <c r="N14" s="297"/>
      <c r="O14" s="297"/>
      <c r="P14" s="297"/>
      <c r="Q14" s="297"/>
      <c r="R14" s="297"/>
      <c r="S14" s="297"/>
      <c r="T14" s="260"/>
      <c r="U14" s="260"/>
      <c r="V14" s="260"/>
      <c r="W14" s="260"/>
      <c r="X14" s="260"/>
      <c r="Y14" s="260"/>
      <c r="Z14" s="260"/>
      <c r="AA14" s="260"/>
      <c r="AE14" s="332" t="s">
        <v>995</v>
      </c>
      <c r="AF14" s="328" t="s">
        <v>35</v>
      </c>
      <c r="AG14" s="328">
        <v>23490.51</v>
      </c>
      <c r="AH14" s="328" t="s">
        <v>21</v>
      </c>
      <c r="AI14" s="328" t="s">
        <v>641</v>
      </c>
      <c r="AJ14" s="328" t="s">
        <v>990</v>
      </c>
      <c r="AL14" s="260" t="s">
        <v>266</v>
      </c>
      <c r="AM14" s="260" t="s">
        <v>26</v>
      </c>
      <c r="AN14" s="260">
        <v>5000</v>
      </c>
      <c r="AO14" s="260" t="s">
        <v>99</v>
      </c>
      <c r="AP14" s="260" t="s">
        <v>252</v>
      </c>
      <c r="AQ14" s="260" t="s">
        <v>986</v>
      </c>
    </row>
    <row r="15" spans="1:43" ht="15" thickBot="1" x14ac:dyDescent="0.35">
      <c r="A15" s="261" t="s">
        <v>667</v>
      </c>
      <c r="B15" s="261" t="s">
        <v>35</v>
      </c>
      <c r="C15" s="20">
        <v>25</v>
      </c>
      <c r="D15" s="20">
        <v>9.349222368956255</v>
      </c>
      <c r="E15" s="20" t="s">
        <v>28</v>
      </c>
      <c r="F15" s="261" t="s">
        <v>21</v>
      </c>
      <c r="G15" s="64" t="s">
        <v>28</v>
      </c>
      <c r="H15" s="261" t="s">
        <v>342</v>
      </c>
      <c r="I15" s="261" t="s">
        <v>252</v>
      </c>
      <c r="K15" s="309">
        <f t="shared" si="0"/>
        <v>233.73055922390637</v>
      </c>
      <c r="L15" s="309" t="str">
        <f t="shared" si="1"/>
        <v/>
      </c>
      <c r="M15" s="297"/>
      <c r="N15" s="297"/>
      <c r="O15" s="297"/>
      <c r="P15" s="297"/>
      <c r="Q15" s="297"/>
      <c r="R15" s="297"/>
      <c r="S15" s="297"/>
      <c r="T15" s="260"/>
      <c r="U15" s="260"/>
      <c r="V15" s="260"/>
      <c r="W15" s="260"/>
      <c r="X15" s="260"/>
      <c r="Y15" s="260"/>
      <c r="Z15" s="260"/>
      <c r="AA15" s="260"/>
      <c r="AE15" s="403" t="s">
        <v>667</v>
      </c>
      <c r="AF15" s="418" t="s">
        <v>35</v>
      </c>
      <c r="AG15" s="418">
        <v>25000</v>
      </c>
      <c r="AH15" s="418" t="s">
        <v>21</v>
      </c>
      <c r="AI15" s="418" t="s">
        <v>252</v>
      </c>
      <c r="AJ15" s="418" t="s">
        <v>990</v>
      </c>
      <c r="AL15" s="260" t="s">
        <v>823</v>
      </c>
      <c r="AM15" s="260" t="s">
        <v>26</v>
      </c>
      <c r="AN15" s="260">
        <v>250000</v>
      </c>
      <c r="AO15" s="260" t="s">
        <v>99</v>
      </c>
      <c r="AP15" s="260" t="s">
        <v>930</v>
      </c>
      <c r="AQ15" s="260" t="s">
        <v>990</v>
      </c>
    </row>
    <row r="16" spans="1:43" ht="15" thickBot="1" x14ac:dyDescent="0.35">
      <c r="A16" s="261" t="s">
        <v>668</v>
      </c>
      <c r="B16" s="261" t="s">
        <v>35</v>
      </c>
      <c r="C16" s="20">
        <v>30.537659999999999</v>
      </c>
      <c r="D16" s="20">
        <v>11.538461538461538</v>
      </c>
      <c r="E16" s="20" t="s">
        <v>28</v>
      </c>
      <c r="F16" s="261" t="s">
        <v>21</v>
      </c>
      <c r="G16" s="64">
        <v>0.107</v>
      </c>
      <c r="H16" s="261" t="s">
        <v>342</v>
      </c>
      <c r="I16" s="261" t="s">
        <v>252</v>
      </c>
      <c r="K16" s="309">
        <f t="shared" si="0"/>
        <v>352.35761538461537</v>
      </c>
      <c r="L16" s="309" t="str">
        <f t="shared" si="1"/>
        <v/>
      </c>
      <c r="M16" s="297"/>
      <c r="N16" s="297"/>
      <c r="O16" s="297"/>
      <c r="P16" s="297"/>
      <c r="Q16" s="297"/>
      <c r="R16" s="297"/>
      <c r="S16" s="297"/>
      <c r="T16" s="260"/>
      <c r="U16" s="260"/>
      <c r="V16" s="260"/>
      <c r="W16" s="260"/>
      <c r="X16" s="260"/>
      <c r="Y16" s="260"/>
      <c r="Z16" s="260"/>
      <c r="AA16" s="260"/>
      <c r="AE16" s="332" t="s">
        <v>668</v>
      </c>
      <c r="AF16" s="328" t="s">
        <v>35</v>
      </c>
      <c r="AG16" s="328">
        <v>30537.66</v>
      </c>
      <c r="AH16" s="328" t="s">
        <v>21</v>
      </c>
      <c r="AI16" s="328" t="s">
        <v>252</v>
      </c>
      <c r="AJ16" s="328" t="s">
        <v>990</v>
      </c>
      <c r="AL16" s="260" t="s">
        <v>824</v>
      </c>
      <c r="AM16" s="260" t="s">
        <v>26</v>
      </c>
      <c r="AN16" s="260">
        <v>250000</v>
      </c>
      <c r="AO16" s="260" t="s">
        <v>99</v>
      </c>
      <c r="AP16" s="260" t="s">
        <v>930</v>
      </c>
      <c r="AQ16" s="260" t="s">
        <v>990</v>
      </c>
    </row>
    <row r="17" spans="1:43" ht="15" thickBot="1" x14ac:dyDescent="0.35">
      <c r="A17" s="261" t="s">
        <v>395</v>
      </c>
      <c r="B17" s="261" t="s">
        <v>35</v>
      </c>
      <c r="C17" s="20">
        <v>170</v>
      </c>
      <c r="D17" s="20">
        <v>6</v>
      </c>
      <c r="E17" s="20" t="s">
        <v>28</v>
      </c>
      <c r="F17" s="261" t="s">
        <v>203</v>
      </c>
      <c r="G17" s="64">
        <v>0.14499999999999999</v>
      </c>
      <c r="H17" s="261" t="s">
        <v>342</v>
      </c>
      <c r="I17" s="261" t="s">
        <v>641</v>
      </c>
      <c r="K17" s="309">
        <f t="shared" si="0"/>
        <v>1020</v>
      </c>
      <c r="L17" s="309" t="str">
        <f t="shared" si="1"/>
        <v/>
      </c>
      <c r="M17" s="297"/>
      <c r="N17" s="297"/>
      <c r="O17" s="297"/>
      <c r="P17" s="297"/>
      <c r="Q17" s="297"/>
      <c r="R17" s="297"/>
      <c r="S17" s="297"/>
      <c r="T17" s="260"/>
      <c r="U17" s="260"/>
      <c r="V17" s="260"/>
      <c r="W17" s="260"/>
      <c r="X17" s="260"/>
      <c r="Y17" s="260"/>
      <c r="Z17" s="260"/>
      <c r="AA17" s="260"/>
      <c r="AE17" s="403" t="s">
        <v>395</v>
      </c>
      <c r="AF17" s="418" t="s">
        <v>35</v>
      </c>
      <c r="AG17" s="418">
        <v>170000</v>
      </c>
      <c r="AH17" s="418" t="s">
        <v>28</v>
      </c>
      <c r="AI17" s="418" t="s">
        <v>641</v>
      </c>
      <c r="AJ17" s="418" t="s">
        <v>990</v>
      </c>
      <c r="AL17" s="260" t="s">
        <v>820</v>
      </c>
      <c r="AM17" s="260" t="s">
        <v>26</v>
      </c>
      <c r="AN17" s="260">
        <v>250000</v>
      </c>
      <c r="AO17" s="260" t="s">
        <v>99</v>
      </c>
      <c r="AP17" s="260" t="s">
        <v>930</v>
      </c>
      <c r="AQ17" s="260" t="s">
        <v>990</v>
      </c>
    </row>
    <row r="18" spans="1:43" ht="15" thickBot="1" x14ac:dyDescent="0.35">
      <c r="A18" s="261" t="s">
        <v>658</v>
      </c>
      <c r="B18" s="261" t="s">
        <v>35</v>
      </c>
      <c r="C18" s="20">
        <v>340.61240000000004</v>
      </c>
      <c r="D18" s="20">
        <v>8.2758620689655178</v>
      </c>
      <c r="E18" s="20" t="s">
        <v>28</v>
      </c>
      <c r="F18" s="261" t="s">
        <v>91</v>
      </c>
      <c r="G18" s="64">
        <v>0.107</v>
      </c>
      <c r="H18" s="261" t="s">
        <v>342</v>
      </c>
      <c r="I18" s="261" t="s">
        <v>252</v>
      </c>
      <c r="K18" s="309">
        <f t="shared" si="0"/>
        <v>2818.8612413793107</v>
      </c>
      <c r="L18" s="309" t="str">
        <f t="shared" si="1"/>
        <v/>
      </c>
      <c r="M18" s="297"/>
      <c r="N18" s="297"/>
      <c r="O18" s="297"/>
      <c r="P18" s="297"/>
      <c r="Q18" s="297"/>
      <c r="R18" s="297"/>
      <c r="S18" s="297"/>
      <c r="T18" s="260"/>
      <c r="U18" s="260"/>
      <c r="V18" s="260"/>
      <c r="W18" s="260"/>
      <c r="X18" s="260"/>
      <c r="Y18" s="260"/>
      <c r="Z18" s="260"/>
      <c r="AA18" s="260"/>
      <c r="AE18" s="332" t="s">
        <v>658</v>
      </c>
      <c r="AF18" s="328" t="s">
        <v>35</v>
      </c>
      <c r="AG18" s="328">
        <v>340612.4</v>
      </c>
      <c r="AH18" s="328" t="s">
        <v>91</v>
      </c>
      <c r="AI18" s="328" t="s">
        <v>252</v>
      </c>
      <c r="AJ18" s="328" t="s">
        <v>990</v>
      </c>
      <c r="AL18" s="260" t="s">
        <v>821</v>
      </c>
      <c r="AM18" s="260" t="s">
        <v>26</v>
      </c>
      <c r="AN18" s="260">
        <v>250000</v>
      </c>
      <c r="AO18" s="260" t="s">
        <v>99</v>
      </c>
      <c r="AP18" s="260" t="s">
        <v>930</v>
      </c>
      <c r="AQ18" s="260" t="s">
        <v>990</v>
      </c>
    </row>
    <row r="19" spans="1:43" ht="15" thickBot="1" x14ac:dyDescent="0.35">
      <c r="A19" s="261" t="s">
        <v>697</v>
      </c>
      <c r="B19" s="261" t="s">
        <v>35</v>
      </c>
      <c r="C19" s="20">
        <v>352.35759999999999</v>
      </c>
      <c r="D19" s="20">
        <v>6.71</v>
      </c>
      <c r="E19" s="20" t="s">
        <v>28</v>
      </c>
      <c r="F19" s="261" t="s">
        <v>21</v>
      </c>
      <c r="G19" s="64" t="s">
        <v>28</v>
      </c>
      <c r="H19" s="261" t="s">
        <v>1070</v>
      </c>
      <c r="I19" s="261" t="s">
        <v>641</v>
      </c>
      <c r="K19" s="309">
        <f t="shared" si="0"/>
        <v>2364.3194960000001</v>
      </c>
      <c r="L19" s="309" t="str">
        <f t="shared" si="1"/>
        <v/>
      </c>
      <c r="M19" s="297"/>
      <c r="N19" s="297"/>
      <c r="O19" s="297"/>
      <c r="P19" s="297"/>
      <c r="Q19" s="297"/>
      <c r="R19" s="297"/>
      <c r="S19" s="297"/>
      <c r="T19" s="260"/>
      <c r="U19" s="260"/>
      <c r="V19" s="260"/>
      <c r="W19" s="260"/>
      <c r="X19" s="260"/>
      <c r="Y19" s="260"/>
      <c r="Z19" s="260"/>
      <c r="AA19" s="260"/>
      <c r="AE19" s="403" t="s">
        <v>697</v>
      </c>
      <c r="AF19" s="418" t="s">
        <v>35</v>
      </c>
      <c r="AG19" s="418">
        <v>352357.6</v>
      </c>
      <c r="AH19" s="418" t="s">
        <v>21</v>
      </c>
      <c r="AI19" s="418" t="s">
        <v>641</v>
      </c>
      <c r="AJ19" s="418" t="s">
        <v>990</v>
      </c>
      <c r="AL19" s="260" t="s">
        <v>822</v>
      </c>
      <c r="AM19" s="260" t="s">
        <v>26</v>
      </c>
      <c r="AN19" s="260">
        <v>250000</v>
      </c>
      <c r="AO19" s="260" t="s">
        <v>99</v>
      </c>
      <c r="AP19" s="260" t="s">
        <v>930</v>
      </c>
      <c r="AQ19" s="260" t="s">
        <v>990</v>
      </c>
    </row>
    <row r="20" spans="1:43" ht="15" thickBot="1" x14ac:dyDescent="0.35">
      <c r="A20" s="261" t="s">
        <v>396</v>
      </c>
      <c r="B20" s="261" t="s">
        <v>35</v>
      </c>
      <c r="C20" s="20">
        <v>700</v>
      </c>
      <c r="D20" s="20">
        <v>6.711573847061203</v>
      </c>
      <c r="E20" s="20" t="s">
        <v>28</v>
      </c>
      <c r="F20" s="261" t="s">
        <v>203</v>
      </c>
      <c r="G20" s="64" t="s">
        <v>28</v>
      </c>
      <c r="H20" s="261" t="s">
        <v>1070</v>
      </c>
      <c r="I20" s="261" t="s">
        <v>352</v>
      </c>
      <c r="K20" s="309">
        <f t="shared" si="0"/>
        <v>4698.1016929428424</v>
      </c>
      <c r="L20" s="309" t="str">
        <f t="shared" si="1"/>
        <v/>
      </c>
      <c r="M20" s="297"/>
      <c r="N20" s="297"/>
      <c r="O20" s="297"/>
      <c r="P20" s="297"/>
      <c r="Q20" s="297"/>
      <c r="R20" s="297"/>
      <c r="S20" s="297"/>
      <c r="T20" s="260"/>
      <c r="U20" s="260"/>
      <c r="V20" s="260"/>
      <c r="W20" s="260"/>
      <c r="X20" s="260"/>
      <c r="Y20" s="260"/>
      <c r="Z20" s="260"/>
      <c r="AA20" s="260"/>
      <c r="AE20" s="332" t="s">
        <v>396</v>
      </c>
      <c r="AF20" s="328" t="s">
        <v>35</v>
      </c>
      <c r="AG20" s="328">
        <v>700000</v>
      </c>
      <c r="AH20" s="328" t="s">
        <v>28</v>
      </c>
      <c r="AI20" s="328" t="s">
        <v>989</v>
      </c>
      <c r="AJ20" s="328" t="s">
        <v>990</v>
      </c>
      <c r="AL20" s="260" t="s">
        <v>819</v>
      </c>
      <c r="AM20" s="260" t="s">
        <v>26</v>
      </c>
      <c r="AN20" s="260">
        <v>13000</v>
      </c>
      <c r="AO20" s="260" t="s">
        <v>99</v>
      </c>
      <c r="AP20" s="260" t="s">
        <v>252</v>
      </c>
      <c r="AQ20" s="260" t="s">
        <v>986</v>
      </c>
    </row>
    <row r="21" spans="1:43" ht="15" thickBot="1" x14ac:dyDescent="0.35">
      <c r="A21" s="261" t="s">
        <v>996</v>
      </c>
      <c r="B21" s="261" t="s">
        <v>424</v>
      </c>
      <c r="C21" s="20">
        <v>1</v>
      </c>
      <c r="D21" s="20">
        <v>11.15799152073925</v>
      </c>
      <c r="E21" s="20">
        <v>10.570728809121395</v>
      </c>
      <c r="F21" s="261" t="s">
        <v>21</v>
      </c>
      <c r="G21" s="64">
        <v>0.19600000000000001</v>
      </c>
      <c r="H21" s="261" t="s">
        <v>1069</v>
      </c>
      <c r="I21" s="261" t="s">
        <v>252</v>
      </c>
      <c r="K21" s="309">
        <f t="shared" si="0"/>
        <v>11.15799152073925</v>
      </c>
      <c r="L21" s="309">
        <f t="shared" si="1"/>
        <v>10.570728809121395</v>
      </c>
      <c r="M21" s="297"/>
      <c r="N21" s="297"/>
      <c r="O21" s="297"/>
      <c r="P21" s="297"/>
      <c r="Q21" s="297"/>
      <c r="R21" s="297"/>
      <c r="S21" s="297"/>
      <c r="T21" s="260"/>
      <c r="U21" s="260"/>
      <c r="V21" s="260"/>
      <c r="W21" s="260"/>
      <c r="X21" s="260"/>
      <c r="Y21" s="260"/>
      <c r="Z21" s="260"/>
      <c r="AA21" s="260"/>
      <c r="AE21" s="403" t="s">
        <v>996</v>
      </c>
      <c r="AF21" s="418" t="s">
        <v>424</v>
      </c>
      <c r="AG21" s="418">
        <v>1000</v>
      </c>
      <c r="AH21" s="418" t="s">
        <v>21</v>
      </c>
      <c r="AI21" s="418" t="s">
        <v>252</v>
      </c>
      <c r="AJ21" s="418" t="s">
        <v>986</v>
      </c>
      <c r="AL21" s="260" t="s">
        <v>838</v>
      </c>
      <c r="AM21" s="260" t="s">
        <v>35</v>
      </c>
      <c r="AN21" s="260">
        <v>100000</v>
      </c>
      <c r="AO21" s="260" t="s">
        <v>99</v>
      </c>
      <c r="AP21" s="260" t="s">
        <v>252</v>
      </c>
      <c r="AQ21" s="260" t="s">
        <v>990</v>
      </c>
    </row>
    <row r="22" spans="1:43" ht="15" thickBot="1" x14ac:dyDescent="0.35">
      <c r="A22" s="261" t="s">
        <v>997</v>
      </c>
      <c r="B22" s="261" t="s">
        <v>26</v>
      </c>
      <c r="C22" s="20">
        <v>1</v>
      </c>
      <c r="D22" s="20">
        <v>5.8726271161785526</v>
      </c>
      <c r="E22" s="20">
        <v>5.8726271161785526</v>
      </c>
      <c r="F22" s="261" t="s">
        <v>21</v>
      </c>
      <c r="G22" s="64" t="s">
        <v>28</v>
      </c>
      <c r="H22" s="261" t="s">
        <v>1069</v>
      </c>
      <c r="I22" s="261" t="s">
        <v>352</v>
      </c>
      <c r="K22" s="309">
        <f t="shared" si="0"/>
        <v>5.8726271161785526</v>
      </c>
      <c r="L22" s="309">
        <f t="shared" si="1"/>
        <v>5.8726271161785526</v>
      </c>
      <c r="M22" s="297"/>
      <c r="N22" s="297"/>
      <c r="O22" s="297"/>
      <c r="P22" s="297"/>
      <c r="Q22" s="297"/>
      <c r="R22" s="297"/>
      <c r="S22" s="297"/>
      <c r="T22" s="260"/>
      <c r="U22" s="260"/>
      <c r="V22" s="260"/>
      <c r="W22" s="260"/>
      <c r="X22" s="260"/>
      <c r="Y22" s="260"/>
      <c r="Z22" s="260"/>
      <c r="AA22" s="260"/>
      <c r="AE22" s="332" t="s">
        <v>997</v>
      </c>
      <c r="AF22" s="328" t="s">
        <v>26</v>
      </c>
      <c r="AG22" s="328">
        <v>1000</v>
      </c>
      <c r="AH22" s="328" t="s">
        <v>21</v>
      </c>
      <c r="AI22" s="328" t="s">
        <v>352</v>
      </c>
      <c r="AJ22" s="328" t="s">
        <v>986</v>
      </c>
      <c r="AL22" s="260" t="s">
        <v>1072</v>
      </c>
      <c r="AM22" s="260" t="s">
        <v>35</v>
      </c>
      <c r="AN22" s="260">
        <v>150000</v>
      </c>
      <c r="AO22" s="260" t="s">
        <v>99</v>
      </c>
      <c r="AP22" s="260" t="s">
        <v>252</v>
      </c>
      <c r="AQ22" s="260" t="s">
        <v>990</v>
      </c>
    </row>
    <row r="23" spans="1:43" ht="15" thickBot="1" x14ac:dyDescent="0.35">
      <c r="A23" s="261" t="s">
        <v>419</v>
      </c>
      <c r="B23" s="261" t="s">
        <v>26</v>
      </c>
      <c r="C23" s="20">
        <v>1</v>
      </c>
      <c r="D23" s="20">
        <v>12.584269662921347</v>
      </c>
      <c r="E23" s="20">
        <v>8.8764044943820224</v>
      </c>
      <c r="F23" s="261" t="s">
        <v>21</v>
      </c>
      <c r="G23" s="64">
        <v>0.19600000000000001</v>
      </c>
      <c r="H23" s="261" t="s">
        <v>1069</v>
      </c>
      <c r="I23" s="261" t="s">
        <v>252</v>
      </c>
      <c r="K23" s="309">
        <f t="shared" si="0"/>
        <v>12.584269662921347</v>
      </c>
      <c r="L23" s="309">
        <f t="shared" si="1"/>
        <v>8.8764044943820224</v>
      </c>
      <c r="M23" s="297"/>
      <c r="N23" s="297"/>
      <c r="O23" s="297"/>
      <c r="P23" s="297"/>
      <c r="Q23" s="297"/>
      <c r="R23" s="297"/>
      <c r="S23" s="297"/>
      <c r="T23" s="260"/>
      <c r="U23" s="260"/>
      <c r="V23" s="260"/>
      <c r="W23" s="260"/>
      <c r="X23" s="260"/>
      <c r="Y23" s="260"/>
      <c r="Z23" s="260"/>
      <c r="AA23" s="260"/>
      <c r="AE23" s="403" t="s">
        <v>419</v>
      </c>
      <c r="AF23" s="418" t="s">
        <v>26</v>
      </c>
      <c r="AG23" s="418">
        <v>1000</v>
      </c>
      <c r="AH23" s="418" t="s">
        <v>21</v>
      </c>
      <c r="AI23" s="418" t="s">
        <v>252</v>
      </c>
      <c r="AJ23" s="418" t="s">
        <v>986</v>
      </c>
      <c r="AL23" s="260" t="s">
        <v>280</v>
      </c>
      <c r="AM23" s="260" t="s">
        <v>26</v>
      </c>
      <c r="AN23" s="260">
        <v>150000</v>
      </c>
      <c r="AO23" s="260" t="s">
        <v>99</v>
      </c>
      <c r="AP23" s="260" t="s">
        <v>930</v>
      </c>
      <c r="AQ23" s="260" t="s">
        <v>990</v>
      </c>
    </row>
    <row r="24" spans="1:43" ht="15" thickBot="1" x14ac:dyDescent="0.35">
      <c r="A24" s="261" t="s">
        <v>998</v>
      </c>
      <c r="B24" s="261" t="s">
        <v>26</v>
      </c>
      <c r="C24" s="20">
        <v>1.014</v>
      </c>
      <c r="D24" s="20">
        <v>11.583090958932056</v>
      </c>
      <c r="E24" s="20">
        <v>6.8340236657699132</v>
      </c>
      <c r="F24" s="261" t="s">
        <v>139</v>
      </c>
      <c r="G24" s="64">
        <v>0.14399999999999999</v>
      </c>
      <c r="H24" s="261" t="s">
        <v>1069</v>
      </c>
      <c r="I24" s="261" t="s">
        <v>252</v>
      </c>
      <c r="K24" s="309">
        <f t="shared" si="0"/>
        <v>11.745254232357105</v>
      </c>
      <c r="L24" s="309">
        <f t="shared" si="1"/>
        <v>6.9296999970906921</v>
      </c>
      <c r="M24" s="297"/>
      <c r="N24" s="297"/>
      <c r="O24" s="297"/>
      <c r="P24" s="297"/>
      <c r="Q24" s="297"/>
      <c r="R24" s="297"/>
      <c r="S24" s="297"/>
      <c r="T24" s="260"/>
      <c r="U24" s="260"/>
      <c r="V24" s="260"/>
      <c r="W24" s="260"/>
      <c r="X24" s="260"/>
      <c r="Y24" s="260"/>
      <c r="Z24" s="260"/>
      <c r="AA24" s="260"/>
      <c r="AE24" s="332" t="s">
        <v>998</v>
      </c>
      <c r="AF24" s="328" t="s">
        <v>26</v>
      </c>
      <c r="AG24" s="328">
        <v>1014</v>
      </c>
      <c r="AH24" s="328" t="s">
        <v>139</v>
      </c>
      <c r="AI24" s="328" t="s">
        <v>252</v>
      </c>
      <c r="AJ24" s="328" t="s">
        <v>986</v>
      </c>
      <c r="AL24" s="260" t="s">
        <v>1073</v>
      </c>
      <c r="AM24" s="260" t="s">
        <v>3</v>
      </c>
      <c r="AN24" s="260">
        <v>200000</v>
      </c>
      <c r="AO24" s="260" t="s">
        <v>99</v>
      </c>
      <c r="AP24" s="260" t="s">
        <v>930</v>
      </c>
      <c r="AQ24" s="260" t="s">
        <v>990</v>
      </c>
    </row>
    <row r="25" spans="1:43" ht="15" thickBot="1" x14ac:dyDescent="0.35">
      <c r="A25" s="261" t="s">
        <v>999</v>
      </c>
      <c r="B25" s="261" t="s">
        <v>26</v>
      </c>
      <c r="C25" s="20">
        <v>1.0469999999999999</v>
      </c>
      <c r="D25" s="20">
        <v>7.6282453467075744</v>
      </c>
      <c r="E25" s="20">
        <v>7.6282453467075744</v>
      </c>
      <c r="F25" s="261" t="s">
        <v>732</v>
      </c>
      <c r="G25" s="64">
        <v>0.25</v>
      </c>
      <c r="H25" s="261" t="s">
        <v>1069</v>
      </c>
      <c r="I25" s="261" t="s">
        <v>352</v>
      </c>
      <c r="K25" s="309">
        <f t="shared" si="0"/>
        <v>7.9867728780028298</v>
      </c>
      <c r="L25" s="309">
        <f t="shared" si="1"/>
        <v>7.9867728780028298</v>
      </c>
      <c r="M25" s="297"/>
      <c r="N25" s="297"/>
      <c r="O25" s="297"/>
      <c r="P25" s="297"/>
      <c r="Q25" s="297"/>
      <c r="R25" s="297"/>
      <c r="S25" s="297"/>
      <c r="T25" s="260"/>
      <c r="U25" s="260"/>
      <c r="V25" s="260"/>
      <c r="W25" s="260"/>
      <c r="X25" s="260"/>
      <c r="Y25" s="260"/>
      <c r="Z25" s="260"/>
      <c r="AA25" s="260"/>
      <c r="AE25" s="403" t="s">
        <v>999</v>
      </c>
      <c r="AF25" s="418" t="s">
        <v>26</v>
      </c>
      <c r="AG25" s="418">
        <v>1047</v>
      </c>
      <c r="AH25" s="418" t="s">
        <v>139</v>
      </c>
      <c r="AI25" s="418" t="s">
        <v>352</v>
      </c>
      <c r="AJ25" s="418" t="s">
        <v>986</v>
      </c>
      <c r="AL25" s="260" t="s">
        <v>1074</v>
      </c>
      <c r="AM25" s="260" t="s">
        <v>26</v>
      </c>
      <c r="AN25" s="260">
        <v>370000</v>
      </c>
      <c r="AO25" s="260" t="s">
        <v>99</v>
      </c>
      <c r="AP25" s="260" t="s">
        <v>930</v>
      </c>
      <c r="AQ25" s="260" t="s">
        <v>990</v>
      </c>
    </row>
    <row r="26" spans="1:43" ht="15" thickBot="1" x14ac:dyDescent="0.35">
      <c r="A26" s="261" t="s">
        <v>1000</v>
      </c>
      <c r="B26" s="261" t="s">
        <v>26</v>
      </c>
      <c r="C26" s="20">
        <v>1.0889599999999999</v>
      </c>
      <c r="D26" s="20">
        <v>8.6609515280859952</v>
      </c>
      <c r="E26" s="20">
        <v>6.6237214202217425</v>
      </c>
      <c r="F26" s="261" t="s">
        <v>21</v>
      </c>
      <c r="G26" s="64">
        <v>0.14799999999999999</v>
      </c>
      <c r="H26" s="261" t="s">
        <v>1069</v>
      </c>
      <c r="I26" s="261" t="s">
        <v>641</v>
      </c>
      <c r="K26" s="309">
        <f t="shared" si="0"/>
        <v>9.4314297760245243</v>
      </c>
      <c r="L26" s="309">
        <f t="shared" si="1"/>
        <v>7.2129676777646683</v>
      </c>
      <c r="M26" s="297"/>
      <c r="N26" s="297"/>
      <c r="O26" s="297"/>
      <c r="P26" s="297"/>
      <c r="Q26" s="297"/>
      <c r="R26" s="297"/>
      <c r="S26" s="297"/>
      <c r="T26" s="260"/>
      <c r="U26" s="260"/>
      <c r="V26" s="260"/>
      <c r="W26" s="260"/>
      <c r="X26" s="260"/>
      <c r="Y26" s="260"/>
      <c r="Z26" s="260"/>
      <c r="AA26" s="260"/>
      <c r="AE26" s="332" t="s">
        <v>1000</v>
      </c>
      <c r="AF26" s="328" t="s">
        <v>26</v>
      </c>
      <c r="AG26" s="328">
        <v>1088.96</v>
      </c>
      <c r="AH26" s="328" t="s">
        <v>21</v>
      </c>
      <c r="AI26" s="328" t="s">
        <v>641</v>
      </c>
      <c r="AJ26" s="328" t="s">
        <v>990</v>
      </c>
      <c r="AL26" s="260" t="s">
        <v>275</v>
      </c>
      <c r="AM26" s="260" t="s">
        <v>107</v>
      </c>
      <c r="AN26" s="260">
        <v>110000</v>
      </c>
      <c r="AO26" s="260" t="s">
        <v>99</v>
      </c>
      <c r="AP26" s="260" t="s">
        <v>252</v>
      </c>
      <c r="AQ26" s="260" t="s">
        <v>986</v>
      </c>
    </row>
    <row r="27" spans="1:43" ht="15" thickBot="1" x14ac:dyDescent="0.35">
      <c r="A27" s="261" t="s">
        <v>1001</v>
      </c>
      <c r="B27" s="261" t="s">
        <v>26</v>
      </c>
      <c r="C27" s="20">
        <v>1.1020799999999999</v>
      </c>
      <c r="D27" s="20">
        <v>9.7388473965896711</v>
      </c>
      <c r="E27" s="20">
        <v>7.0704032099241019</v>
      </c>
      <c r="F27" s="261" t="s">
        <v>21</v>
      </c>
      <c r="G27" s="64">
        <v>0.14799999999999999</v>
      </c>
      <c r="H27" s="261" t="s">
        <v>1069</v>
      </c>
      <c r="I27" s="261" t="s">
        <v>641</v>
      </c>
      <c r="K27" s="309">
        <f t="shared" si="0"/>
        <v>10.732988938833545</v>
      </c>
      <c r="L27" s="309">
        <f t="shared" si="1"/>
        <v>7.7921499695931535</v>
      </c>
      <c r="M27" s="297"/>
      <c r="N27" s="297"/>
      <c r="O27" s="297"/>
      <c r="P27" s="297"/>
      <c r="Q27" s="297"/>
      <c r="R27" s="297"/>
      <c r="S27" s="297"/>
      <c r="T27" s="260"/>
      <c r="U27" s="260"/>
      <c r="V27" s="260"/>
      <c r="W27" s="260"/>
      <c r="X27" s="260"/>
      <c r="Y27" s="260"/>
      <c r="Z27" s="260"/>
      <c r="AA27" s="260"/>
      <c r="AE27" s="403" t="s">
        <v>1001</v>
      </c>
      <c r="AF27" s="418" t="s">
        <v>26</v>
      </c>
      <c r="AG27" s="418">
        <v>1102.08</v>
      </c>
      <c r="AH27" s="418" t="s">
        <v>21</v>
      </c>
      <c r="AI27" s="418" t="s">
        <v>641</v>
      </c>
      <c r="AJ27" s="418" t="s">
        <v>990</v>
      </c>
    </row>
    <row r="28" spans="1:43" ht="15" thickBot="1" x14ac:dyDescent="0.35">
      <c r="A28" s="261" t="s">
        <v>1002</v>
      </c>
      <c r="B28" s="261" t="s">
        <v>26</v>
      </c>
      <c r="C28" s="20">
        <v>1.1200000000000001</v>
      </c>
      <c r="D28" s="20">
        <v>12.10180659298223</v>
      </c>
      <c r="E28" s="20">
        <v>7.9699939433851776</v>
      </c>
      <c r="F28" s="261" t="s">
        <v>21</v>
      </c>
      <c r="G28" s="64">
        <v>0.19</v>
      </c>
      <c r="H28" s="261" t="s">
        <v>1069</v>
      </c>
      <c r="I28" s="261" t="s">
        <v>252</v>
      </c>
      <c r="K28" s="309">
        <f t="shared" si="0"/>
        <v>13.554023384140098</v>
      </c>
      <c r="L28" s="309">
        <f t="shared" si="1"/>
        <v>8.9263932165913999</v>
      </c>
      <c r="M28" s="297"/>
      <c r="N28" s="297"/>
      <c r="O28" s="297"/>
      <c r="P28" s="297"/>
      <c r="Q28" s="297"/>
      <c r="R28" s="297"/>
      <c r="S28" s="297"/>
      <c r="T28" s="260"/>
      <c r="U28" s="260"/>
      <c r="V28" s="260"/>
      <c r="W28" s="260"/>
      <c r="X28" s="260"/>
      <c r="Y28" s="260"/>
      <c r="Z28" s="260"/>
      <c r="AA28" s="260"/>
      <c r="AE28" s="332" t="s">
        <v>1002</v>
      </c>
      <c r="AF28" s="328" t="s">
        <v>26</v>
      </c>
      <c r="AG28" s="328">
        <v>1120</v>
      </c>
      <c r="AH28" s="328" t="s">
        <v>21</v>
      </c>
      <c r="AI28" s="328" t="s">
        <v>252</v>
      </c>
      <c r="AJ28" s="328" t="s">
        <v>986</v>
      </c>
    </row>
    <row r="29" spans="1:43" ht="15" thickBot="1" x14ac:dyDescent="0.35">
      <c r="A29" s="261" t="s">
        <v>1003</v>
      </c>
      <c r="B29" s="261" t="s">
        <v>26</v>
      </c>
      <c r="C29" s="20">
        <v>1.1592</v>
      </c>
      <c r="D29" s="20">
        <v>11.4</v>
      </c>
      <c r="E29" s="20">
        <v>7.44</v>
      </c>
      <c r="F29" s="261" t="s">
        <v>21</v>
      </c>
      <c r="G29" s="64">
        <v>0.13600000000000001</v>
      </c>
      <c r="H29" s="261" t="s">
        <v>1069</v>
      </c>
      <c r="I29" s="261" t="s">
        <v>352</v>
      </c>
      <c r="K29" s="309">
        <f t="shared" si="0"/>
        <v>13.214880000000001</v>
      </c>
      <c r="L29" s="309">
        <f t="shared" si="1"/>
        <v>8.624448000000001</v>
      </c>
      <c r="M29" s="297"/>
      <c r="N29" s="297"/>
      <c r="O29" s="297"/>
      <c r="P29" s="297"/>
      <c r="Q29" s="297"/>
      <c r="R29" s="297"/>
      <c r="S29" s="297"/>
      <c r="T29" s="260"/>
      <c r="U29" s="260"/>
      <c r="V29" s="260"/>
      <c r="W29" s="260"/>
      <c r="X29" s="260"/>
      <c r="Y29" s="260"/>
      <c r="Z29" s="260"/>
      <c r="AA29" s="260"/>
      <c r="AE29" s="403" t="s">
        <v>1003</v>
      </c>
      <c r="AF29" s="418" t="s">
        <v>26</v>
      </c>
      <c r="AG29" s="418">
        <v>1159.2</v>
      </c>
      <c r="AH29" s="418" t="s">
        <v>21</v>
      </c>
      <c r="AI29" s="418" t="s">
        <v>352</v>
      </c>
      <c r="AJ29" s="418" t="s">
        <v>986</v>
      </c>
    </row>
    <row r="30" spans="1:43" ht="15" thickBot="1" x14ac:dyDescent="0.35">
      <c r="A30" s="261" t="s">
        <v>1004</v>
      </c>
      <c r="B30" s="261" t="s">
        <v>26</v>
      </c>
      <c r="C30" s="20">
        <v>1.1600999999999999</v>
      </c>
      <c r="D30" s="20">
        <v>7.260609891230863</v>
      </c>
      <c r="E30" s="20">
        <v>4.1513487132919158</v>
      </c>
      <c r="F30" s="261" t="s">
        <v>91</v>
      </c>
      <c r="G30" s="64">
        <v>0.14180000000000001</v>
      </c>
      <c r="H30" s="261" t="s">
        <v>1069</v>
      </c>
      <c r="I30" s="261" t="s">
        <v>641</v>
      </c>
      <c r="K30" s="309">
        <f t="shared" si="0"/>
        <v>8.4230335348169234</v>
      </c>
      <c r="L30" s="309">
        <f t="shared" si="1"/>
        <v>4.8159796422899515</v>
      </c>
      <c r="M30" s="297"/>
      <c r="N30" s="297"/>
      <c r="O30" s="297"/>
      <c r="P30" s="297"/>
      <c r="Q30" s="297"/>
      <c r="R30" s="297"/>
      <c r="S30" s="297"/>
      <c r="T30" s="260"/>
      <c r="U30" s="260"/>
      <c r="V30" s="260"/>
      <c r="W30" s="260"/>
      <c r="X30" s="260"/>
      <c r="Y30" s="260"/>
      <c r="Z30" s="260"/>
      <c r="AA30" s="260"/>
      <c r="AE30" s="332" t="s">
        <v>1004</v>
      </c>
      <c r="AF30" s="328" t="s">
        <v>26</v>
      </c>
      <c r="AG30" s="328">
        <v>1160.0999999999999</v>
      </c>
      <c r="AH30" s="328" t="s">
        <v>91</v>
      </c>
      <c r="AI30" s="328" t="s">
        <v>641</v>
      </c>
      <c r="AJ30" s="328" t="s">
        <v>990</v>
      </c>
    </row>
    <row r="31" spans="1:43" ht="15" thickBot="1" x14ac:dyDescent="0.35">
      <c r="A31" s="261" t="s">
        <v>1005</v>
      </c>
      <c r="B31" s="261" t="s">
        <v>26</v>
      </c>
      <c r="C31" s="20">
        <v>1.1795199999999999</v>
      </c>
      <c r="D31" s="20">
        <v>12.184660386493812</v>
      </c>
      <c r="E31" s="20">
        <v>7.6342472330876303</v>
      </c>
      <c r="F31" s="261" t="s">
        <v>21</v>
      </c>
      <c r="G31" s="64">
        <v>0.12720000000000001</v>
      </c>
      <c r="H31" s="261" t="s">
        <v>1069</v>
      </c>
      <c r="I31" s="261" t="s">
        <v>641</v>
      </c>
      <c r="K31" s="309">
        <f t="shared" si="0"/>
        <v>14.37205061907718</v>
      </c>
      <c r="L31" s="309">
        <f t="shared" si="1"/>
        <v>9.0047472963715212</v>
      </c>
      <c r="M31" s="297"/>
      <c r="N31" s="297"/>
      <c r="O31" s="297"/>
      <c r="P31" s="297"/>
      <c r="Q31" s="297"/>
      <c r="R31" s="297"/>
      <c r="S31" s="297"/>
      <c r="T31" s="260"/>
      <c r="U31" s="260"/>
      <c r="V31" s="260"/>
      <c r="W31" s="260"/>
      <c r="X31" s="260"/>
      <c r="Y31" s="260"/>
      <c r="Z31" s="260"/>
      <c r="AA31" s="260"/>
      <c r="AE31" s="403" t="s">
        <v>1005</v>
      </c>
      <c r="AF31" s="418" t="s">
        <v>26</v>
      </c>
      <c r="AG31" s="418">
        <v>1179.52</v>
      </c>
      <c r="AH31" s="418" t="s">
        <v>21</v>
      </c>
      <c r="AI31" s="418" t="s">
        <v>641</v>
      </c>
      <c r="AJ31" s="418" t="s">
        <v>990</v>
      </c>
    </row>
    <row r="32" spans="1:43" ht="15" thickBot="1" x14ac:dyDescent="0.35">
      <c r="A32" s="261" t="s">
        <v>1006</v>
      </c>
      <c r="B32" s="261" t="s">
        <v>26</v>
      </c>
      <c r="C32" s="20">
        <v>1.25</v>
      </c>
      <c r="D32" s="20">
        <v>7.9867728780028315</v>
      </c>
      <c r="E32" s="20">
        <v>6.4833803362611224</v>
      </c>
      <c r="F32" s="261" t="s">
        <v>91</v>
      </c>
      <c r="G32" s="64">
        <v>0.107</v>
      </c>
      <c r="H32" s="261" t="s">
        <v>1069</v>
      </c>
      <c r="I32" s="261" t="s">
        <v>252</v>
      </c>
      <c r="K32" s="309">
        <f t="shared" si="0"/>
        <v>9.9834660975035394</v>
      </c>
      <c r="L32" s="309">
        <f t="shared" si="1"/>
        <v>8.1042254203264026</v>
      </c>
      <c r="M32" s="297"/>
      <c r="N32" s="297"/>
      <c r="O32" s="297"/>
      <c r="P32" s="297"/>
      <c r="Q32" s="297"/>
      <c r="R32" s="297"/>
      <c r="S32" s="297"/>
      <c r="T32" s="260"/>
      <c r="U32" s="260"/>
      <c r="V32" s="260"/>
      <c r="W32" s="260"/>
      <c r="X32" s="260"/>
      <c r="Y32" s="260"/>
      <c r="Z32" s="260"/>
      <c r="AA32" s="260"/>
      <c r="AE32" s="332" t="s">
        <v>1006</v>
      </c>
      <c r="AF32" s="328" t="s">
        <v>26</v>
      </c>
      <c r="AG32" s="328">
        <v>1250</v>
      </c>
      <c r="AH32" s="328" t="s">
        <v>91</v>
      </c>
      <c r="AI32" s="328" t="s">
        <v>252</v>
      </c>
      <c r="AJ32" s="328" t="s">
        <v>986</v>
      </c>
    </row>
    <row r="33" spans="1:36" ht="15" thickBot="1" x14ac:dyDescent="0.35">
      <c r="A33" s="261" t="s">
        <v>1007</v>
      </c>
      <c r="B33" s="261" t="s">
        <v>26</v>
      </c>
      <c r="C33" s="20">
        <v>1.2909999999999999</v>
      </c>
      <c r="D33" s="20">
        <v>8.1880161186068126</v>
      </c>
      <c r="E33" s="20">
        <v>5.4586774124045414</v>
      </c>
      <c r="F33" s="261" t="s">
        <v>91</v>
      </c>
      <c r="G33" s="64" t="s">
        <v>28</v>
      </c>
      <c r="H33" s="261" t="s">
        <v>1069</v>
      </c>
      <c r="I33" s="261" t="s">
        <v>252</v>
      </c>
      <c r="K33" s="309">
        <f t="shared" si="0"/>
        <v>10.570728809121395</v>
      </c>
      <c r="L33" s="309">
        <f t="shared" si="1"/>
        <v>7.0471525394142622</v>
      </c>
      <c r="M33" s="297"/>
      <c r="N33" s="297"/>
      <c r="O33" s="297"/>
      <c r="P33" s="297"/>
      <c r="Q33" s="297"/>
      <c r="R33" s="297"/>
      <c r="S33" s="297"/>
      <c r="T33" s="260"/>
      <c r="U33" s="260"/>
      <c r="V33" s="260"/>
      <c r="W33" s="260"/>
      <c r="X33" s="260"/>
      <c r="Y33" s="260"/>
      <c r="Z33" s="260"/>
      <c r="AA33" s="260"/>
      <c r="AE33" s="403" t="s">
        <v>1007</v>
      </c>
      <c r="AF33" s="418" t="s">
        <v>26</v>
      </c>
      <c r="AG33" s="418">
        <v>1291</v>
      </c>
      <c r="AH33" s="418" t="s">
        <v>91</v>
      </c>
      <c r="AI33" s="418" t="s">
        <v>252</v>
      </c>
      <c r="AJ33" s="418" t="s">
        <v>986</v>
      </c>
    </row>
    <row r="34" spans="1:36" ht="15" thickBot="1" x14ac:dyDescent="0.35">
      <c r="A34" s="261" t="s">
        <v>513</v>
      </c>
      <c r="B34" s="261" t="s">
        <v>26</v>
      </c>
      <c r="C34" s="20">
        <v>1.4</v>
      </c>
      <c r="D34" s="20">
        <v>6.8250000000000002</v>
      </c>
      <c r="E34" s="20">
        <v>3.987166666666667</v>
      </c>
      <c r="F34" s="261" t="s">
        <v>91</v>
      </c>
      <c r="G34" s="64">
        <v>0.14199999999999999</v>
      </c>
      <c r="H34" s="261" t="s">
        <v>1069</v>
      </c>
      <c r="I34" s="261" t="s">
        <v>352</v>
      </c>
      <c r="K34" s="309">
        <f t="shared" si="0"/>
        <v>9.5549999999999997</v>
      </c>
      <c r="L34" s="309">
        <f t="shared" si="1"/>
        <v>5.5820333333333334</v>
      </c>
      <c r="M34" s="297"/>
      <c r="N34" s="297"/>
      <c r="O34" s="297"/>
      <c r="P34" s="297"/>
      <c r="Q34" s="297"/>
      <c r="R34" s="297"/>
      <c r="S34" s="297"/>
      <c r="T34" s="260"/>
      <c r="U34" s="260"/>
      <c r="V34" s="260"/>
      <c r="W34" s="260"/>
      <c r="X34" s="260"/>
      <c r="Y34" s="260"/>
      <c r="Z34" s="260"/>
      <c r="AA34" s="260"/>
      <c r="AE34" s="332" t="s">
        <v>513</v>
      </c>
      <c r="AF34" s="328" t="s">
        <v>26</v>
      </c>
      <c r="AG34" s="328">
        <v>1400</v>
      </c>
      <c r="AH34" s="328" t="s">
        <v>91</v>
      </c>
      <c r="AI34" s="328" t="s">
        <v>352</v>
      </c>
      <c r="AJ34" s="328" t="s">
        <v>986</v>
      </c>
    </row>
    <row r="35" spans="1:36" ht="15" thickBot="1" x14ac:dyDescent="0.35">
      <c r="A35" s="261" t="s">
        <v>544</v>
      </c>
      <c r="B35" s="261" t="s">
        <v>26</v>
      </c>
      <c r="C35" s="20">
        <v>2.5920000000000001</v>
      </c>
      <c r="D35" s="20">
        <v>6.85</v>
      </c>
      <c r="E35" s="20">
        <v>4.42</v>
      </c>
      <c r="F35" s="261" t="s">
        <v>91</v>
      </c>
      <c r="G35" s="64">
        <v>0.13769999999999999</v>
      </c>
      <c r="H35" s="261" t="s">
        <v>1069</v>
      </c>
      <c r="I35" s="261" t="s">
        <v>252</v>
      </c>
      <c r="K35" s="309">
        <f t="shared" si="0"/>
        <v>17.755199999999999</v>
      </c>
      <c r="L35" s="309">
        <f t="shared" si="1"/>
        <v>11.45664</v>
      </c>
      <c r="M35" s="297"/>
      <c r="N35" s="297"/>
      <c r="O35" s="297"/>
      <c r="P35" s="297"/>
      <c r="Q35" s="297"/>
      <c r="R35" s="297"/>
      <c r="S35" s="297"/>
      <c r="T35" s="260"/>
      <c r="U35" s="260"/>
      <c r="V35" s="260"/>
      <c r="W35" s="260"/>
      <c r="X35" s="260"/>
      <c r="Y35" s="260"/>
      <c r="Z35" s="260"/>
      <c r="AA35" s="260"/>
      <c r="AE35" s="403" t="s">
        <v>544</v>
      </c>
      <c r="AF35" s="418" t="s">
        <v>26</v>
      </c>
      <c r="AG35" s="418">
        <v>2592</v>
      </c>
      <c r="AH35" s="418" t="s">
        <v>91</v>
      </c>
      <c r="AI35" s="418" t="s">
        <v>252</v>
      </c>
      <c r="AJ35" s="418" t="s">
        <v>986</v>
      </c>
    </row>
    <row r="36" spans="1:36" ht="15" thickBot="1" x14ac:dyDescent="0.35">
      <c r="A36" s="261" t="s">
        <v>1008</v>
      </c>
      <c r="B36" s="261" t="s">
        <v>26</v>
      </c>
      <c r="C36" s="20">
        <v>3</v>
      </c>
      <c r="D36" s="20">
        <v>8.6131864370618771</v>
      </c>
      <c r="E36" s="20" t="s">
        <v>28</v>
      </c>
      <c r="F36" s="261" t="s">
        <v>21</v>
      </c>
      <c r="G36" s="64" t="s">
        <v>28</v>
      </c>
      <c r="H36" s="261" t="s">
        <v>1070</v>
      </c>
      <c r="I36" s="261" t="s">
        <v>352</v>
      </c>
      <c r="K36" s="309">
        <f t="shared" si="0"/>
        <v>25.839559311185631</v>
      </c>
      <c r="L36" s="309" t="str">
        <f t="shared" si="1"/>
        <v/>
      </c>
      <c r="M36" s="297"/>
      <c r="N36" s="297"/>
      <c r="O36" s="297"/>
      <c r="P36" s="297"/>
      <c r="Q36" s="297"/>
      <c r="R36" s="297"/>
      <c r="S36" s="297"/>
      <c r="T36" s="260"/>
      <c r="U36" s="260"/>
      <c r="V36" s="260"/>
      <c r="W36" s="260"/>
      <c r="X36" s="260"/>
      <c r="Y36" s="260"/>
      <c r="Z36" s="260"/>
      <c r="AA36" s="260"/>
      <c r="AE36" s="332" t="s">
        <v>1008</v>
      </c>
      <c r="AF36" s="328" t="s">
        <v>26</v>
      </c>
      <c r="AG36" s="328">
        <v>3000</v>
      </c>
      <c r="AH36" s="328" t="s">
        <v>21</v>
      </c>
      <c r="AI36" s="328" t="s">
        <v>352</v>
      </c>
      <c r="AJ36" s="328" t="s">
        <v>990</v>
      </c>
    </row>
    <row r="37" spans="1:36" ht="15" thickBot="1" x14ac:dyDescent="0.35">
      <c r="A37" s="261" t="s">
        <v>382</v>
      </c>
      <c r="B37" s="261" t="s">
        <v>26</v>
      </c>
      <c r="C37" s="20">
        <v>5</v>
      </c>
      <c r="D37" s="20">
        <v>3.0537661004128474</v>
      </c>
      <c r="E37" s="20">
        <v>3.0537661004128474</v>
      </c>
      <c r="F37" s="261" t="s">
        <v>91</v>
      </c>
      <c r="G37" s="64" t="s">
        <v>28</v>
      </c>
      <c r="H37" s="261" t="s">
        <v>1069</v>
      </c>
      <c r="I37" s="261" t="s">
        <v>352</v>
      </c>
      <c r="K37" s="309">
        <f t="shared" si="0"/>
        <v>15.268830502064237</v>
      </c>
      <c r="L37" s="309">
        <f t="shared" si="1"/>
        <v>15.268830502064237</v>
      </c>
      <c r="M37" s="297"/>
      <c r="N37" s="297"/>
      <c r="O37" s="297"/>
      <c r="P37" s="297"/>
      <c r="Q37" s="297"/>
      <c r="R37" s="297"/>
      <c r="S37" s="297"/>
      <c r="T37" s="260"/>
      <c r="U37" s="260"/>
      <c r="V37" s="260"/>
      <c r="W37" s="260"/>
      <c r="X37" s="260"/>
      <c r="Y37" s="260"/>
      <c r="Z37" s="260"/>
      <c r="AA37" s="260"/>
      <c r="AE37" s="403" t="s">
        <v>382</v>
      </c>
      <c r="AF37" s="418" t="s">
        <v>26</v>
      </c>
      <c r="AG37" s="418">
        <v>5000</v>
      </c>
      <c r="AH37" s="418" t="s">
        <v>91</v>
      </c>
      <c r="AI37" s="418" t="s">
        <v>352</v>
      </c>
      <c r="AJ37" s="418" t="s">
        <v>986</v>
      </c>
    </row>
    <row r="38" spans="1:36" ht="15" thickBot="1" x14ac:dyDescent="0.35">
      <c r="A38" s="261" t="s">
        <v>1009</v>
      </c>
      <c r="B38" s="261" t="s">
        <v>26</v>
      </c>
      <c r="C38" s="20">
        <v>6</v>
      </c>
      <c r="D38" s="20">
        <v>7.8301694882380701</v>
      </c>
      <c r="E38" s="20">
        <v>5.3832415231636732</v>
      </c>
      <c r="F38" s="261" t="s">
        <v>21</v>
      </c>
      <c r="G38" s="64" t="s">
        <v>28</v>
      </c>
      <c r="H38" s="261" t="s">
        <v>1069</v>
      </c>
      <c r="I38" s="261" t="s">
        <v>252</v>
      </c>
      <c r="K38" s="309">
        <f t="shared" si="0"/>
        <v>46.981016929428421</v>
      </c>
      <c r="L38" s="309">
        <f t="shared" si="1"/>
        <v>32.299449138982041</v>
      </c>
      <c r="M38" s="297"/>
      <c r="N38" s="297"/>
      <c r="O38" s="297"/>
      <c r="P38" s="297"/>
      <c r="Q38" s="297"/>
      <c r="R38" s="297"/>
      <c r="S38" s="297"/>
      <c r="T38" s="260"/>
      <c r="U38" s="260"/>
      <c r="V38" s="260"/>
      <c r="W38" s="260"/>
      <c r="X38" s="260"/>
      <c r="Y38" s="260"/>
      <c r="Z38" s="260"/>
      <c r="AA38" s="260"/>
      <c r="AE38" s="332" t="s">
        <v>1009</v>
      </c>
      <c r="AF38" s="328" t="s">
        <v>26</v>
      </c>
      <c r="AG38" s="328">
        <v>6000</v>
      </c>
      <c r="AH38" s="328" t="s">
        <v>21</v>
      </c>
      <c r="AI38" s="328" t="s">
        <v>1010</v>
      </c>
      <c r="AJ38" s="328" t="s">
        <v>990</v>
      </c>
    </row>
    <row r="39" spans="1:36" ht="15" thickBot="1" x14ac:dyDescent="0.35">
      <c r="A39" s="261" t="s">
        <v>173</v>
      </c>
      <c r="B39" s="261" t="s">
        <v>26</v>
      </c>
      <c r="C39" s="20">
        <v>6.2</v>
      </c>
      <c r="D39" s="20">
        <v>9.74</v>
      </c>
      <c r="E39" s="20">
        <v>7.5</v>
      </c>
      <c r="F39" s="261" t="s">
        <v>91</v>
      </c>
      <c r="G39" s="64">
        <v>0.09</v>
      </c>
      <c r="H39" s="261" t="s">
        <v>1069</v>
      </c>
      <c r="I39" s="261" t="s">
        <v>352</v>
      </c>
      <c r="K39" s="309">
        <f t="shared" si="0"/>
        <v>60.388000000000005</v>
      </c>
      <c r="L39" s="309">
        <f t="shared" si="1"/>
        <v>46.5</v>
      </c>
      <c r="M39" s="297"/>
      <c r="N39" s="297"/>
      <c r="O39" s="297"/>
      <c r="P39" s="297"/>
      <c r="Q39" s="297"/>
      <c r="R39" s="297"/>
      <c r="S39" s="297"/>
      <c r="T39" s="260"/>
      <c r="U39" s="260"/>
      <c r="V39" s="260"/>
      <c r="W39" s="260"/>
      <c r="X39" s="260"/>
      <c r="Y39" s="260"/>
      <c r="Z39" s="260"/>
      <c r="AA39" s="260"/>
      <c r="AE39" s="403" t="s">
        <v>173</v>
      </c>
      <c r="AF39" s="418" t="s">
        <v>26</v>
      </c>
      <c r="AG39" s="418">
        <v>6200</v>
      </c>
      <c r="AH39" s="418" t="s">
        <v>91</v>
      </c>
      <c r="AI39" s="418" t="s">
        <v>352</v>
      </c>
      <c r="AJ39" s="418" t="s">
        <v>986</v>
      </c>
    </row>
    <row r="40" spans="1:36" ht="15" thickBot="1" x14ac:dyDescent="0.35">
      <c r="A40" s="261" t="s">
        <v>515</v>
      </c>
      <c r="B40" s="261" t="s">
        <v>26</v>
      </c>
      <c r="C40" s="20">
        <v>6.7679999999999998</v>
      </c>
      <c r="D40" s="20">
        <v>5.5533116937858651</v>
      </c>
      <c r="E40" s="20">
        <v>4.6335444445025811</v>
      </c>
      <c r="F40" s="261" t="s">
        <v>91</v>
      </c>
      <c r="G40" s="64">
        <v>0.14099999999999999</v>
      </c>
      <c r="H40" s="261" t="s">
        <v>1069</v>
      </c>
      <c r="I40" s="261" t="s">
        <v>352</v>
      </c>
      <c r="K40" s="309">
        <f t="shared" si="0"/>
        <v>37.584813543542737</v>
      </c>
      <c r="L40" s="309">
        <f t="shared" si="1"/>
        <v>31.359828800393469</v>
      </c>
      <c r="M40" s="297"/>
      <c r="N40" s="297"/>
      <c r="O40" s="297"/>
      <c r="P40" s="297"/>
      <c r="Q40" s="297"/>
      <c r="R40" s="297"/>
      <c r="S40" s="297"/>
      <c r="T40" s="260"/>
      <c r="U40" s="260"/>
      <c r="V40" s="260"/>
      <c r="W40" s="260"/>
      <c r="X40" s="260"/>
      <c r="Y40" s="260"/>
      <c r="Z40" s="260"/>
      <c r="AA40" s="260"/>
      <c r="AE40" s="332" t="s">
        <v>515</v>
      </c>
      <c r="AF40" s="328" t="s">
        <v>26</v>
      </c>
      <c r="AG40" s="328">
        <v>6768</v>
      </c>
      <c r="AH40" s="328" t="s">
        <v>91</v>
      </c>
      <c r="AI40" s="328" t="s">
        <v>352</v>
      </c>
      <c r="AJ40" s="328" t="s">
        <v>986</v>
      </c>
    </row>
    <row r="41" spans="1:36" ht="15" thickBot="1" x14ac:dyDescent="0.35">
      <c r="A41" s="261" t="s">
        <v>628</v>
      </c>
      <c r="B41" s="261" t="s">
        <v>26</v>
      </c>
      <c r="C41" s="20">
        <v>8</v>
      </c>
      <c r="D41" s="20">
        <v>5.358772243512929</v>
      </c>
      <c r="E41" s="20" t="s">
        <v>28</v>
      </c>
      <c r="F41" s="261" t="s">
        <v>21</v>
      </c>
      <c r="G41" s="64">
        <v>0.14400000000000002</v>
      </c>
      <c r="H41" s="261" t="s">
        <v>342</v>
      </c>
      <c r="I41" s="261" t="s">
        <v>352</v>
      </c>
      <c r="K41" s="309">
        <f t="shared" si="0"/>
        <v>42.870177948103432</v>
      </c>
      <c r="L41" s="309" t="str">
        <f t="shared" si="1"/>
        <v/>
      </c>
      <c r="M41" s="297"/>
      <c r="N41" s="297"/>
      <c r="O41" s="297"/>
      <c r="P41" s="297"/>
      <c r="Q41" s="297"/>
      <c r="R41" s="297"/>
      <c r="S41" s="297"/>
      <c r="T41" s="260"/>
      <c r="U41" s="260"/>
      <c r="V41" s="260"/>
      <c r="W41" s="260"/>
      <c r="X41" s="260"/>
      <c r="Y41" s="260"/>
      <c r="Z41" s="260"/>
      <c r="AA41" s="260"/>
      <c r="AE41" s="403" t="s">
        <v>628</v>
      </c>
      <c r="AF41" s="418" t="s">
        <v>26</v>
      </c>
      <c r="AG41" s="418">
        <v>8000</v>
      </c>
      <c r="AH41" s="418" t="s">
        <v>21</v>
      </c>
      <c r="AI41" s="418" t="s">
        <v>352</v>
      </c>
      <c r="AJ41" s="418" t="s">
        <v>990</v>
      </c>
    </row>
    <row r="42" spans="1:36" ht="15" thickBot="1" x14ac:dyDescent="0.35">
      <c r="A42" s="261" t="s">
        <v>1011</v>
      </c>
      <c r="B42" s="261" t="s">
        <v>26</v>
      </c>
      <c r="C42" s="20">
        <v>12</v>
      </c>
      <c r="D42" s="20">
        <v>7.8563829787234036</v>
      </c>
      <c r="E42" s="20">
        <v>5.8645744680851069</v>
      </c>
      <c r="F42" s="261" t="s">
        <v>21</v>
      </c>
      <c r="G42" s="64">
        <v>0.14699999999999999</v>
      </c>
      <c r="H42" s="261" t="s">
        <v>1069</v>
      </c>
      <c r="I42" s="261" t="s">
        <v>252</v>
      </c>
      <c r="K42" s="309">
        <f t="shared" si="0"/>
        <v>94.276595744680847</v>
      </c>
      <c r="L42" s="309">
        <f t="shared" si="1"/>
        <v>70.374893617021286</v>
      </c>
      <c r="M42" s="297"/>
      <c r="N42" s="297"/>
      <c r="O42" s="297"/>
      <c r="P42" s="297"/>
      <c r="Q42" s="297"/>
      <c r="R42" s="297"/>
      <c r="S42" s="297"/>
      <c r="T42" s="260"/>
      <c r="U42" s="260"/>
      <c r="V42" s="260"/>
      <c r="W42" s="260"/>
      <c r="X42" s="260"/>
      <c r="Y42" s="260"/>
      <c r="Z42" s="260"/>
      <c r="AA42" s="260"/>
      <c r="AE42" s="332" t="s">
        <v>1011</v>
      </c>
      <c r="AF42" s="328" t="s">
        <v>26</v>
      </c>
      <c r="AG42" s="328">
        <v>12000</v>
      </c>
      <c r="AH42" s="328" t="s">
        <v>21</v>
      </c>
      <c r="AI42" s="328" t="s">
        <v>252</v>
      </c>
      <c r="AJ42" s="328" t="s">
        <v>986</v>
      </c>
    </row>
    <row r="43" spans="1:36" ht="15" thickBot="1" x14ac:dyDescent="0.35">
      <c r="A43" s="261" t="s">
        <v>1012</v>
      </c>
      <c r="B43" s="261" t="s">
        <v>26</v>
      </c>
      <c r="C43" s="20">
        <v>13.78</v>
      </c>
      <c r="D43" s="20">
        <v>10.057619734529306</v>
      </c>
      <c r="E43" s="20" t="s">
        <v>28</v>
      </c>
      <c r="F43" s="261" t="s">
        <v>21</v>
      </c>
      <c r="G43" s="64">
        <v>0.20100000000000001</v>
      </c>
      <c r="H43" s="261" t="s">
        <v>342</v>
      </c>
      <c r="I43" s="261" t="s">
        <v>352</v>
      </c>
      <c r="K43" s="309">
        <f t="shared" si="0"/>
        <v>138.59399994181382</v>
      </c>
      <c r="L43" s="309" t="str">
        <f t="shared" si="1"/>
        <v/>
      </c>
      <c r="M43" s="297"/>
      <c r="N43" s="297"/>
      <c r="O43" s="297"/>
      <c r="P43" s="297"/>
      <c r="Q43" s="297"/>
      <c r="R43" s="297"/>
      <c r="S43" s="297"/>
      <c r="T43" s="260"/>
      <c r="U43" s="260"/>
      <c r="V43" s="260"/>
      <c r="W43" s="260"/>
      <c r="X43" s="260"/>
      <c r="Y43" s="260"/>
      <c r="Z43" s="260"/>
      <c r="AA43" s="260"/>
      <c r="AE43" s="403" t="s">
        <v>1012</v>
      </c>
      <c r="AF43" s="418" t="s">
        <v>26</v>
      </c>
      <c r="AG43" s="418">
        <v>13780</v>
      </c>
      <c r="AH43" s="418" t="s">
        <v>21</v>
      </c>
      <c r="AI43" s="418" t="s">
        <v>352</v>
      </c>
      <c r="AJ43" s="418" t="s">
        <v>990</v>
      </c>
    </row>
    <row r="44" spans="1:36" ht="15" thickBot="1" x14ac:dyDescent="0.35">
      <c r="A44" s="261" t="s">
        <v>1013</v>
      </c>
      <c r="B44" s="261" t="s">
        <v>26</v>
      </c>
      <c r="C44" s="20">
        <v>16.438800000000001</v>
      </c>
      <c r="D44" s="20">
        <v>7.9779999999999998</v>
      </c>
      <c r="E44" s="20">
        <v>5.6496000000000004</v>
      </c>
      <c r="F44" s="261" t="s">
        <v>21</v>
      </c>
      <c r="G44" s="64">
        <v>0.14699999999999999</v>
      </c>
      <c r="H44" s="261" t="s">
        <v>1069</v>
      </c>
      <c r="I44" s="261" t="s">
        <v>641</v>
      </c>
      <c r="K44" s="309">
        <f t="shared" si="0"/>
        <v>131.14874639999999</v>
      </c>
      <c r="L44" s="309">
        <f t="shared" si="1"/>
        <v>92.872644480000005</v>
      </c>
      <c r="M44" s="297"/>
      <c r="N44" s="297"/>
      <c r="O44" s="297"/>
      <c r="P44" s="297"/>
      <c r="Q44" s="297"/>
      <c r="R44" s="297"/>
      <c r="S44" s="297"/>
      <c r="T44" s="260"/>
      <c r="U44" s="260"/>
      <c r="V44" s="260"/>
      <c r="W44" s="260"/>
      <c r="X44" s="260"/>
      <c r="Y44" s="260"/>
      <c r="Z44" s="260"/>
      <c r="AA44" s="260"/>
      <c r="AE44" s="332" t="s">
        <v>1013</v>
      </c>
      <c r="AF44" s="328" t="s">
        <v>26</v>
      </c>
      <c r="AG44" s="328">
        <v>16438.8</v>
      </c>
      <c r="AH44" s="328" t="s">
        <v>21</v>
      </c>
      <c r="AI44" s="328" t="s">
        <v>641</v>
      </c>
      <c r="AJ44" s="328" t="s">
        <v>990</v>
      </c>
    </row>
    <row r="45" spans="1:36" ht="15" thickBot="1" x14ac:dyDescent="0.35">
      <c r="A45" s="261" t="s">
        <v>1014</v>
      </c>
      <c r="B45" s="261" t="s">
        <v>26</v>
      </c>
      <c r="C45" s="20">
        <v>16.609000000000002</v>
      </c>
      <c r="D45" s="20">
        <v>7.774</v>
      </c>
      <c r="E45" s="20">
        <v>6.6919999999999993</v>
      </c>
      <c r="F45" s="261" t="s">
        <v>21</v>
      </c>
      <c r="G45" s="64">
        <v>0.14699999999999999</v>
      </c>
      <c r="H45" s="261" t="s">
        <v>1069</v>
      </c>
      <c r="I45" s="261" t="s">
        <v>641</v>
      </c>
      <c r="K45" s="309">
        <f t="shared" si="0"/>
        <v>129.11836600000001</v>
      </c>
      <c r="L45" s="309">
        <f t="shared" si="1"/>
        <v>111.147428</v>
      </c>
      <c r="M45" s="297"/>
      <c r="N45" s="297"/>
      <c r="O45" s="297"/>
      <c r="P45" s="297"/>
      <c r="Q45" s="297"/>
      <c r="R45" s="297"/>
      <c r="S45" s="297"/>
      <c r="T45" s="260"/>
      <c r="U45" s="260"/>
      <c r="V45" s="260"/>
      <c r="W45" s="260"/>
      <c r="X45" s="260"/>
      <c r="Y45" s="260"/>
      <c r="Z45" s="260"/>
      <c r="AA45" s="260"/>
      <c r="AE45" s="403" t="s">
        <v>1014</v>
      </c>
      <c r="AF45" s="418" t="s">
        <v>26</v>
      </c>
      <c r="AG45" s="418">
        <v>16609</v>
      </c>
      <c r="AH45" s="418" t="s">
        <v>21</v>
      </c>
      <c r="AI45" s="418" t="s">
        <v>641</v>
      </c>
      <c r="AJ45" s="418" t="s">
        <v>990</v>
      </c>
    </row>
    <row r="46" spans="1:36" ht="15" thickBot="1" x14ac:dyDescent="0.35">
      <c r="A46" s="261" t="s">
        <v>1015</v>
      </c>
      <c r="B46" s="261" t="s">
        <v>26</v>
      </c>
      <c r="C46" s="20">
        <v>20</v>
      </c>
      <c r="D46" s="20">
        <v>11.745254232357105</v>
      </c>
      <c r="E46" s="20" t="s">
        <v>28</v>
      </c>
      <c r="F46" s="261" t="s">
        <v>203</v>
      </c>
      <c r="G46" s="64" t="s">
        <v>28</v>
      </c>
      <c r="H46" s="261" t="s">
        <v>1070</v>
      </c>
      <c r="I46" s="261" t="s">
        <v>252</v>
      </c>
      <c r="K46" s="309">
        <f t="shared" si="0"/>
        <v>234.9050846471421</v>
      </c>
      <c r="L46" s="309" t="str">
        <f t="shared" si="1"/>
        <v/>
      </c>
      <c r="M46" s="297"/>
      <c r="N46" s="297"/>
      <c r="O46" s="297"/>
      <c r="P46" s="297"/>
      <c r="Q46" s="297"/>
      <c r="R46" s="297"/>
      <c r="S46" s="297"/>
      <c r="T46" s="260"/>
      <c r="U46" s="260"/>
      <c r="V46" s="260"/>
      <c r="W46" s="260"/>
      <c r="X46" s="260"/>
      <c r="Y46" s="260"/>
      <c r="Z46" s="260"/>
      <c r="AA46" s="260"/>
      <c r="AE46" s="332" t="s">
        <v>1015</v>
      </c>
      <c r="AF46" s="328" t="s">
        <v>26</v>
      </c>
      <c r="AG46" s="328">
        <v>20000</v>
      </c>
      <c r="AH46" s="328" t="s">
        <v>28</v>
      </c>
      <c r="AI46" s="328" t="s">
        <v>252</v>
      </c>
      <c r="AJ46" s="328" t="s">
        <v>990</v>
      </c>
    </row>
    <row r="47" spans="1:36" ht="15" thickBot="1" x14ac:dyDescent="0.35">
      <c r="A47" s="261" t="s">
        <v>674</v>
      </c>
      <c r="B47" s="261" t="s">
        <v>26</v>
      </c>
      <c r="C47" s="20">
        <v>20</v>
      </c>
      <c r="D47" s="20">
        <v>10.218371182150682</v>
      </c>
      <c r="E47" s="20" t="s">
        <v>28</v>
      </c>
      <c r="F47" s="261" t="s">
        <v>203</v>
      </c>
      <c r="G47" s="64" t="s">
        <v>28</v>
      </c>
      <c r="H47" s="261" t="s">
        <v>1070</v>
      </c>
      <c r="I47" s="261" t="s">
        <v>252</v>
      </c>
      <c r="K47" s="309">
        <f t="shared" si="0"/>
        <v>204.36742364301364</v>
      </c>
      <c r="L47" s="309" t="str">
        <f t="shared" si="1"/>
        <v/>
      </c>
      <c r="M47" s="297"/>
      <c r="N47" s="297"/>
      <c r="O47" s="297"/>
      <c r="P47" s="297"/>
      <c r="Q47" s="297"/>
      <c r="R47" s="297"/>
      <c r="S47" s="297"/>
      <c r="T47" s="260"/>
      <c r="U47" s="260"/>
      <c r="V47" s="260"/>
      <c r="W47" s="260"/>
      <c r="X47" s="260"/>
      <c r="Y47" s="260"/>
      <c r="Z47" s="260"/>
      <c r="AA47" s="260"/>
      <c r="AE47" s="403" t="s">
        <v>674</v>
      </c>
      <c r="AF47" s="418" t="s">
        <v>26</v>
      </c>
      <c r="AG47" s="418">
        <v>20000</v>
      </c>
      <c r="AH47" s="418" t="s">
        <v>28</v>
      </c>
      <c r="AI47" s="418" t="s">
        <v>252</v>
      </c>
      <c r="AJ47" s="418" t="s">
        <v>990</v>
      </c>
    </row>
    <row r="48" spans="1:36" ht="15" thickBot="1" x14ac:dyDescent="0.35">
      <c r="A48" s="261" t="s">
        <v>1016</v>
      </c>
      <c r="B48" s="261" t="s">
        <v>26</v>
      </c>
      <c r="C48" s="20">
        <v>20</v>
      </c>
      <c r="D48" s="20">
        <v>10.570728809121395</v>
      </c>
      <c r="E48" s="20" t="s">
        <v>28</v>
      </c>
      <c r="F48" s="261" t="s">
        <v>203</v>
      </c>
      <c r="G48" s="64" t="s">
        <v>28</v>
      </c>
      <c r="H48" s="261" t="s">
        <v>1070</v>
      </c>
      <c r="I48" s="261" t="s">
        <v>352</v>
      </c>
      <c r="K48" s="309">
        <f t="shared" si="0"/>
        <v>211.41457618242788</v>
      </c>
      <c r="L48" s="309" t="str">
        <f t="shared" si="1"/>
        <v/>
      </c>
      <c r="M48" s="297"/>
      <c r="N48" s="297"/>
      <c r="O48" s="297"/>
      <c r="P48" s="297"/>
      <c r="Q48" s="297"/>
      <c r="R48" s="297"/>
      <c r="S48" s="297"/>
      <c r="T48" s="260"/>
      <c r="U48" s="260"/>
      <c r="V48" s="260"/>
      <c r="W48" s="260"/>
      <c r="X48" s="260"/>
      <c r="Y48" s="260"/>
      <c r="Z48" s="260"/>
      <c r="AA48" s="260"/>
      <c r="AE48" s="332" t="s">
        <v>1016</v>
      </c>
      <c r="AF48" s="328" t="s">
        <v>26</v>
      </c>
      <c r="AG48" s="328">
        <v>20000</v>
      </c>
      <c r="AH48" s="328" t="s">
        <v>28</v>
      </c>
      <c r="AI48" s="328" t="s">
        <v>352</v>
      </c>
      <c r="AJ48" s="328" t="s">
        <v>990</v>
      </c>
    </row>
    <row r="49" spans="1:36" ht="15" thickBot="1" x14ac:dyDescent="0.35">
      <c r="A49" s="261" t="s">
        <v>1017</v>
      </c>
      <c r="B49" s="261" t="s">
        <v>26</v>
      </c>
      <c r="C49" s="20">
        <v>21.141459999999999</v>
      </c>
      <c r="D49" s="20">
        <v>7.7333333333333325</v>
      </c>
      <c r="E49" s="20">
        <v>5.559444444444444</v>
      </c>
      <c r="F49" s="261" t="s">
        <v>91</v>
      </c>
      <c r="G49" s="64">
        <v>0.107</v>
      </c>
      <c r="H49" s="261" t="s">
        <v>1069</v>
      </c>
      <c r="I49" s="261" t="s">
        <v>641</v>
      </c>
      <c r="K49" s="309">
        <f t="shared" si="0"/>
        <v>163.4939573333333</v>
      </c>
      <c r="L49" s="309">
        <f t="shared" si="1"/>
        <v>117.53477234444442</v>
      </c>
      <c r="M49" s="297"/>
      <c r="N49" s="297"/>
      <c r="O49" s="297"/>
      <c r="P49" s="297"/>
      <c r="Q49" s="297"/>
      <c r="R49" s="297"/>
      <c r="S49" s="297"/>
      <c r="T49" s="260"/>
      <c r="U49" s="260"/>
      <c r="V49" s="260"/>
      <c r="W49" s="260"/>
      <c r="X49" s="260"/>
      <c r="Y49" s="260"/>
      <c r="Z49" s="260"/>
      <c r="AA49" s="260"/>
      <c r="AE49" s="403" t="s">
        <v>1017</v>
      </c>
      <c r="AF49" s="418" t="s">
        <v>26</v>
      </c>
      <c r="AG49" s="418">
        <v>21141.46</v>
      </c>
      <c r="AH49" s="418" t="s">
        <v>91</v>
      </c>
      <c r="AI49" s="418" t="s">
        <v>641</v>
      </c>
      <c r="AJ49" s="418" t="s">
        <v>990</v>
      </c>
    </row>
    <row r="50" spans="1:36" ht="15" thickBot="1" x14ac:dyDescent="0.35">
      <c r="A50" s="261" t="s">
        <v>673</v>
      </c>
      <c r="B50" s="261" t="s">
        <v>26</v>
      </c>
      <c r="C50" s="20">
        <v>23.490509999999997</v>
      </c>
      <c r="D50" s="20">
        <v>8</v>
      </c>
      <c r="E50" s="20" t="s">
        <v>28</v>
      </c>
      <c r="F50" s="261" t="s">
        <v>203</v>
      </c>
      <c r="G50" s="64" t="s">
        <v>28</v>
      </c>
      <c r="H50" s="261" t="s">
        <v>1070</v>
      </c>
      <c r="I50" s="261" t="s">
        <v>252</v>
      </c>
      <c r="K50" s="309">
        <f t="shared" si="0"/>
        <v>187.92407999999998</v>
      </c>
      <c r="L50" s="309" t="str">
        <f t="shared" si="1"/>
        <v/>
      </c>
      <c r="M50" s="297"/>
      <c r="N50" s="297"/>
      <c r="O50" s="297"/>
      <c r="P50" s="297"/>
      <c r="Q50" s="297"/>
      <c r="R50" s="297"/>
      <c r="S50" s="297"/>
      <c r="T50" s="260"/>
      <c r="U50" s="260"/>
      <c r="V50" s="260"/>
      <c r="W50" s="260"/>
      <c r="X50" s="260"/>
      <c r="Y50" s="260"/>
      <c r="Z50" s="260"/>
      <c r="AA50" s="260"/>
      <c r="AE50" s="332" t="s">
        <v>673</v>
      </c>
      <c r="AF50" s="328" t="s">
        <v>26</v>
      </c>
      <c r="AG50" s="328">
        <v>23490.51</v>
      </c>
      <c r="AH50" s="328" t="s">
        <v>28</v>
      </c>
      <c r="AI50" s="328" t="s">
        <v>252</v>
      </c>
      <c r="AJ50" s="328" t="s">
        <v>990</v>
      </c>
    </row>
    <row r="51" spans="1:36" ht="15" thickBot="1" x14ac:dyDescent="0.35">
      <c r="A51" s="261" t="s">
        <v>675</v>
      </c>
      <c r="B51" s="261" t="s">
        <v>26</v>
      </c>
      <c r="C51" s="20">
        <v>23.490509999999997</v>
      </c>
      <c r="D51" s="20">
        <v>13.25</v>
      </c>
      <c r="E51" s="20" t="s">
        <v>28</v>
      </c>
      <c r="F51" s="261" t="s">
        <v>203</v>
      </c>
      <c r="G51" s="64" t="s">
        <v>28</v>
      </c>
      <c r="H51" s="261" t="s">
        <v>1070</v>
      </c>
      <c r="I51" s="261" t="s">
        <v>252</v>
      </c>
      <c r="K51" s="309">
        <f t="shared" si="0"/>
        <v>311.24925749999994</v>
      </c>
      <c r="L51" s="309" t="str">
        <f t="shared" si="1"/>
        <v/>
      </c>
      <c r="M51" s="297"/>
      <c r="N51" s="297"/>
      <c r="O51" s="297"/>
      <c r="P51" s="297"/>
      <c r="Q51" s="297"/>
      <c r="R51" s="297"/>
      <c r="S51" s="297"/>
      <c r="T51" s="260"/>
      <c r="U51" s="260"/>
      <c r="V51" s="260"/>
      <c r="W51" s="260"/>
      <c r="X51" s="260"/>
      <c r="Y51" s="260"/>
      <c r="Z51" s="260"/>
      <c r="AA51" s="260"/>
      <c r="AE51" s="403" t="s">
        <v>675</v>
      </c>
      <c r="AF51" s="418" t="s">
        <v>26</v>
      </c>
      <c r="AG51" s="418">
        <v>23490.51</v>
      </c>
      <c r="AH51" s="418" t="s">
        <v>28</v>
      </c>
      <c r="AI51" s="418" t="s">
        <v>252</v>
      </c>
      <c r="AJ51" s="418" t="s">
        <v>990</v>
      </c>
    </row>
    <row r="52" spans="1:36" ht="15" thickBot="1" x14ac:dyDescent="0.35">
      <c r="A52" s="261" t="s">
        <v>656</v>
      </c>
      <c r="B52" s="261" t="s">
        <v>26</v>
      </c>
      <c r="C52" s="20">
        <v>23.5</v>
      </c>
      <c r="D52" s="20">
        <v>8</v>
      </c>
      <c r="E52" s="20" t="s">
        <v>28</v>
      </c>
      <c r="F52" s="261" t="s">
        <v>203</v>
      </c>
      <c r="G52" s="64" t="s">
        <v>28</v>
      </c>
      <c r="H52" s="261" t="s">
        <v>342</v>
      </c>
      <c r="I52" s="261" t="s">
        <v>352</v>
      </c>
      <c r="K52" s="309">
        <f t="shared" si="0"/>
        <v>188</v>
      </c>
      <c r="L52" s="309" t="str">
        <f t="shared" si="1"/>
        <v/>
      </c>
      <c r="M52" s="297"/>
      <c r="N52" s="297"/>
      <c r="O52" s="297"/>
      <c r="P52" s="297"/>
      <c r="Q52" s="297"/>
      <c r="R52" s="297"/>
      <c r="S52" s="297"/>
      <c r="T52" s="260"/>
      <c r="U52" s="260"/>
      <c r="V52" s="260"/>
      <c r="W52" s="260"/>
      <c r="X52" s="260"/>
      <c r="Y52" s="260"/>
      <c r="Z52" s="260"/>
      <c r="AA52" s="260"/>
      <c r="AE52" s="332" t="s">
        <v>656</v>
      </c>
      <c r="AF52" s="328" t="s">
        <v>26</v>
      </c>
      <c r="AG52" s="328">
        <v>23500</v>
      </c>
      <c r="AH52" s="328" t="s">
        <v>28</v>
      </c>
      <c r="AI52" s="328" t="s">
        <v>352</v>
      </c>
      <c r="AJ52" s="328" t="s">
        <v>990</v>
      </c>
    </row>
    <row r="53" spans="1:36" ht="15" thickBot="1" x14ac:dyDescent="0.35">
      <c r="A53" s="261" t="s">
        <v>184</v>
      </c>
      <c r="B53" s="261" t="s">
        <v>26</v>
      </c>
      <c r="C53" s="20">
        <v>25.2</v>
      </c>
      <c r="D53" s="20">
        <v>8.8571428571428577</v>
      </c>
      <c r="E53" s="20">
        <v>6.4</v>
      </c>
      <c r="F53" s="261" t="s">
        <v>91</v>
      </c>
      <c r="G53" s="64">
        <v>0.1</v>
      </c>
      <c r="H53" s="261" t="s">
        <v>1069</v>
      </c>
      <c r="I53" s="261" t="s">
        <v>252</v>
      </c>
      <c r="K53" s="309">
        <f t="shared" si="0"/>
        <v>223.20000000000002</v>
      </c>
      <c r="L53" s="309">
        <f t="shared" si="1"/>
        <v>161.28</v>
      </c>
      <c r="M53" s="297"/>
      <c r="N53" s="297"/>
      <c r="O53" s="297"/>
      <c r="P53" s="297"/>
      <c r="Q53" s="297"/>
      <c r="R53" s="297"/>
      <c r="S53" s="297"/>
      <c r="T53" s="260"/>
      <c r="U53" s="260"/>
      <c r="V53" s="111"/>
      <c r="W53" s="260"/>
      <c r="X53" s="260"/>
      <c r="Y53" s="260"/>
      <c r="Z53" s="260"/>
      <c r="AA53" s="260"/>
      <c r="AE53" s="403" t="s">
        <v>184</v>
      </c>
      <c r="AF53" s="418" t="s">
        <v>26</v>
      </c>
      <c r="AG53" s="418">
        <v>25200</v>
      </c>
      <c r="AH53" s="418" t="s">
        <v>91</v>
      </c>
      <c r="AI53" s="418" t="s">
        <v>252</v>
      </c>
      <c r="AJ53" s="418" t="s">
        <v>986</v>
      </c>
    </row>
    <row r="54" spans="1:36" ht="15" thickBot="1" x14ac:dyDescent="0.35">
      <c r="A54" s="261" t="s">
        <v>690</v>
      </c>
      <c r="B54" s="261" t="s">
        <v>26</v>
      </c>
      <c r="C54" s="20">
        <v>28.7</v>
      </c>
      <c r="D54" s="20">
        <v>5.3478260869565215</v>
      </c>
      <c r="E54" s="20" t="s">
        <v>28</v>
      </c>
      <c r="F54" s="261" t="s">
        <v>203</v>
      </c>
      <c r="G54" s="64">
        <v>0.14899999999999999</v>
      </c>
      <c r="H54" s="261" t="s">
        <v>1070</v>
      </c>
      <c r="I54" s="261" t="s">
        <v>352</v>
      </c>
      <c r="K54" s="309">
        <f t="shared" si="0"/>
        <v>153.48260869565217</v>
      </c>
      <c r="L54" s="309" t="str">
        <f t="shared" si="1"/>
        <v/>
      </c>
      <c r="M54" s="297"/>
      <c r="N54" s="297"/>
      <c r="O54" s="297"/>
      <c r="P54" s="297"/>
      <c r="Q54" s="297"/>
      <c r="R54" s="297"/>
      <c r="S54" s="297"/>
      <c r="T54" s="260"/>
      <c r="U54" s="260"/>
      <c r="V54" s="260"/>
      <c r="W54" s="260"/>
      <c r="X54" s="260"/>
      <c r="Y54" s="260"/>
      <c r="Z54" s="260"/>
      <c r="AA54" s="260"/>
      <c r="AE54" s="332" t="s">
        <v>690</v>
      </c>
      <c r="AF54" s="328" t="s">
        <v>26</v>
      </c>
      <c r="AG54" s="328">
        <v>28700</v>
      </c>
      <c r="AH54" s="328" t="s">
        <v>28</v>
      </c>
      <c r="AI54" s="328" t="s">
        <v>989</v>
      </c>
      <c r="AJ54" s="328" t="s">
        <v>990</v>
      </c>
    </row>
    <row r="55" spans="1:36" ht="15" thickBot="1" x14ac:dyDescent="0.35">
      <c r="A55" s="261" t="s">
        <v>621</v>
      </c>
      <c r="B55" s="261" t="s">
        <v>26</v>
      </c>
      <c r="C55" s="20">
        <v>29.363139999999998</v>
      </c>
      <c r="D55" s="20">
        <v>6.16</v>
      </c>
      <c r="E55" s="20" t="s">
        <v>28</v>
      </c>
      <c r="F55" s="261" t="s">
        <v>21</v>
      </c>
      <c r="G55" s="64">
        <v>0.185</v>
      </c>
      <c r="H55" s="261" t="s">
        <v>342</v>
      </c>
      <c r="I55" s="261" t="s">
        <v>252</v>
      </c>
      <c r="K55" s="309">
        <f t="shared" si="0"/>
        <v>180.87694239999999</v>
      </c>
      <c r="L55" s="309" t="str">
        <f t="shared" si="1"/>
        <v/>
      </c>
      <c r="M55" s="297"/>
      <c r="N55" s="297"/>
      <c r="O55" s="297"/>
      <c r="P55" s="297"/>
      <c r="Q55" s="297"/>
      <c r="R55" s="297"/>
      <c r="S55" s="297"/>
      <c r="T55" s="260"/>
      <c r="U55" s="260"/>
      <c r="V55" s="260"/>
      <c r="W55" s="260"/>
      <c r="X55" s="260"/>
      <c r="Y55" s="260"/>
      <c r="Z55" s="260"/>
      <c r="AA55" s="260"/>
      <c r="AE55" s="403" t="s">
        <v>621</v>
      </c>
      <c r="AF55" s="418" t="s">
        <v>26</v>
      </c>
      <c r="AG55" s="418">
        <v>29363.14</v>
      </c>
      <c r="AH55" s="418" t="s">
        <v>21</v>
      </c>
      <c r="AI55" s="418" t="s">
        <v>252</v>
      </c>
      <c r="AJ55" s="418" t="s">
        <v>990</v>
      </c>
    </row>
    <row r="56" spans="1:36" ht="15" thickBot="1" x14ac:dyDescent="0.35">
      <c r="A56" s="261" t="s">
        <v>612</v>
      </c>
      <c r="B56" s="261" t="s">
        <v>26</v>
      </c>
      <c r="C56" s="20">
        <v>38</v>
      </c>
      <c r="D56" s="20">
        <v>5.7799014248704692</v>
      </c>
      <c r="E56" s="20" t="s">
        <v>28</v>
      </c>
      <c r="F56" s="261" t="s">
        <v>203</v>
      </c>
      <c r="G56" s="64" t="s">
        <v>28</v>
      </c>
      <c r="H56" s="261" t="s">
        <v>342</v>
      </c>
      <c r="I56" s="261" t="s">
        <v>352</v>
      </c>
      <c r="K56" s="309">
        <f t="shared" si="0"/>
        <v>219.63625414507783</v>
      </c>
      <c r="L56" s="309" t="str">
        <f t="shared" si="1"/>
        <v/>
      </c>
      <c r="M56" s="297"/>
      <c r="N56" s="297"/>
      <c r="O56" s="297"/>
      <c r="P56" s="297"/>
      <c r="Q56" s="297"/>
      <c r="R56" s="297"/>
      <c r="S56" s="297"/>
      <c r="T56" s="260"/>
      <c r="U56" s="260"/>
      <c r="V56" s="260"/>
      <c r="W56" s="260"/>
      <c r="X56" s="260"/>
      <c r="Y56" s="260"/>
      <c r="Z56" s="260"/>
      <c r="AA56" s="260"/>
      <c r="AE56" s="332" t="s">
        <v>612</v>
      </c>
      <c r="AF56" s="328" t="s">
        <v>26</v>
      </c>
      <c r="AG56" s="328">
        <v>38000</v>
      </c>
      <c r="AH56" s="328" t="s">
        <v>28</v>
      </c>
      <c r="AI56" s="328" t="s">
        <v>352</v>
      </c>
      <c r="AJ56" s="328" t="s">
        <v>990</v>
      </c>
    </row>
    <row r="57" spans="1:36" ht="15" thickBot="1" x14ac:dyDescent="0.35">
      <c r="A57" s="261" t="s">
        <v>1018</v>
      </c>
      <c r="B57" s="261" t="s">
        <v>26</v>
      </c>
      <c r="C57" s="20">
        <v>40.5</v>
      </c>
      <c r="D57" s="20">
        <v>12.238264903838761</v>
      </c>
      <c r="E57" s="20">
        <v>12.238264903838761</v>
      </c>
      <c r="F57" s="261" t="s">
        <v>91</v>
      </c>
      <c r="G57" s="64">
        <v>0.1</v>
      </c>
      <c r="H57" s="261" t="s">
        <v>342</v>
      </c>
      <c r="I57" s="261" t="s">
        <v>641</v>
      </c>
      <c r="K57" s="309">
        <f t="shared" si="0"/>
        <v>495.64972860546982</v>
      </c>
      <c r="L57" s="309">
        <f t="shared" si="1"/>
        <v>495.64972860546982</v>
      </c>
      <c r="M57" s="297"/>
      <c r="N57" s="297"/>
      <c r="O57" s="297"/>
      <c r="P57" s="297"/>
      <c r="Q57" s="297"/>
      <c r="R57" s="297"/>
      <c r="S57" s="297"/>
      <c r="T57" s="260"/>
      <c r="U57" s="260"/>
      <c r="V57" s="260"/>
      <c r="W57" s="260"/>
      <c r="X57" s="260"/>
      <c r="Y57" s="260"/>
      <c r="Z57" s="260"/>
      <c r="AA57" s="260"/>
      <c r="AE57" s="403" t="s">
        <v>1018</v>
      </c>
      <c r="AF57" s="418" t="s">
        <v>26</v>
      </c>
      <c r="AG57" s="418">
        <v>40500</v>
      </c>
      <c r="AH57" s="418" t="s">
        <v>91</v>
      </c>
      <c r="AI57" s="418" t="s">
        <v>641</v>
      </c>
      <c r="AJ57" s="418" t="s">
        <v>990</v>
      </c>
    </row>
    <row r="58" spans="1:36" ht="15" thickBot="1" x14ac:dyDescent="0.35">
      <c r="A58" s="261" t="s">
        <v>1019</v>
      </c>
      <c r="B58" s="261" t="s">
        <v>26</v>
      </c>
      <c r="C58" s="20">
        <v>49.9</v>
      </c>
      <c r="D58" s="20">
        <v>7.5320267622330137</v>
      </c>
      <c r="E58" s="20" t="s">
        <v>28</v>
      </c>
      <c r="F58" s="261" t="s">
        <v>203</v>
      </c>
      <c r="G58" s="64" t="s">
        <v>28</v>
      </c>
      <c r="H58" s="261" t="s">
        <v>342</v>
      </c>
      <c r="I58" s="261" t="s">
        <v>252</v>
      </c>
      <c r="K58" s="309">
        <f t="shared" si="0"/>
        <v>375.84813543542737</v>
      </c>
      <c r="L58" s="309" t="str">
        <f t="shared" si="1"/>
        <v/>
      </c>
      <c r="M58" s="297"/>
      <c r="N58" s="297"/>
      <c r="O58" s="297"/>
      <c r="P58" s="297"/>
      <c r="Q58" s="297"/>
      <c r="R58" s="297"/>
      <c r="S58" s="297"/>
      <c r="T58" s="260"/>
      <c r="U58" s="260"/>
      <c r="V58" s="260"/>
      <c r="W58" s="260"/>
      <c r="X58" s="260"/>
      <c r="Y58" s="260"/>
      <c r="Z58" s="260"/>
      <c r="AA58" s="260"/>
      <c r="AE58" s="332" t="s">
        <v>1019</v>
      </c>
      <c r="AF58" s="328" t="s">
        <v>26</v>
      </c>
      <c r="AG58" s="328">
        <v>49900</v>
      </c>
      <c r="AH58" s="328" t="s">
        <v>28</v>
      </c>
      <c r="AI58" s="328" t="s">
        <v>252</v>
      </c>
      <c r="AJ58" s="328" t="s">
        <v>990</v>
      </c>
    </row>
    <row r="59" spans="1:36" ht="15" thickBot="1" x14ac:dyDescent="0.35">
      <c r="A59" s="261" t="s">
        <v>684</v>
      </c>
      <c r="B59" s="261" t="s">
        <v>26</v>
      </c>
      <c r="C59" s="20">
        <v>50</v>
      </c>
      <c r="D59" s="20">
        <v>7.0471525394142631</v>
      </c>
      <c r="E59" s="20" t="s">
        <v>28</v>
      </c>
      <c r="F59" s="261" t="s">
        <v>203</v>
      </c>
      <c r="G59" s="64" t="s">
        <v>28</v>
      </c>
      <c r="H59" s="261" t="s">
        <v>1070</v>
      </c>
      <c r="I59" s="261" t="s">
        <v>352</v>
      </c>
      <c r="K59" s="309">
        <f t="shared" si="0"/>
        <v>352.35762697071317</v>
      </c>
      <c r="L59" s="309" t="str">
        <f t="shared" si="1"/>
        <v/>
      </c>
      <c r="M59" s="297"/>
      <c r="N59" s="297"/>
      <c r="O59" s="297"/>
      <c r="P59" s="297"/>
      <c r="Q59" s="297"/>
      <c r="R59" s="297"/>
      <c r="S59" s="297"/>
      <c r="T59" s="260"/>
      <c r="U59" s="260"/>
      <c r="V59" s="260"/>
      <c r="W59" s="260"/>
      <c r="X59" s="260"/>
      <c r="Y59" s="260"/>
      <c r="Z59" s="260"/>
      <c r="AA59" s="260"/>
      <c r="AE59" s="403" t="s">
        <v>684</v>
      </c>
      <c r="AF59" s="418" t="s">
        <v>26</v>
      </c>
      <c r="AG59" s="418">
        <v>50000</v>
      </c>
      <c r="AH59" s="418" t="s">
        <v>28</v>
      </c>
      <c r="AI59" s="418" t="s">
        <v>1020</v>
      </c>
      <c r="AJ59" s="418" t="s">
        <v>990</v>
      </c>
    </row>
    <row r="60" spans="1:36" ht="15" thickBot="1" x14ac:dyDescent="0.35">
      <c r="A60" s="261" t="s">
        <v>687</v>
      </c>
      <c r="B60" s="261" t="s">
        <v>26</v>
      </c>
      <c r="C60" s="20">
        <v>50</v>
      </c>
      <c r="D60" s="20">
        <v>7.5169627087085473</v>
      </c>
      <c r="E60" s="20" t="s">
        <v>28</v>
      </c>
      <c r="F60" s="261" t="s">
        <v>203</v>
      </c>
      <c r="G60" s="64" t="s">
        <v>28</v>
      </c>
      <c r="H60" s="261" t="s">
        <v>1070</v>
      </c>
      <c r="I60" s="261" t="s">
        <v>252</v>
      </c>
      <c r="K60" s="309">
        <f t="shared" si="0"/>
        <v>375.84813543542737</v>
      </c>
      <c r="L60" s="309" t="str">
        <f t="shared" si="1"/>
        <v/>
      </c>
      <c r="M60" s="297"/>
      <c r="N60" s="297"/>
      <c r="O60" s="297"/>
      <c r="P60" s="297"/>
      <c r="Q60" s="297"/>
      <c r="R60" s="297"/>
      <c r="S60" s="297"/>
      <c r="T60" s="260"/>
      <c r="U60" s="260"/>
      <c r="V60" s="260"/>
      <c r="W60" s="260"/>
      <c r="X60" s="260"/>
      <c r="Y60" s="260"/>
      <c r="Z60" s="260"/>
      <c r="AA60" s="260"/>
      <c r="AE60" s="332" t="s">
        <v>687</v>
      </c>
      <c r="AF60" s="328" t="s">
        <v>26</v>
      </c>
      <c r="AG60" s="328">
        <v>50000</v>
      </c>
      <c r="AH60" s="328" t="s">
        <v>28</v>
      </c>
      <c r="AI60" s="328" t="s">
        <v>252</v>
      </c>
      <c r="AJ60" s="328" t="s">
        <v>990</v>
      </c>
    </row>
    <row r="61" spans="1:36" ht="15" thickBot="1" x14ac:dyDescent="0.35">
      <c r="A61" s="261" t="s">
        <v>401</v>
      </c>
      <c r="B61" s="261" t="s">
        <v>26</v>
      </c>
      <c r="C61" s="20">
        <v>57.715000000000003</v>
      </c>
      <c r="D61" s="20">
        <v>11.111111111111111</v>
      </c>
      <c r="E61" s="20">
        <v>7.666666666666667</v>
      </c>
      <c r="F61" s="261" t="s">
        <v>91</v>
      </c>
      <c r="G61" s="64">
        <v>0.09</v>
      </c>
      <c r="H61" s="261" t="s">
        <v>1069</v>
      </c>
      <c r="I61" s="261" t="s">
        <v>252</v>
      </c>
      <c r="K61" s="309">
        <f t="shared" si="0"/>
        <v>641.27777777777783</v>
      </c>
      <c r="L61" s="309">
        <f t="shared" si="1"/>
        <v>442.48166666666668</v>
      </c>
      <c r="M61" s="297"/>
      <c r="N61" s="297"/>
      <c r="O61" s="297"/>
      <c r="P61" s="297"/>
      <c r="Q61" s="297"/>
      <c r="R61" s="297"/>
      <c r="S61" s="297"/>
      <c r="T61" s="260"/>
      <c r="U61" s="260"/>
      <c r="V61" s="260"/>
      <c r="W61" s="260"/>
      <c r="X61" s="260"/>
      <c r="Y61" s="260"/>
      <c r="Z61" s="260"/>
      <c r="AA61" s="260"/>
      <c r="AE61" s="403" t="s">
        <v>401</v>
      </c>
      <c r="AF61" s="418" t="s">
        <v>26</v>
      </c>
      <c r="AG61" s="418">
        <v>57715</v>
      </c>
      <c r="AH61" s="418" t="s">
        <v>91</v>
      </c>
      <c r="AI61" s="418" t="s">
        <v>252</v>
      </c>
      <c r="AJ61" s="418" t="s">
        <v>986</v>
      </c>
    </row>
    <row r="62" spans="1:36" ht="15" thickBot="1" x14ac:dyDescent="0.35">
      <c r="A62" s="261" t="s">
        <v>1021</v>
      </c>
      <c r="B62" s="261" t="s">
        <v>26</v>
      </c>
      <c r="C62" s="20">
        <v>58</v>
      </c>
      <c r="D62" s="20">
        <v>7.916666666666667</v>
      </c>
      <c r="E62" s="20">
        <v>6.791666666666667</v>
      </c>
      <c r="F62" s="261" t="s">
        <v>91</v>
      </c>
      <c r="G62" s="64">
        <v>0.1</v>
      </c>
      <c r="H62" s="261" t="s">
        <v>1070</v>
      </c>
      <c r="I62" s="261" t="s">
        <v>352</v>
      </c>
      <c r="K62" s="309">
        <f t="shared" si="0"/>
        <v>459.16666666666669</v>
      </c>
      <c r="L62" s="309">
        <f t="shared" si="1"/>
        <v>393.91666666666669</v>
      </c>
      <c r="M62" s="297"/>
      <c r="N62" s="297"/>
      <c r="O62" s="297"/>
      <c r="P62" s="297"/>
      <c r="Q62" s="297"/>
      <c r="R62" s="297"/>
      <c r="S62" s="297"/>
      <c r="T62" s="260"/>
      <c r="U62" s="260"/>
      <c r="V62" s="260"/>
      <c r="W62" s="260"/>
      <c r="X62" s="260"/>
      <c r="Y62" s="260"/>
      <c r="Z62" s="260"/>
      <c r="AA62" s="260"/>
      <c r="AE62" s="332" t="s">
        <v>1021</v>
      </c>
      <c r="AF62" s="328" t="s">
        <v>26</v>
      </c>
      <c r="AG62" s="328">
        <v>58000</v>
      </c>
      <c r="AH62" s="328" t="s">
        <v>91</v>
      </c>
      <c r="AI62" s="328" t="s">
        <v>110</v>
      </c>
      <c r="AJ62" s="328" t="s">
        <v>990</v>
      </c>
    </row>
    <row r="63" spans="1:36" ht="15" thickBot="1" x14ac:dyDescent="0.35">
      <c r="A63" s="261" t="s">
        <v>686</v>
      </c>
      <c r="B63" s="261" t="s">
        <v>26</v>
      </c>
      <c r="C63" s="20">
        <v>58.72627</v>
      </c>
      <c r="D63" s="20">
        <v>6</v>
      </c>
      <c r="E63" s="20">
        <v>5.54</v>
      </c>
      <c r="F63" s="261" t="s">
        <v>203</v>
      </c>
      <c r="G63" s="64" t="s">
        <v>28</v>
      </c>
      <c r="H63" s="261" t="s">
        <v>1070</v>
      </c>
      <c r="I63" s="261" t="s">
        <v>252</v>
      </c>
      <c r="K63" s="309">
        <f t="shared" si="0"/>
        <v>352.35762</v>
      </c>
      <c r="L63" s="309">
        <f t="shared" si="1"/>
        <v>325.34353579999998</v>
      </c>
      <c r="M63" s="297"/>
      <c r="N63" s="297"/>
      <c r="O63" s="297"/>
      <c r="P63" s="297"/>
      <c r="Q63" s="297"/>
      <c r="R63" s="297"/>
      <c r="S63" s="297"/>
      <c r="T63" s="260"/>
      <c r="U63" s="260"/>
      <c r="V63" s="260"/>
      <c r="W63" s="260"/>
      <c r="X63" s="260"/>
      <c r="Y63" s="260"/>
      <c r="Z63" s="260"/>
      <c r="AA63" s="260"/>
      <c r="AE63" s="403" t="s">
        <v>686</v>
      </c>
      <c r="AF63" s="418" t="s">
        <v>26</v>
      </c>
      <c r="AG63" s="418">
        <v>58726.27</v>
      </c>
      <c r="AH63" s="418" t="s">
        <v>28</v>
      </c>
      <c r="AI63" s="418" t="s">
        <v>252</v>
      </c>
      <c r="AJ63" s="418" t="s">
        <v>986</v>
      </c>
    </row>
    <row r="64" spans="1:36" ht="15" thickBot="1" x14ac:dyDescent="0.35">
      <c r="A64" s="261" t="s">
        <v>676</v>
      </c>
      <c r="B64" s="261" t="s">
        <v>26</v>
      </c>
      <c r="C64" s="20">
        <v>75</v>
      </c>
      <c r="D64" s="20">
        <v>11.635631859521771</v>
      </c>
      <c r="E64" s="20" t="s">
        <v>28</v>
      </c>
      <c r="F64" s="261" t="s">
        <v>203</v>
      </c>
      <c r="G64" s="64" t="s">
        <v>28</v>
      </c>
      <c r="H64" s="261" t="s">
        <v>1070</v>
      </c>
      <c r="I64" s="261" t="s">
        <v>252</v>
      </c>
      <c r="K64" s="309">
        <f t="shared" si="0"/>
        <v>872.67238946413283</v>
      </c>
      <c r="L64" s="309" t="str">
        <f t="shared" si="1"/>
        <v/>
      </c>
      <c r="M64" s="297"/>
      <c r="N64" s="297"/>
      <c r="O64" s="297"/>
      <c r="P64" s="297"/>
      <c r="Q64" s="297"/>
      <c r="R64" s="297"/>
      <c r="S64" s="297"/>
      <c r="T64" s="260"/>
      <c r="U64" s="260"/>
      <c r="V64" s="260"/>
      <c r="W64" s="260"/>
      <c r="X64" s="260"/>
      <c r="Y64" s="260"/>
      <c r="Z64" s="260"/>
      <c r="AA64" s="260"/>
      <c r="AE64" s="332" t="s">
        <v>676</v>
      </c>
      <c r="AF64" s="328" t="s">
        <v>26</v>
      </c>
      <c r="AG64" s="328">
        <v>75000</v>
      </c>
      <c r="AH64" s="328" t="s">
        <v>28</v>
      </c>
      <c r="AI64" s="328" t="s">
        <v>252</v>
      </c>
      <c r="AJ64" s="328" t="s">
        <v>990</v>
      </c>
    </row>
    <row r="65" spans="1:36" ht="15" thickBot="1" x14ac:dyDescent="0.35">
      <c r="A65" s="261" t="s">
        <v>683</v>
      </c>
      <c r="B65" s="261" t="s">
        <v>26</v>
      </c>
      <c r="C65" s="20">
        <v>82.21678</v>
      </c>
      <c r="D65" s="20">
        <v>4.2857142857142856</v>
      </c>
      <c r="E65" s="20">
        <v>3.5142857142857142</v>
      </c>
      <c r="F65" s="261" t="s">
        <v>203</v>
      </c>
      <c r="G65" s="64" t="s">
        <v>28</v>
      </c>
      <c r="H65" s="261" t="s">
        <v>1070</v>
      </c>
      <c r="I65" s="261" t="s">
        <v>252</v>
      </c>
      <c r="K65" s="309">
        <f t="shared" si="0"/>
        <v>352.35762857142856</v>
      </c>
      <c r="L65" s="309">
        <f t="shared" si="1"/>
        <v>288.93325542857144</v>
      </c>
      <c r="M65" s="297"/>
      <c r="N65" s="297"/>
      <c r="O65" s="297"/>
      <c r="P65" s="297"/>
      <c r="Q65" s="297"/>
      <c r="R65" s="297"/>
      <c r="S65" s="297"/>
      <c r="T65" s="260"/>
      <c r="U65" s="260"/>
      <c r="V65" s="260"/>
      <c r="W65" s="260"/>
      <c r="X65" s="260"/>
      <c r="Y65" s="260"/>
      <c r="Z65" s="260"/>
      <c r="AA65" s="260"/>
      <c r="AE65" s="403" t="s">
        <v>683</v>
      </c>
      <c r="AF65" s="418" t="s">
        <v>26</v>
      </c>
      <c r="AG65" s="418">
        <v>82216.78</v>
      </c>
      <c r="AH65" s="418" t="s">
        <v>28</v>
      </c>
      <c r="AI65" s="418" t="s">
        <v>252</v>
      </c>
      <c r="AJ65" s="418" t="s">
        <v>986</v>
      </c>
    </row>
    <row r="66" spans="1:36" ht="15" thickBot="1" x14ac:dyDescent="0.35">
      <c r="A66" s="261" t="s">
        <v>688</v>
      </c>
      <c r="B66" s="261" t="s">
        <v>26</v>
      </c>
      <c r="C66" s="20">
        <v>100</v>
      </c>
      <c r="D66" s="20">
        <v>7.3055481325261189</v>
      </c>
      <c r="E66" s="20" t="s">
        <v>28</v>
      </c>
      <c r="F66" s="261" t="s">
        <v>203</v>
      </c>
      <c r="G66" s="64" t="s">
        <v>28</v>
      </c>
      <c r="H66" s="261" t="s">
        <v>1070</v>
      </c>
      <c r="I66" s="261" t="s">
        <v>352</v>
      </c>
      <c r="K66" s="309">
        <f t="shared" si="0"/>
        <v>730.55481325261189</v>
      </c>
      <c r="L66" s="309" t="str">
        <f t="shared" si="1"/>
        <v/>
      </c>
      <c r="M66" s="297"/>
      <c r="N66" s="297"/>
      <c r="O66" s="297"/>
      <c r="P66" s="297"/>
      <c r="Q66" s="297"/>
      <c r="R66" s="297"/>
      <c r="S66" s="297"/>
      <c r="T66" s="260"/>
      <c r="U66" s="260"/>
      <c r="V66" s="260"/>
      <c r="W66" s="260"/>
      <c r="X66" s="260"/>
      <c r="Y66" s="260"/>
      <c r="Z66" s="260"/>
      <c r="AA66" s="260"/>
      <c r="AE66" s="332" t="s">
        <v>688</v>
      </c>
      <c r="AF66" s="328" t="s">
        <v>26</v>
      </c>
      <c r="AG66" s="328">
        <v>100000</v>
      </c>
      <c r="AH66" s="328" t="s">
        <v>28</v>
      </c>
      <c r="AI66" s="328" t="s">
        <v>1020</v>
      </c>
      <c r="AJ66" s="328" t="s">
        <v>990</v>
      </c>
    </row>
    <row r="67" spans="1:36" ht="15" thickBot="1" x14ac:dyDescent="0.35">
      <c r="A67" s="261" t="s">
        <v>1022</v>
      </c>
      <c r="B67" s="261" t="s">
        <v>26</v>
      </c>
      <c r="C67" s="20">
        <v>110</v>
      </c>
      <c r="D67" s="20">
        <v>10.826988901463732</v>
      </c>
      <c r="E67" s="20" t="s">
        <v>28</v>
      </c>
      <c r="F67" s="261" t="s">
        <v>21</v>
      </c>
      <c r="G67" s="64">
        <v>0.20100000000000001</v>
      </c>
      <c r="H67" s="261" t="s">
        <v>1070</v>
      </c>
      <c r="I67" s="261" t="s">
        <v>641</v>
      </c>
      <c r="K67" s="309">
        <f t="shared" ref="K67:K130" si="2">IFERROR(D67*$C67,"")</f>
        <v>1190.9687791610106</v>
      </c>
      <c r="L67" s="309" t="str">
        <f t="shared" ref="L67:L130" si="3">IFERROR(E67*$C67,"")</f>
        <v/>
      </c>
      <c r="M67" s="297"/>
      <c r="N67" s="297"/>
      <c r="O67" s="297"/>
      <c r="P67" s="297"/>
      <c r="Q67" s="297"/>
      <c r="R67" s="297"/>
      <c r="S67" s="297"/>
      <c r="T67" s="260"/>
      <c r="U67" s="260"/>
      <c r="V67" s="260"/>
      <c r="W67" s="260"/>
      <c r="X67" s="260"/>
      <c r="Y67" s="260"/>
      <c r="Z67" s="260"/>
      <c r="AA67" s="260"/>
      <c r="AE67" s="403" t="s">
        <v>1022</v>
      </c>
      <c r="AF67" s="418" t="s">
        <v>26</v>
      </c>
      <c r="AG67" s="418">
        <v>110000</v>
      </c>
      <c r="AH67" s="418" t="s">
        <v>21</v>
      </c>
      <c r="AI67" s="418" t="s">
        <v>641</v>
      </c>
      <c r="AJ67" s="418" t="s">
        <v>990</v>
      </c>
    </row>
    <row r="68" spans="1:36" ht="15" thickBot="1" x14ac:dyDescent="0.35">
      <c r="A68" s="261" t="s">
        <v>729</v>
      </c>
      <c r="B68" s="261" t="s">
        <v>26</v>
      </c>
      <c r="C68" s="20">
        <v>130</v>
      </c>
      <c r="D68" s="20">
        <v>8.5469311567767843</v>
      </c>
      <c r="E68" s="20" t="s">
        <v>28</v>
      </c>
      <c r="F68" s="261" t="s">
        <v>21</v>
      </c>
      <c r="G68" s="64">
        <v>0.107</v>
      </c>
      <c r="H68" s="261" t="s">
        <v>1070</v>
      </c>
      <c r="I68" s="261" t="s">
        <v>252</v>
      </c>
      <c r="K68" s="309">
        <f t="shared" si="2"/>
        <v>1111.1010503809819</v>
      </c>
      <c r="L68" s="309" t="str">
        <f t="shared" si="3"/>
        <v/>
      </c>
      <c r="M68" s="297"/>
      <c r="N68" s="297"/>
      <c r="O68" s="297"/>
      <c r="P68" s="297"/>
      <c r="Q68" s="297"/>
      <c r="R68" s="297"/>
      <c r="S68" s="297"/>
      <c r="T68" s="260"/>
      <c r="U68" s="260"/>
      <c r="V68" s="260"/>
      <c r="W68" s="260"/>
      <c r="X68" s="260"/>
      <c r="Y68" s="260"/>
      <c r="Z68" s="260"/>
      <c r="AA68" s="260"/>
      <c r="AE68" s="332" t="s">
        <v>729</v>
      </c>
      <c r="AF68" s="328" t="s">
        <v>26</v>
      </c>
      <c r="AG68" s="328">
        <v>130000</v>
      </c>
      <c r="AH68" s="328" t="s">
        <v>21</v>
      </c>
      <c r="AI68" s="328" t="s">
        <v>252</v>
      </c>
      <c r="AJ68" s="328" t="s">
        <v>990</v>
      </c>
    </row>
    <row r="69" spans="1:36" ht="15" thickBot="1" x14ac:dyDescent="0.35">
      <c r="A69" s="261" t="s">
        <v>731</v>
      </c>
      <c r="B69" s="261" t="s">
        <v>26</v>
      </c>
      <c r="C69" s="20">
        <v>150</v>
      </c>
      <c r="D69" s="20">
        <v>8.2764891490676398</v>
      </c>
      <c r="E69" s="20" t="s">
        <v>28</v>
      </c>
      <c r="F69" s="261" t="s">
        <v>732</v>
      </c>
      <c r="G69" s="64">
        <v>0.25</v>
      </c>
      <c r="H69" s="261" t="s">
        <v>1070</v>
      </c>
      <c r="I69" s="261" t="s">
        <v>252</v>
      </c>
      <c r="K69" s="309">
        <f t="shared" si="2"/>
        <v>1241.473372360146</v>
      </c>
      <c r="L69" s="309" t="str">
        <f t="shared" si="3"/>
        <v/>
      </c>
      <c r="M69" s="297"/>
      <c r="N69" s="297"/>
      <c r="O69" s="297"/>
      <c r="P69" s="297"/>
      <c r="Q69" s="297"/>
      <c r="R69" s="297"/>
      <c r="S69" s="297"/>
      <c r="T69" s="260"/>
      <c r="U69" s="260"/>
      <c r="V69" s="260"/>
      <c r="W69" s="260"/>
      <c r="X69" s="260"/>
      <c r="Y69" s="260"/>
      <c r="Z69" s="260"/>
      <c r="AA69" s="260"/>
      <c r="AE69" s="403" t="s">
        <v>731</v>
      </c>
      <c r="AF69" s="418" t="s">
        <v>26</v>
      </c>
      <c r="AG69" s="418">
        <v>150000</v>
      </c>
      <c r="AH69" s="418" t="s">
        <v>139</v>
      </c>
      <c r="AI69" s="418" t="s">
        <v>252</v>
      </c>
      <c r="AJ69" s="418" t="s">
        <v>990</v>
      </c>
    </row>
    <row r="70" spans="1:36" ht="15" thickBot="1" x14ac:dyDescent="0.35">
      <c r="A70" s="261" t="s">
        <v>685</v>
      </c>
      <c r="B70" s="261" t="s">
        <v>26</v>
      </c>
      <c r="C70" s="20">
        <v>182.0514</v>
      </c>
      <c r="D70" s="20">
        <v>6.0283870967741935</v>
      </c>
      <c r="E70" s="20" t="s">
        <v>28</v>
      </c>
      <c r="F70" s="261" t="s">
        <v>203</v>
      </c>
      <c r="G70" s="64" t="s">
        <v>28</v>
      </c>
      <c r="H70" s="261" t="s">
        <v>1070</v>
      </c>
      <c r="I70" s="261" t="s">
        <v>352</v>
      </c>
      <c r="K70" s="309">
        <f t="shared" si="2"/>
        <v>1097.4763107096774</v>
      </c>
      <c r="L70" s="309" t="str">
        <f t="shared" si="3"/>
        <v/>
      </c>
      <c r="M70" s="297"/>
      <c r="N70" s="297"/>
      <c r="O70" s="297"/>
      <c r="P70" s="297"/>
      <c r="Q70" s="297"/>
      <c r="R70" s="297"/>
      <c r="S70" s="297"/>
      <c r="T70" s="260"/>
      <c r="U70" s="260"/>
      <c r="V70" s="260"/>
      <c r="W70" s="260"/>
      <c r="X70" s="260"/>
      <c r="Y70" s="260"/>
      <c r="Z70" s="260"/>
      <c r="AA70" s="260"/>
      <c r="AE70" s="332" t="s">
        <v>685</v>
      </c>
      <c r="AF70" s="328" t="s">
        <v>26</v>
      </c>
      <c r="AG70" s="328">
        <v>182051.4</v>
      </c>
      <c r="AH70" s="328" t="s">
        <v>28</v>
      </c>
      <c r="AI70" s="328" t="s">
        <v>989</v>
      </c>
      <c r="AJ70" s="328" t="s">
        <v>990</v>
      </c>
    </row>
    <row r="71" spans="1:36" ht="15" thickBot="1" x14ac:dyDescent="0.35">
      <c r="A71" s="261" t="s">
        <v>678</v>
      </c>
      <c r="B71" s="261" t="s">
        <v>26</v>
      </c>
      <c r="C71" s="20">
        <v>234.9051</v>
      </c>
      <c r="D71" s="20">
        <v>6.25</v>
      </c>
      <c r="E71" s="20" t="s">
        <v>28</v>
      </c>
      <c r="F71" s="261" t="s">
        <v>203</v>
      </c>
      <c r="G71" s="64" t="s">
        <v>28</v>
      </c>
      <c r="H71" s="261" t="s">
        <v>1070</v>
      </c>
      <c r="I71" s="261" t="s">
        <v>252</v>
      </c>
      <c r="K71" s="309">
        <f t="shared" si="2"/>
        <v>1468.1568750000001</v>
      </c>
      <c r="L71" s="309" t="str">
        <f t="shared" si="3"/>
        <v/>
      </c>
      <c r="M71" s="297"/>
      <c r="N71" s="297"/>
      <c r="O71" s="297"/>
      <c r="P71" s="297"/>
      <c r="Q71" s="297"/>
      <c r="R71" s="297"/>
      <c r="S71" s="297"/>
      <c r="T71" s="260"/>
      <c r="U71" s="260"/>
      <c r="V71" s="260"/>
      <c r="W71" s="260"/>
      <c r="X71" s="260"/>
      <c r="Y71" s="260"/>
      <c r="Z71" s="260"/>
      <c r="AA71" s="260"/>
      <c r="AE71" s="403" t="s">
        <v>678</v>
      </c>
      <c r="AF71" s="418" t="s">
        <v>26</v>
      </c>
      <c r="AG71" s="418">
        <v>234905.1</v>
      </c>
      <c r="AH71" s="418" t="s">
        <v>28</v>
      </c>
      <c r="AI71" s="418" t="s">
        <v>252</v>
      </c>
      <c r="AJ71" s="418" t="s">
        <v>990</v>
      </c>
    </row>
    <row r="72" spans="1:36" ht="15" thickBot="1" x14ac:dyDescent="0.35">
      <c r="A72" s="261" t="s">
        <v>679</v>
      </c>
      <c r="B72" s="261" t="s">
        <v>26</v>
      </c>
      <c r="C72" s="20">
        <v>234.9051</v>
      </c>
      <c r="D72" s="20">
        <v>6.25</v>
      </c>
      <c r="E72" s="20" t="s">
        <v>28</v>
      </c>
      <c r="F72" s="261" t="s">
        <v>203</v>
      </c>
      <c r="G72" s="64" t="s">
        <v>28</v>
      </c>
      <c r="H72" s="261" t="s">
        <v>1070</v>
      </c>
      <c r="I72" s="261" t="s">
        <v>252</v>
      </c>
      <c r="K72" s="309">
        <f t="shared" si="2"/>
        <v>1468.1568750000001</v>
      </c>
      <c r="L72" s="309" t="str">
        <f t="shared" si="3"/>
        <v/>
      </c>
      <c r="M72" s="297"/>
      <c r="N72" s="297"/>
      <c r="O72" s="297"/>
      <c r="P72" s="297"/>
      <c r="Q72" s="297"/>
      <c r="R72" s="297"/>
      <c r="S72" s="297"/>
      <c r="T72" s="260"/>
      <c r="U72" s="260"/>
      <c r="V72" s="260"/>
      <c r="W72" s="260"/>
      <c r="X72" s="260"/>
      <c r="Y72" s="260"/>
      <c r="Z72" s="260"/>
      <c r="AA72" s="260"/>
      <c r="AE72" s="332" t="s">
        <v>679</v>
      </c>
      <c r="AF72" s="328" t="s">
        <v>26</v>
      </c>
      <c r="AG72" s="328">
        <v>234905.1</v>
      </c>
      <c r="AH72" s="328" t="s">
        <v>28</v>
      </c>
      <c r="AI72" s="328" t="s">
        <v>252</v>
      </c>
      <c r="AJ72" s="328" t="s">
        <v>990</v>
      </c>
    </row>
    <row r="73" spans="1:36" ht="15" thickBot="1" x14ac:dyDescent="0.35">
      <c r="A73" s="261" t="s">
        <v>1023</v>
      </c>
      <c r="B73" s="261" t="s">
        <v>26</v>
      </c>
      <c r="C73" s="20">
        <v>234.9051</v>
      </c>
      <c r="D73" s="20">
        <v>7</v>
      </c>
      <c r="E73" s="20" t="s">
        <v>28</v>
      </c>
      <c r="F73" s="261" t="s">
        <v>203</v>
      </c>
      <c r="G73" s="64" t="s">
        <v>28</v>
      </c>
      <c r="H73" s="261" t="s">
        <v>1070</v>
      </c>
      <c r="I73" s="261" t="s">
        <v>252</v>
      </c>
      <c r="K73" s="309">
        <f t="shared" si="2"/>
        <v>1644.3357000000001</v>
      </c>
      <c r="L73" s="309" t="str">
        <f t="shared" si="3"/>
        <v/>
      </c>
      <c r="M73" s="297"/>
      <c r="N73" s="297"/>
      <c r="O73" s="297"/>
      <c r="P73" s="297"/>
      <c r="Q73" s="297"/>
      <c r="R73" s="297"/>
      <c r="S73" s="297"/>
      <c r="T73" s="260"/>
      <c r="U73" s="260"/>
      <c r="V73" s="260"/>
      <c r="W73" s="260"/>
      <c r="X73" s="260"/>
      <c r="Y73" s="260"/>
      <c r="Z73" s="260"/>
      <c r="AA73" s="260"/>
      <c r="AE73" s="403" t="s">
        <v>1023</v>
      </c>
      <c r="AF73" s="418" t="s">
        <v>26</v>
      </c>
      <c r="AG73" s="418">
        <v>234905.1</v>
      </c>
      <c r="AH73" s="418" t="s">
        <v>28</v>
      </c>
      <c r="AI73" s="418" t="s">
        <v>252</v>
      </c>
      <c r="AJ73" s="418" t="s">
        <v>990</v>
      </c>
    </row>
    <row r="74" spans="1:36" ht="15" thickBot="1" x14ac:dyDescent="0.35">
      <c r="A74" s="261" t="s">
        <v>117</v>
      </c>
      <c r="B74" s="261" t="s">
        <v>26</v>
      </c>
      <c r="C74" s="20">
        <v>284</v>
      </c>
      <c r="D74" s="20">
        <v>9.1304347826086953</v>
      </c>
      <c r="E74" s="20">
        <v>8.5</v>
      </c>
      <c r="F74" s="261" t="s">
        <v>21</v>
      </c>
      <c r="G74" s="64">
        <v>0.1076</v>
      </c>
      <c r="H74" s="261" t="s">
        <v>1070</v>
      </c>
      <c r="I74" s="261" t="s">
        <v>252</v>
      </c>
      <c r="K74" s="309">
        <f t="shared" si="2"/>
        <v>2593.0434782608695</v>
      </c>
      <c r="L74" s="309">
        <f t="shared" si="3"/>
        <v>2414</v>
      </c>
      <c r="M74" s="297"/>
      <c r="N74" s="297"/>
      <c r="O74" s="297"/>
      <c r="P74" s="297"/>
      <c r="Q74" s="297"/>
      <c r="R74" s="297"/>
      <c r="S74" s="297"/>
      <c r="T74" s="260"/>
      <c r="U74" s="260"/>
      <c r="V74" s="260"/>
      <c r="W74" s="260"/>
      <c r="X74" s="260"/>
      <c r="Y74" s="260"/>
      <c r="Z74" s="260"/>
      <c r="AA74" s="260"/>
      <c r="AE74" s="332" t="s">
        <v>117</v>
      </c>
      <c r="AF74" s="328" t="s">
        <v>26</v>
      </c>
      <c r="AG74" s="328">
        <v>284000</v>
      </c>
      <c r="AH74" s="328" t="s">
        <v>21</v>
      </c>
      <c r="AI74" s="328" t="s">
        <v>252</v>
      </c>
      <c r="AJ74" s="328" t="s">
        <v>986</v>
      </c>
    </row>
    <row r="75" spans="1:36" ht="15" thickBot="1" x14ac:dyDescent="0.35">
      <c r="A75" s="261" t="s">
        <v>361</v>
      </c>
      <c r="B75" s="261" t="s">
        <v>26</v>
      </c>
      <c r="C75" s="20">
        <v>293.63140000000004</v>
      </c>
      <c r="D75" s="20">
        <v>6.94</v>
      </c>
      <c r="E75" s="20" t="s">
        <v>28</v>
      </c>
      <c r="F75" s="261" t="s">
        <v>21</v>
      </c>
      <c r="G75" s="64" t="s">
        <v>28</v>
      </c>
      <c r="H75" s="261" t="s">
        <v>342</v>
      </c>
      <c r="I75" s="261" t="s">
        <v>252</v>
      </c>
      <c r="K75" s="309">
        <f t="shared" si="2"/>
        <v>2037.8019160000003</v>
      </c>
      <c r="L75" s="309" t="str">
        <f t="shared" si="3"/>
        <v/>
      </c>
      <c r="M75" s="297"/>
      <c r="N75" s="297"/>
      <c r="O75" s="297"/>
      <c r="P75" s="297"/>
      <c r="Q75" s="297"/>
      <c r="R75" s="297"/>
      <c r="S75" s="297"/>
      <c r="T75" s="260"/>
      <c r="U75" s="260"/>
      <c r="V75" s="260"/>
      <c r="W75" s="260"/>
      <c r="X75" s="260"/>
      <c r="Y75" s="260"/>
      <c r="Z75" s="260"/>
      <c r="AA75" s="260"/>
      <c r="AE75" s="403" t="s">
        <v>361</v>
      </c>
      <c r="AF75" s="418" t="s">
        <v>26</v>
      </c>
      <c r="AG75" s="418">
        <v>293631.40000000002</v>
      </c>
      <c r="AH75" s="418" t="s">
        <v>21</v>
      </c>
      <c r="AI75" s="418" t="s">
        <v>252</v>
      </c>
      <c r="AJ75" s="418" t="s">
        <v>990</v>
      </c>
    </row>
    <row r="76" spans="1:36" ht="15" thickBot="1" x14ac:dyDescent="0.35">
      <c r="A76" s="261" t="s">
        <v>205</v>
      </c>
      <c r="B76" s="261" t="s">
        <v>26</v>
      </c>
      <c r="C76" s="20">
        <v>322.99450000000002</v>
      </c>
      <c r="D76" s="20">
        <v>7.5163636363636366</v>
      </c>
      <c r="E76" s="20" t="s">
        <v>28</v>
      </c>
      <c r="F76" s="261" t="s">
        <v>203</v>
      </c>
      <c r="G76" s="64" t="s">
        <v>28</v>
      </c>
      <c r="H76" s="261" t="s">
        <v>1070</v>
      </c>
      <c r="I76" s="261" t="s">
        <v>252</v>
      </c>
      <c r="K76" s="309">
        <f t="shared" si="2"/>
        <v>2427.7441145454545</v>
      </c>
      <c r="L76" s="309" t="str">
        <f t="shared" si="3"/>
        <v/>
      </c>
      <c r="M76" s="297"/>
      <c r="N76" s="297"/>
      <c r="O76" s="297"/>
      <c r="P76" s="297"/>
      <c r="Q76" s="297"/>
      <c r="R76" s="297"/>
      <c r="S76" s="297"/>
      <c r="T76" s="260"/>
      <c r="U76" s="260"/>
      <c r="V76" s="260"/>
      <c r="W76" s="260"/>
      <c r="X76" s="260"/>
      <c r="Y76" s="260"/>
      <c r="Z76" s="260"/>
      <c r="AA76" s="260"/>
      <c r="AE76" s="332" t="s">
        <v>205</v>
      </c>
      <c r="AF76" s="328" t="s">
        <v>26</v>
      </c>
      <c r="AG76" s="328">
        <v>322994.5</v>
      </c>
      <c r="AH76" s="328" t="s">
        <v>28</v>
      </c>
      <c r="AI76" s="328" t="s">
        <v>252</v>
      </c>
      <c r="AJ76" s="328" t="s">
        <v>990</v>
      </c>
    </row>
    <row r="77" spans="1:36" ht="15" thickBot="1" x14ac:dyDescent="0.35">
      <c r="A77" s="261" t="s">
        <v>691</v>
      </c>
      <c r="B77" s="261" t="s">
        <v>26</v>
      </c>
      <c r="C77" s="20">
        <v>500</v>
      </c>
      <c r="D77" s="20">
        <v>13.124147079235829</v>
      </c>
      <c r="E77" s="20" t="s">
        <v>28</v>
      </c>
      <c r="F77" s="261" t="s">
        <v>203</v>
      </c>
      <c r="G77" s="64" t="s">
        <v>28</v>
      </c>
      <c r="H77" s="261" t="s">
        <v>1070</v>
      </c>
      <c r="I77" s="261" t="s">
        <v>641</v>
      </c>
      <c r="K77" s="309">
        <f t="shared" si="2"/>
        <v>6562.0735396179143</v>
      </c>
      <c r="L77" s="309" t="str">
        <f t="shared" si="3"/>
        <v/>
      </c>
      <c r="M77" s="297"/>
      <c r="N77" s="297"/>
      <c r="O77" s="297"/>
      <c r="P77" s="297"/>
      <c r="Q77" s="297"/>
      <c r="R77" s="297"/>
      <c r="S77" s="297"/>
      <c r="T77" s="260"/>
      <c r="U77" s="260"/>
      <c r="V77" s="260"/>
      <c r="W77" s="260"/>
      <c r="X77" s="260"/>
      <c r="Y77" s="260"/>
      <c r="Z77" s="260"/>
      <c r="AA77" s="260"/>
      <c r="AE77" s="403" t="s">
        <v>691</v>
      </c>
      <c r="AF77" s="418" t="s">
        <v>26</v>
      </c>
      <c r="AG77" s="418">
        <v>500000</v>
      </c>
      <c r="AH77" s="418" t="s">
        <v>28</v>
      </c>
      <c r="AI77" s="418" t="s">
        <v>641</v>
      </c>
      <c r="AJ77" s="418" t="s">
        <v>990</v>
      </c>
    </row>
    <row r="78" spans="1:36" ht="15" thickBot="1" x14ac:dyDescent="0.35">
      <c r="A78" s="261" t="s">
        <v>1024</v>
      </c>
      <c r="B78" s="261" t="s">
        <v>26</v>
      </c>
      <c r="C78" s="20">
        <v>500</v>
      </c>
      <c r="D78" s="20">
        <v>7.4727272727272727</v>
      </c>
      <c r="E78" s="20" t="s">
        <v>28</v>
      </c>
      <c r="F78" s="261" t="s">
        <v>203</v>
      </c>
      <c r="G78" s="64" t="s">
        <v>28</v>
      </c>
      <c r="H78" s="261" t="s">
        <v>1070</v>
      </c>
      <c r="I78" s="261" t="s">
        <v>252</v>
      </c>
      <c r="K78" s="309">
        <f t="shared" si="2"/>
        <v>3736.3636363636365</v>
      </c>
      <c r="L78" s="309" t="str">
        <f t="shared" si="3"/>
        <v/>
      </c>
      <c r="M78" s="297"/>
      <c r="N78" s="297"/>
      <c r="O78" s="297"/>
      <c r="P78" s="297"/>
      <c r="Q78" s="297"/>
      <c r="R78" s="297"/>
      <c r="S78" s="297"/>
      <c r="T78" s="260"/>
      <c r="U78" s="260"/>
      <c r="V78" s="260"/>
      <c r="W78" s="260"/>
      <c r="X78" s="260"/>
      <c r="Y78" s="260"/>
      <c r="Z78" s="260"/>
      <c r="AA78" s="260"/>
      <c r="AE78" s="332" t="s">
        <v>1024</v>
      </c>
      <c r="AF78" s="328" t="s">
        <v>26</v>
      </c>
      <c r="AG78" s="328">
        <v>500000</v>
      </c>
      <c r="AH78" s="328" t="s">
        <v>28</v>
      </c>
      <c r="AI78" s="328" t="s">
        <v>252</v>
      </c>
      <c r="AJ78" s="328" t="s">
        <v>990</v>
      </c>
    </row>
    <row r="79" spans="1:36" ht="15" thickBot="1" x14ac:dyDescent="0.35">
      <c r="A79" s="261" t="s">
        <v>101</v>
      </c>
      <c r="B79" s="261" t="s">
        <v>26</v>
      </c>
      <c r="C79" s="20">
        <v>645.98900000000003</v>
      </c>
      <c r="D79" s="20">
        <v>7.7181818181818178</v>
      </c>
      <c r="E79" s="20">
        <v>5.4636363636363638</v>
      </c>
      <c r="F79" s="261" t="s">
        <v>91</v>
      </c>
      <c r="G79" s="64">
        <v>0.1</v>
      </c>
      <c r="H79" s="261" t="s">
        <v>1070</v>
      </c>
      <c r="I79" s="261" t="s">
        <v>641</v>
      </c>
      <c r="K79" s="309">
        <f t="shared" si="2"/>
        <v>4985.8605545454548</v>
      </c>
      <c r="L79" s="309">
        <f t="shared" si="3"/>
        <v>3529.4489909090912</v>
      </c>
      <c r="M79" s="297"/>
      <c r="N79" s="297"/>
      <c r="O79" s="297"/>
      <c r="P79" s="297"/>
      <c r="Q79" s="297"/>
      <c r="R79" s="297"/>
      <c r="S79" s="297"/>
      <c r="T79" s="260"/>
      <c r="U79" s="260"/>
      <c r="V79" s="111"/>
      <c r="W79" s="260"/>
      <c r="X79" s="260"/>
      <c r="Y79" s="260"/>
      <c r="Z79" s="260"/>
      <c r="AA79" s="260"/>
      <c r="AE79" s="403" t="s">
        <v>101</v>
      </c>
      <c r="AF79" s="418" t="s">
        <v>26</v>
      </c>
      <c r="AG79" s="418">
        <v>645989</v>
      </c>
      <c r="AH79" s="418" t="s">
        <v>91</v>
      </c>
      <c r="AI79" s="418" t="s">
        <v>641</v>
      </c>
      <c r="AJ79" s="418" t="s">
        <v>990</v>
      </c>
    </row>
    <row r="80" spans="1:36" ht="15" thickBot="1" x14ac:dyDescent="0.35">
      <c r="A80" s="261" t="s">
        <v>570</v>
      </c>
      <c r="B80" s="261" t="s">
        <v>26</v>
      </c>
      <c r="C80" s="20">
        <v>645.98900000000003</v>
      </c>
      <c r="D80" s="20">
        <v>6.3636363636363633</v>
      </c>
      <c r="E80" s="20" t="s">
        <v>28</v>
      </c>
      <c r="F80" s="261" t="s">
        <v>91</v>
      </c>
      <c r="G80" s="64">
        <v>0.107</v>
      </c>
      <c r="H80" s="261" t="s">
        <v>342</v>
      </c>
      <c r="I80" s="261" t="s">
        <v>252</v>
      </c>
      <c r="K80" s="309">
        <f t="shared" si="2"/>
        <v>4110.8390909090913</v>
      </c>
      <c r="L80" s="309" t="str">
        <f t="shared" si="3"/>
        <v/>
      </c>
      <c r="M80" s="297"/>
      <c r="N80" s="297"/>
      <c r="O80" s="297"/>
      <c r="P80" s="297"/>
      <c r="Q80" s="297"/>
      <c r="R80" s="297"/>
      <c r="S80" s="297"/>
      <c r="T80" s="260"/>
      <c r="U80" s="260"/>
      <c r="V80" s="260"/>
      <c r="W80" s="260"/>
      <c r="X80" s="260"/>
      <c r="Y80" s="260"/>
      <c r="Z80" s="260"/>
      <c r="AA80" s="260"/>
      <c r="AE80" s="332" t="s">
        <v>570</v>
      </c>
      <c r="AF80" s="328" t="s">
        <v>26</v>
      </c>
      <c r="AG80" s="328">
        <v>645989</v>
      </c>
      <c r="AH80" s="328" t="s">
        <v>91</v>
      </c>
      <c r="AI80" s="328" t="s">
        <v>252</v>
      </c>
      <c r="AJ80" s="328" t="s">
        <v>990</v>
      </c>
    </row>
    <row r="81" spans="1:36" ht="15" thickBot="1" x14ac:dyDescent="0.35">
      <c r="A81" s="261" t="s">
        <v>1025</v>
      </c>
      <c r="B81" s="261" t="s">
        <v>3</v>
      </c>
      <c r="C81" s="20">
        <v>0.59599999999999997</v>
      </c>
      <c r="D81" s="20">
        <v>10.987289652703186</v>
      </c>
      <c r="E81" s="20">
        <v>9.4432509846043668</v>
      </c>
      <c r="F81" s="261" t="s">
        <v>21</v>
      </c>
      <c r="G81" s="64">
        <v>0.161</v>
      </c>
      <c r="H81" s="261" t="s">
        <v>1069</v>
      </c>
      <c r="I81" s="261" t="s">
        <v>641</v>
      </c>
      <c r="K81" s="309">
        <f t="shared" si="2"/>
        <v>6.5484246330110985</v>
      </c>
      <c r="L81" s="309">
        <f t="shared" si="3"/>
        <v>5.6281775868242025</v>
      </c>
      <c r="M81" s="297"/>
      <c r="N81" s="297"/>
      <c r="O81" s="297"/>
      <c r="P81" s="297"/>
      <c r="Q81" s="297"/>
      <c r="R81" s="297"/>
      <c r="S81" s="297"/>
      <c r="T81" s="260"/>
      <c r="U81" s="260"/>
      <c r="V81" s="260"/>
      <c r="W81" s="260"/>
      <c r="X81" s="260"/>
      <c r="Y81" s="260"/>
      <c r="Z81" s="260"/>
      <c r="AA81" s="260"/>
      <c r="AE81" s="403" t="s">
        <v>1025</v>
      </c>
      <c r="AF81" s="418" t="s">
        <v>3</v>
      </c>
      <c r="AG81" s="418">
        <v>596</v>
      </c>
      <c r="AH81" s="418" t="s">
        <v>21</v>
      </c>
      <c r="AI81" s="418" t="s">
        <v>641</v>
      </c>
      <c r="AJ81" s="418" t="s">
        <v>990</v>
      </c>
    </row>
    <row r="82" spans="1:36" ht="15" thickBot="1" x14ac:dyDescent="0.35">
      <c r="A82" s="261" t="s">
        <v>43</v>
      </c>
      <c r="B82" s="261" t="s">
        <v>3</v>
      </c>
      <c r="C82" s="20">
        <v>0.6</v>
      </c>
      <c r="D82" s="20">
        <v>8.784482073296763</v>
      </c>
      <c r="E82" s="20">
        <v>7.1349073853247464</v>
      </c>
      <c r="F82" s="261" t="s">
        <v>21</v>
      </c>
      <c r="G82" s="64">
        <v>0.13320000000000001</v>
      </c>
      <c r="H82" s="261" t="s">
        <v>1069</v>
      </c>
      <c r="I82" s="261" t="s">
        <v>641</v>
      </c>
      <c r="K82" s="309">
        <f t="shared" si="2"/>
        <v>5.2706892439780573</v>
      </c>
      <c r="L82" s="309">
        <f t="shared" si="3"/>
        <v>4.2809444311948477</v>
      </c>
      <c r="M82" s="297"/>
      <c r="N82" s="297"/>
      <c r="O82" s="297"/>
      <c r="P82" s="297"/>
      <c r="Q82" s="297"/>
      <c r="R82" s="297"/>
      <c r="S82" s="297"/>
      <c r="T82" s="260"/>
      <c r="U82" s="260"/>
      <c r="V82" s="260"/>
      <c r="W82" s="260"/>
      <c r="X82" s="260"/>
      <c r="Y82" s="260"/>
      <c r="Z82" s="260"/>
      <c r="AA82" s="260"/>
      <c r="AE82" s="332" t="s">
        <v>43</v>
      </c>
      <c r="AF82" s="328" t="s">
        <v>3</v>
      </c>
      <c r="AG82" s="328">
        <v>600</v>
      </c>
      <c r="AH82" s="328" t="s">
        <v>21</v>
      </c>
      <c r="AI82" s="328" t="s">
        <v>641</v>
      </c>
      <c r="AJ82" s="328" t="s">
        <v>990</v>
      </c>
    </row>
    <row r="83" spans="1:36" ht="15" thickBot="1" x14ac:dyDescent="0.35">
      <c r="A83" s="261" t="s">
        <v>1026</v>
      </c>
      <c r="B83" s="261" t="s">
        <v>3</v>
      </c>
      <c r="C83" s="20">
        <v>0.6</v>
      </c>
      <c r="D83" s="20">
        <v>11.6462299939241</v>
      </c>
      <c r="E83" s="20">
        <v>6.046848387291849</v>
      </c>
      <c r="F83" s="261" t="s">
        <v>91</v>
      </c>
      <c r="G83" s="64">
        <v>0.13919999999999999</v>
      </c>
      <c r="H83" s="261" t="s">
        <v>1069</v>
      </c>
      <c r="I83" s="261" t="s">
        <v>641</v>
      </c>
      <c r="K83" s="309">
        <f t="shared" si="2"/>
        <v>6.9877379963544604</v>
      </c>
      <c r="L83" s="309">
        <f t="shared" si="3"/>
        <v>3.6281090323751091</v>
      </c>
      <c r="M83" s="297"/>
      <c r="N83" s="297"/>
      <c r="O83" s="297"/>
      <c r="P83" s="297"/>
      <c r="Q83" s="297"/>
      <c r="R83" s="297"/>
      <c r="S83" s="297"/>
      <c r="T83" s="260"/>
      <c r="U83" s="260"/>
      <c r="V83" s="260"/>
      <c r="W83" s="260"/>
      <c r="X83" s="260"/>
      <c r="Y83" s="260"/>
      <c r="Z83" s="260"/>
      <c r="AA83" s="260"/>
      <c r="AE83" s="403" t="s">
        <v>1026</v>
      </c>
      <c r="AF83" s="418" t="s">
        <v>3</v>
      </c>
      <c r="AG83" s="418">
        <v>600</v>
      </c>
      <c r="AH83" s="418" t="s">
        <v>91</v>
      </c>
      <c r="AI83" s="418" t="s">
        <v>641</v>
      </c>
      <c r="AJ83" s="418" t="s">
        <v>990</v>
      </c>
    </row>
    <row r="84" spans="1:36" ht="15" thickBot="1" x14ac:dyDescent="0.35">
      <c r="A84" s="261" t="s">
        <v>45</v>
      </c>
      <c r="B84" s="261" t="s">
        <v>3</v>
      </c>
      <c r="C84" s="20">
        <v>0.63300000000000001</v>
      </c>
      <c r="D84" s="20">
        <v>11.261346643920726</v>
      </c>
      <c r="E84" s="20">
        <v>7.0343927044502008</v>
      </c>
      <c r="F84" s="261" t="s">
        <v>21</v>
      </c>
      <c r="G84" s="64">
        <v>0.16400000000000001</v>
      </c>
      <c r="H84" s="261" t="s">
        <v>1069</v>
      </c>
      <c r="I84" s="261" t="s">
        <v>641</v>
      </c>
      <c r="K84" s="309">
        <f t="shared" si="2"/>
        <v>7.1284324256018197</v>
      </c>
      <c r="L84" s="309">
        <f t="shared" si="3"/>
        <v>4.4527705819169769</v>
      </c>
      <c r="M84" s="297"/>
      <c r="N84" s="297"/>
      <c r="O84" s="297"/>
      <c r="P84" s="297"/>
      <c r="Q84" s="297"/>
      <c r="R84" s="297"/>
      <c r="S84" s="297"/>
      <c r="T84" s="260"/>
      <c r="U84" s="260"/>
      <c r="V84" s="260"/>
      <c r="W84" s="260"/>
      <c r="X84" s="260"/>
      <c r="Y84" s="260"/>
      <c r="Z84" s="260"/>
      <c r="AA84" s="260"/>
      <c r="AE84" s="332" t="s">
        <v>45</v>
      </c>
      <c r="AF84" s="328" t="s">
        <v>3</v>
      </c>
      <c r="AG84" s="328">
        <v>633</v>
      </c>
      <c r="AH84" s="328" t="s">
        <v>21</v>
      </c>
      <c r="AI84" s="328" t="s">
        <v>641</v>
      </c>
      <c r="AJ84" s="328" t="s">
        <v>990</v>
      </c>
    </row>
    <row r="85" spans="1:36" ht="15" thickBot="1" x14ac:dyDescent="0.35">
      <c r="A85" s="261" t="s">
        <v>31</v>
      </c>
      <c r="B85" s="261" t="s">
        <v>3</v>
      </c>
      <c r="C85" s="20">
        <v>0.72072000000000003</v>
      </c>
      <c r="D85" s="20">
        <v>8.1779074893215995</v>
      </c>
      <c r="E85" s="20">
        <v>4.6209737486129479</v>
      </c>
      <c r="F85" s="261" t="s">
        <v>21</v>
      </c>
      <c r="G85" s="64">
        <v>0.161</v>
      </c>
      <c r="H85" s="261" t="s">
        <v>1069</v>
      </c>
      <c r="I85" s="261" t="s">
        <v>641</v>
      </c>
      <c r="K85" s="309">
        <f t="shared" si="2"/>
        <v>5.893981485703863</v>
      </c>
      <c r="L85" s="309">
        <f t="shared" si="3"/>
        <v>3.3304282001003238</v>
      </c>
      <c r="M85" s="297"/>
      <c r="N85" s="297"/>
      <c r="O85" s="297"/>
      <c r="P85" s="297"/>
      <c r="Q85" s="297"/>
      <c r="R85" s="297"/>
      <c r="S85" s="297"/>
      <c r="T85" s="260"/>
      <c r="U85" s="260"/>
      <c r="V85" s="260"/>
      <c r="W85" s="260"/>
      <c r="X85" s="260"/>
      <c r="Y85" s="260"/>
      <c r="Z85" s="260"/>
      <c r="AA85" s="260"/>
      <c r="AE85" s="403" t="s">
        <v>31</v>
      </c>
      <c r="AF85" s="418" t="s">
        <v>3</v>
      </c>
      <c r="AG85" s="418">
        <v>720.72</v>
      </c>
      <c r="AH85" s="418" t="s">
        <v>21</v>
      </c>
      <c r="AI85" s="418" t="s">
        <v>641</v>
      </c>
      <c r="AJ85" s="418" t="s">
        <v>990</v>
      </c>
    </row>
    <row r="86" spans="1:36" ht="15" thickBot="1" x14ac:dyDescent="0.35">
      <c r="A86" s="261" t="s">
        <v>1027</v>
      </c>
      <c r="B86" s="261" t="s">
        <v>3</v>
      </c>
      <c r="C86" s="20">
        <v>1.0369999999999999</v>
      </c>
      <c r="D86" s="20">
        <v>13.500828821914748</v>
      </c>
      <c r="E86" s="20">
        <v>7.0097761276815929</v>
      </c>
      <c r="F86" s="261" t="s">
        <v>139</v>
      </c>
      <c r="G86" s="64">
        <v>0.14280000000000001</v>
      </c>
      <c r="H86" s="261" t="s">
        <v>1069</v>
      </c>
      <c r="I86" s="261" t="s">
        <v>641</v>
      </c>
      <c r="K86" s="309">
        <f t="shared" si="2"/>
        <v>14.000359488325593</v>
      </c>
      <c r="L86" s="309">
        <f t="shared" si="3"/>
        <v>7.2691378444058117</v>
      </c>
      <c r="M86" s="297"/>
      <c r="N86" s="297"/>
      <c r="O86" s="297"/>
      <c r="P86" s="297"/>
      <c r="Q86" s="297"/>
      <c r="R86" s="297"/>
      <c r="S86" s="297"/>
      <c r="T86" s="260"/>
      <c r="U86" s="260"/>
      <c r="V86" s="260"/>
      <c r="W86" s="260"/>
      <c r="X86" s="260"/>
      <c r="Y86" s="260"/>
      <c r="Z86" s="260"/>
      <c r="AA86" s="260"/>
      <c r="AE86" s="332" t="s">
        <v>1027</v>
      </c>
      <c r="AF86" s="328" t="s">
        <v>3</v>
      </c>
      <c r="AG86" s="328">
        <v>1037</v>
      </c>
      <c r="AH86" s="328" t="s">
        <v>139</v>
      </c>
      <c r="AI86" s="328" t="s">
        <v>641</v>
      </c>
      <c r="AJ86" s="328" t="s">
        <v>990</v>
      </c>
    </row>
    <row r="87" spans="1:36" ht="15" thickBot="1" x14ac:dyDescent="0.35">
      <c r="A87" s="261" t="s">
        <v>1028</v>
      </c>
      <c r="B87" s="261" t="s">
        <v>3</v>
      </c>
      <c r="C87" s="20">
        <v>1.083</v>
      </c>
      <c r="D87" s="20">
        <v>10.66</v>
      </c>
      <c r="E87" s="20">
        <v>6.6</v>
      </c>
      <c r="F87" s="261" t="s">
        <v>21</v>
      </c>
      <c r="G87" s="64">
        <v>0.1305</v>
      </c>
      <c r="H87" s="261" t="s">
        <v>1069</v>
      </c>
      <c r="I87" s="261" t="s">
        <v>641</v>
      </c>
      <c r="K87" s="309">
        <f t="shared" si="2"/>
        <v>11.544779999999999</v>
      </c>
      <c r="L87" s="309">
        <f t="shared" si="3"/>
        <v>7.1477999999999993</v>
      </c>
      <c r="M87" s="297"/>
      <c r="N87" s="297"/>
      <c r="O87" s="297"/>
      <c r="P87" s="297"/>
      <c r="Q87" s="297"/>
      <c r="R87" s="297"/>
      <c r="S87" s="297"/>
      <c r="T87" s="260"/>
      <c r="U87" s="260"/>
      <c r="V87" s="260"/>
      <c r="W87" s="260"/>
      <c r="X87" s="260"/>
      <c r="Y87" s="260"/>
      <c r="Z87" s="260"/>
      <c r="AA87" s="260"/>
      <c r="AE87" s="403" t="s">
        <v>1028</v>
      </c>
      <c r="AF87" s="418" t="s">
        <v>3</v>
      </c>
      <c r="AG87" s="418">
        <v>1083</v>
      </c>
      <c r="AH87" s="418" t="s">
        <v>21</v>
      </c>
      <c r="AI87" s="418" t="s">
        <v>641</v>
      </c>
      <c r="AJ87" s="418" t="s">
        <v>990</v>
      </c>
    </row>
    <row r="88" spans="1:36" ht="15" thickBot="1" x14ac:dyDescent="0.35">
      <c r="A88" s="261" t="s">
        <v>1029</v>
      </c>
      <c r="B88" s="261" t="s">
        <v>3</v>
      </c>
      <c r="C88" s="20">
        <v>1.1200000000000001</v>
      </c>
      <c r="D88" s="20">
        <v>3.9849969716925888</v>
      </c>
      <c r="E88" s="20">
        <v>3.3557869235306015</v>
      </c>
      <c r="F88" s="261" t="s">
        <v>91</v>
      </c>
      <c r="G88" s="64">
        <v>0.1419</v>
      </c>
      <c r="H88" s="261" t="s">
        <v>1069</v>
      </c>
      <c r="I88" s="261" t="s">
        <v>641</v>
      </c>
      <c r="K88" s="309">
        <f t="shared" si="2"/>
        <v>4.4631966082957</v>
      </c>
      <c r="L88" s="309">
        <f t="shared" si="3"/>
        <v>3.7584813543542741</v>
      </c>
      <c r="M88" s="297"/>
      <c r="N88" s="297"/>
      <c r="O88" s="297"/>
      <c r="P88" s="297"/>
      <c r="Q88" s="297"/>
      <c r="R88" s="297"/>
      <c r="S88" s="297"/>
      <c r="T88" s="260"/>
      <c r="U88" s="260"/>
      <c r="V88" s="260"/>
      <c r="W88" s="260"/>
      <c r="X88" s="260"/>
      <c r="Y88" s="260"/>
      <c r="Z88" s="260"/>
      <c r="AA88" s="260"/>
      <c r="AE88" s="332" t="s">
        <v>1029</v>
      </c>
      <c r="AF88" s="328" t="s">
        <v>3</v>
      </c>
      <c r="AG88" s="328">
        <v>1120</v>
      </c>
      <c r="AH88" s="328" t="s">
        <v>91</v>
      </c>
      <c r="AI88" s="328" t="s">
        <v>641</v>
      </c>
      <c r="AJ88" s="328" t="s">
        <v>990</v>
      </c>
    </row>
    <row r="89" spans="1:36" ht="15" thickBot="1" x14ac:dyDescent="0.35">
      <c r="A89" s="261" t="s">
        <v>1030</v>
      </c>
      <c r="B89" s="261" t="s">
        <v>3</v>
      </c>
      <c r="C89" s="20">
        <v>1.1886400000000001</v>
      </c>
      <c r="D89" s="20">
        <v>6.3938618925831197</v>
      </c>
      <c r="E89" s="20">
        <v>5.0477857046708845</v>
      </c>
      <c r="F89" s="261" t="s">
        <v>91</v>
      </c>
      <c r="G89" s="64">
        <v>0.12720000000000001</v>
      </c>
      <c r="H89" s="261" t="s">
        <v>1069</v>
      </c>
      <c r="I89" s="261" t="s">
        <v>641</v>
      </c>
      <c r="K89" s="309">
        <f t="shared" si="2"/>
        <v>7.6000000000000005</v>
      </c>
      <c r="L89" s="309">
        <f t="shared" si="3"/>
        <v>6.0000000000000009</v>
      </c>
      <c r="M89" s="297"/>
      <c r="N89" s="297"/>
      <c r="O89" s="297"/>
      <c r="P89" s="297"/>
      <c r="Q89" s="297"/>
      <c r="R89" s="297"/>
      <c r="S89" s="297"/>
      <c r="T89" s="260"/>
      <c r="U89" s="260"/>
      <c r="V89" s="260"/>
      <c r="W89" s="260"/>
      <c r="X89" s="260"/>
      <c r="Y89" s="260"/>
      <c r="Z89" s="260"/>
      <c r="AA89" s="260"/>
      <c r="AE89" s="403" t="s">
        <v>1030</v>
      </c>
      <c r="AF89" s="418" t="s">
        <v>3</v>
      </c>
      <c r="AG89" s="418">
        <v>1188.6400000000001</v>
      </c>
      <c r="AH89" s="418" t="s">
        <v>91</v>
      </c>
      <c r="AI89" s="418" t="s">
        <v>641</v>
      </c>
      <c r="AJ89" s="418" t="s">
        <v>990</v>
      </c>
    </row>
    <row r="90" spans="1:36" ht="15" thickBot="1" x14ac:dyDescent="0.35">
      <c r="A90" s="261" t="s">
        <v>1031</v>
      </c>
      <c r="B90" s="261" t="s">
        <v>3</v>
      </c>
      <c r="C90" s="20">
        <v>1.2</v>
      </c>
      <c r="D90" s="20">
        <v>4.2087160999279618</v>
      </c>
      <c r="E90" s="20">
        <v>3.4256991511041552</v>
      </c>
      <c r="F90" s="261" t="s">
        <v>91</v>
      </c>
      <c r="G90" s="64" t="s">
        <v>28</v>
      </c>
      <c r="H90" s="261" t="s">
        <v>1069</v>
      </c>
      <c r="I90" s="261" t="s">
        <v>352</v>
      </c>
      <c r="K90" s="309">
        <f t="shared" si="2"/>
        <v>5.0504593199135543</v>
      </c>
      <c r="L90" s="309">
        <f t="shared" si="3"/>
        <v>4.1108389813249859</v>
      </c>
      <c r="M90" s="297"/>
      <c r="N90" s="297"/>
      <c r="O90" s="297"/>
      <c r="P90" s="297"/>
      <c r="Q90" s="297"/>
      <c r="R90" s="297"/>
      <c r="S90" s="297"/>
      <c r="T90" s="260"/>
      <c r="U90" s="260"/>
      <c r="V90" s="260"/>
      <c r="W90" s="260"/>
      <c r="X90" s="260"/>
      <c r="Y90" s="260"/>
      <c r="Z90" s="260"/>
      <c r="AA90" s="260"/>
      <c r="AE90" s="332" t="s">
        <v>1031</v>
      </c>
      <c r="AF90" s="328" t="s">
        <v>3</v>
      </c>
      <c r="AG90" s="328">
        <v>1200</v>
      </c>
      <c r="AH90" s="328" t="s">
        <v>91</v>
      </c>
      <c r="AI90" s="328" t="s">
        <v>352</v>
      </c>
      <c r="AJ90" s="328" t="s">
        <v>986</v>
      </c>
    </row>
    <row r="91" spans="1:36" ht="15" thickBot="1" x14ac:dyDescent="0.35">
      <c r="A91" s="261" t="s">
        <v>1032</v>
      </c>
      <c r="B91" s="261" t="s">
        <v>3</v>
      </c>
      <c r="C91" s="20">
        <v>1.6</v>
      </c>
      <c r="D91" s="20">
        <v>6.6067055057008712</v>
      </c>
      <c r="E91" s="20">
        <v>5.2119565656084648</v>
      </c>
      <c r="F91" s="261" t="s">
        <v>91</v>
      </c>
      <c r="G91" s="64" t="s">
        <v>28</v>
      </c>
      <c r="H91" s="261" t="s">
        <v>1069</v>
      </c>
      <c r="I91" s="261" t="s">
        <v>252</v>
      </c>
      <c r="K91" s="309">
        <f t="shared" si="2"/>
        <v>10.570728809121395</v>
      </c>
      <c r="L91" s="309">
        <f t="shared" si="3"/>
        <v>8.3391305049735447</v>
      </c>
      <c r="M91" s="297"/>
      <c r="N91" s="297"/>
      <c r="O91" s="297"/>
      <c r="P91" s="297"/>
      <c r="Q91" s="297"/>
      <c r="R91" s="297"/>
      <c r="S91" s="297"/>
      <c r="T91" s="260"/>
      <c r="U91" s="260"/>
      <c r="V91" s="260"/>
      <c r="W91" s="260"/>
      <c r="X91" s="260"/>
      <c r="Y91" s="260"/>
      <c r="Z91" s="260"/>
      <c r="AA91" s="260"/>
      <c r="AE91" s="403" t="s">
        <v>1032</v>
      </c>
      <c r="AF91" s="418" t="s">
        <v>3</v>
      </c>
      <c r="AG91" s="418">
        <v>1600</v>
      </c>
      <c r="AH91" s="418" t="s">
        <v>91</v>
      </c>
      <c r="AI91" s="418" t="s">
        <v>252</v>
      </c>
      <c r="AJ91" s="418" t="s">
        <v>986</v>
      </c>
    </row>
    <row r="92" spans="1:36" ht="15" thickBot="1" x14ac:dyDescent="0.35">
      <c r="A92" s="261" t="s">
        <v>1033</v>
      </c>
      <c r="B92" s="261" t="s">
        <v>3</v>
      </c>
      <c r="C92" s="20">
        <v>1.7270000000000001</v>
      </c>
      <c r="D92" s="20">
        <v>8.106543138390272</v>
      </c>
      <c r="E92" s="20">
        <v>5.7227080967671586</v>
      </c>
      <c r="F92" s="261" t="s">
        <v>21</v>
      </c>
      <c r="G92" s="64">
        <v>0.13919999999999999</v>
      </c>
      <c r="H92" s="261" t="s">
        <v>1069</v>
      </c>
      <c r="I92" s="261" t="s">
        <v>641</v>
      </c>
      <c r="K92" s="309">
        <f t="shared" si="2"/>
        <v>14</v>
      </c>
      <c r="L92" s="309">
        <f t="shared" si="3"/>
        <v>9.8831168831168839</v>
      </c>
      <c r="M92" s="297"/>
      <c r="N92" s="297"/>
      <c r="O92" s="297"/>
      <c r="P92" s="297"/>
      <c r="Q92" s="297"/>
      <c r="R92" s="297"/>
      <c r="S92" s="297"/>
      <c r="T92" s="260"/>
      <c r="U92" s="260"/>
      <c r="V92" s="260"/>
      <c r="W92" s="260"/>
      <c r="X92" s="260"/>
      <c r="Y92" s="260"/>
      <c r="Z92" s="260"/>
      <c r="AA92" s="260"/>
      <c r="AE92" s="332" t="s">
        <v>1033</v>
      </c>
      <c r="AF92" s="328" t="s">
        <v>3</v>
      </c>
      <c r="AG92" s="328">
        <v>1727</v>
      </c>
      <c r="AH92" s="328" t="s">
        <v>21</v>
      </c>
      <c r="AI92" s="328" t="s">
        <v>641</v>
      </c>
      <c r="AJ92" s="328" t="s">
        <v>990</v>
      </c>
    </row>
    <row r="93" spans="1:36" ht="15" thickBot="1" x14ac:dyDescent="0.35">
      <c r="A93" s="261" t="s">
        <v>1034</v>
      </c>
      <c r="B93" s="261" t="s">
        <v>3</v>
      </c>
      <c r="C93" s="20">
        <v>2</v>
      </c>
      <c r="D93" s="20">
        <v>8.8089406742678289</v>
      </c>
      <c r="E93" s="20">
        <v>7.5169627087085473</v>
      </c>
      <c r="F93" s="261" t="s">
        <v>21</v>
      </c>
      <c r="G93" s="64" t="s">
        <v>28</v>
      </c>
      <c r="H93" s="261" t="s">
        <v>1069</v>
      </c>
      <c r="I93" s="261" t="s">
        <v>352</v>
      </c>
      <c r="K93" s="309">
        <f t="shared" si="2"/>
        <v>17.617881348535658</v>
      </c>
      <c r="L93" s="309">
        <f t="shared" si="3"/>
        <v>15.033925417417095</v>
      </c>
      <c r="M93" s="297"/>
      <c r="N93" s="297"/>
      <c r="O93" s="297"/>
      <c r="P93" s="297"/>
      <c r="Q93" s="297"/>
      <c r="R93" s="297"/>
      <c r="S93" s="297"/>
      <c r="T93" s="260"/>
      <c r="U93" s="260"/>
      <c r="V93" s="260"/>
      <c r="W93" s="260"/>
      <c r="X93" s="260"/>
      <c r="Y93" s="260"/>
      <c r="Z93" s="260"/>
      <c r="AA93" s="260"/>
      <c r="AE93" s="403" t="s">
        <v>1034</v>
      </c>
      <c r="AF93" s="418" t="s">
        <v>3</v>
      </c>
      <c r="AG93" s="418">
        <v>2000</v>
      </c>
      <c r="AH93" s="418" t="s">
        <v>21</v>
      </c>
      <c r="AI93" s="418" t="s">
        <v>352</v>
      </c>
      <c r="AJ93" s="418" t="s">
        <v>986</v>
      </c>
    </row>
    <row r="94" spans="1:36" ht="15" thickBot="1" x14ac:dyDescent="0.35">
      <c r="A94" s="261" t="s">
        <v>1035</v>
      </c>
      <c r="B94" s="261" t="s">
        <v>3</v>
      </c>
      <c r="C94" s="20">
        <v>2</v>
      </c>
      <c r="D94" s="20">
        <v>5.8491366077138389</v>
      </c>
      <c r="E94" s="20">
        <v>5.8491366077138389</v>
      </c>
      <c r="F94" s="261" t="s">
        <v>21</v>
      </c>
      <c r="G94" s="64" t="s">
        <v>28</v>
      </c>
      <c r="H94" s="261" t="s">
        <v>1069</v>
      </c>
      <c r="I94" s="261" t="s">
        <v>252</v>
      </c>
      <c r="K94" s="309">
        <f t="shared" si="2"/>
        <v>11.698273215427678</v>
      </c>
      <c r="L94" s="309">
        <f t="shared" si="3"/>
        <v>11.698273215427678</v>
      </c>
      <c r="M94" s="297"/>
      <c r="N94" s="297"/>
      <c r="O94" s="297"/>
      <c r="P94" s="297"/>
      <c r="Q94" s="297"/>
      <c r="R94" s="297"/>
      <c r="S94" s="297"/>
      <c r="T94" s="260"/>
      <c r="U94" s="260"/>
      <c r="V94" s="260"/>
      <c r="W94" s="260"/>
      <c r="X94" s="260"/>
      <c r="Y94" s="260"/>
      <c r="Z94" s="260"/>
      <c r="AA94" s="260"/>
      <c r="AE94" s="332" t="s">
        <v>1035</v>
      </c>
      <c r="AF94" s="328" t="s">
        <v>3</v>
      </c>
      <c r="AG94" s="328">
        <v>2000</v>
      </c>
      <c r="AH94" s="328" t="s">
        <v>21</v>
      </c>
      <c r="AI94" s="328" t="s">
        <v>252</v>
      </c>
      <c r="AJ94" s="328" t="s">
        <v>986</v>
      </c>
    </row>
    <row r="95" spans="1:36" ht="15" thickBot="1" x14ac:dyDescent="0.35">
      <c r="A95" s="261" t="s">
        <v>1036</v>
      </c>
      <c r="B95" s="261" t="s">
        <v>3</v>
      </c>
      <c r="C95" s="20">
        <v>2</v>
      </c>
      <c r="D95" s="20">
        <v>7.3407838952231907</v>
      </c>
      <c r="E95" s="20">
        <v>6.2837110143110504</v>
      </c>
      <c r="F95" s="261" t="s">
        <v>91</v>
      </c>
      <c r="G95" s="64">
        <v>0.1069</v>
      </c>
      <c r="H95" s="261" t="s">
        <v>1069</v>
      </c>
      <c r="I95" s="261" t="s">
        <v>252</v>
      </c>
      <c r="K95" s="309">
        <f t="shared" si="2"/>
        <v>14.681567790446381</v>
      </c>
      <c r="L95" s="309">
        <f t="shared" si="3"/>
        <v>12.567422028622101</v>
      </c>
      <c r="M95" s="297"/>
      <c r="N95" s="297"/>
      <c r="O95" s="297"/>
      <c r="P95" s="297"/>
      <c r="Q95" s="297"/>
      <c r="R95" s="297"/>
      <c r="S95" s="297"/>
      <c r="T95" s="260"/>
      <c r="U95" s="260"/>
      <c r="V95" s="260"/>
      <c r="W95" s="260"/>
      <c r="X95" s="260"/>
      <c r="Y95" s="260"/>
      <c r="Z95" s="260"/>
      <c r="AA95" s="260"/>
      <c r="AE95" s="403" t="s">
        <v>1036</v>
      </c>
      <c r="AF95" s="418" t="s">
        <v>3</v>
      </c>
      <c r="AG95" s="418">
        <v>2000</v>
      </c>
      <c r="AH95" s="418" t="s">
        <v>91</v>
      </c>
      <c r="AI95" s="418" t="s">
        <v>252</v>
      </c>
      <c r="AJ95" s="418" t="s">
        <v>986</v>
      </c>
    </row>
    <row r="96" spans="1:36" ht="15" thickBot="1" x14ac:dyDescent="0.35">
      <c r="A96" s="261" t="s">
        <v>1037</v>
      </c>
      <c r="B96" s="261" t="s">
        <v>3</v>
      </c>
      <c r="C96" s="20">
        <v>3.3</v>
      </c>
      <c r="D96" s="20">
        <v>4.6731875172984489</v>
      </c>
      <c r="E96" s="20">
        <v>4.235409859546956</v>
      </c>
      <c r="F96" s="261" t="s">
        <v>91</v>
      </c>
      <c r="G96" s="64" t="s">
        <v>28</v>
      </c>
      <c r="H96" s="261" t="s">
        <v>1069</v>
      </c>
      <c r="I96" s="261" t="s">
        <v>352</v>
      </c>
      <c r="K96" s="309">
        <f t="shared" si="2"/>
        <v>15.421518807084881</v>
      </c>
      <c r="L96" s="309">
        <f t="shared" si="3"/>
        <v>13.976852536504953</v>
      </c>
      <c r="M96" s="297"/>
      <c r="N96" s="297"/>
      <c r="O96" s="297"/>
      <c r="P96" s="297"/>
      <c r="Q96" s="297"/>
      <c r="R96" s="297"/>
      <c r="S96" s="297"/>
      <c r="T96" s="260"/>
      <c r="U96" s="260"/>
      <c r="V96" s="260"/>
      <c r="W96" s="260"/>
      <c r="X96" s="260"/>
      <c r="Y96" s="260"/>
      <c r="Z96" s="260"/>
      <c r="AA96" s="260"/>
      <c r="AE96" s="332" t="s">
        <v>1037</v>
      </c>
      <c r="AF96" s="328" t="s">
        <v>3</v>
      </c>
      <c r="AG96" s="328">
        <v>3300</v>
      </c>
      <c r="AH96" s="328" t="s">
        <v>91</v>
      </c>
      <c r="AI96" s="328" t="s">
        <v>352</v>
      </c>
      <c r="AJ96" s="328" t="s">
        <v>986</v>
      </c>
    </row>
    <row r="97" spans="1:36" ht="15" thickBot="1" x14ac:dyDescent="0.35">
      <c r="A97" s="261" t="s">
        <v>1038</v>
      </c>
      <c r="B97" s="261" t="s">
        <v>3</v>
      </c>
      <c r="C97" s="20">
        <v>4.4000000000000004</v>
      </c>
      <c r="D97" s="20">
        <v>8.0081278856980251</v>
      </c>
      <c r="E97" s="20">
        <v>6.1128709527494927</v>
      </c>
      <c r="F97" s="261" t="s">
        <v>91</v>
      </c>
      <c r="G97" s="64" t="s">
        <v>28</v>
      </c>
      <c r="H97" s="261" t="s">
        <v>1069</v>
      </c>
      <c r="I97" s="261" t="s">
        <v>252</v>
      </c>
      <c r="K97" s="309">
        <f t="shared" si="2"/>
        <v>35.235762697071316</v>
      </c>
      <c r="L97" s="309">
        <f t="shared" si="3"/>
        <v>26.896632192097769</v>
      </c>
      <c r="M97" s="297"/>
      <c r="N97" s="297"/>
      <c r="O97" s="297"/>
      <c r="P97" s="297"/>
      <c r="Q97" s="297"/>
      <c r="R97" s="297"/>
      <c r="S97" s="297"/>
      <c r="T97" s="260"/>
      <c r="U97" s="260"/>
      <c r="V97" s="260"/>
      <c r="W97" s="260"/>
      <c r="X97" s="260"/>
      <c r="Y97" s="260"/>
      <c r="Z97" s="260"/>
      <c r="AA97" s="260"/>
      <c r="AE97" s="403" t="s">
        <v>1038</v>
      </c>
      <c r="AF97" s="418" t="s">
        <v>3</v>
      </c>
      <c r="AG97" s="418">
        <v>4400</v>
      </c>
      <c r="AH97" s="418" t="s">
        <v>91</v>
      </c>
      <c r="AI97" s="418" t="s">
        <v>252</v>
      </c>
      <c r="AJ97" s="418" t="s">
        <v>986</v>
      </c>
    </row>
    <row r="98" spans="1:36" ht="15" thickBot="1" x14ac:dyDescent="0.35">
      <c r="A98" s="261" t="s">
        <v>1039</v>
      </c>
      <c r="B98" s="261" t="s">
        <v>3</v>
      </c>
      <c r="C98" s="20">
        <v>6</v>
      </c>
      <c r="D98" s="20">
        <v>8.4174321998559254</v>
      </c>
      <c r="E98" s="20">
        <v>5.2364258452592098</v>
      </c>
      <c r="F98" s="261" t="s">
        <v>21</v>
      </c>
      <c r="G98" s="64" t="s">
        <v>28</v>
      </c>
      <c r="H98" s="261" t="s">
        <v>1069</v>
      </c>
      <c r="I98" s="261" t="s">
        <v>352</v>
      </c>
      <c r="K98" s="309">
        <f t="shared" si="2"/>
        <v>50.504593199135556</v>
      </c>
      <c r="L98" s="309">
        <f t="shared" si="3"/>
        <v>31.418555071555261</v>
      </c>
      <c r="M98" s="297"/>
      <c r="N98" s="297"/>
      <c r="O98" s="297"/>
      <c r="P98" s="297"/>
      <c r="Q98" s="297"/>
      <c r="R98" s="297"/>
      <c r="S98" s="297"/>
      <c r="T98" s="260"/>
      <c r="U98" s="260"/>
      <c r="V98" s="260"/>
      <c r="W98" s="260"/>
      <c r="X98" s="260"/>
      <c r="Y98" s="260"/>
      <c r="Z98" s="260"/>
      <c r="AA98" s="260"/>
      <c r="AE98" s="332" t="s">
        <v>1039</v>
      </c>
      <c r="AF98" s="328" t="s">
        <v>3</v>
      </c>
      <c r="AG98" s="328">
        <v>6000</v>
      </c>
      <c r="AH98" s="328" t="s">
        <v>21</v>
      </c>
      <c r="AI98" s="328" t="s">
        <v>352</v>
      </c>
      <c r="AJ98" s="328" t="s">
        <v>990</v>
      </c>
    </row>
    <row r="99" spans="1:36" ht="15" thickBot="1" x14ac:dyDescent="0.35">
      <c r="A99" s="261" t="s">
        <v>1040</v>
      </c>
      <c r="B99" s="261" t="s">
        <v>3</v>
      </c>
      <c r="C99" s="20">
        <v>6.6050000000000004</v>
      </c>
      <c r="D99" s="20">
        <v>11.22067436883775</v>
      </c>
      <c r="E99" s="20">
        <v>5.8272820771285758</v>
      </c>
      <c r="F99" s="261" t="s">
        <v>21</v>
      </c>
      <c r="G99" s="64">
        <v>0.13919999999999999</v>
      </c>
      <c r="H99" s="261" t="s">
        <v>1069</v>
      </c>
      <c r="I99" s="261" t="s">
        <v>641</v>
      </c>
      <c r="K99" s="309">
        <f t="shared" si="2"/>
        <v>74.112554206173343</v>
      </c>
      <c r="L99" s="309">
        <f t="shared" si="3"/>
        <v>38.489198119434249</v>
      </c>
      <c r="M99" s="297"/>
      <c r="N99" s="297"/>
      <c r="O99" s="297"/>
      <c r="P99" s="297"/>
      <c r="Q99" s="297"/>
      <c r="R99" s="297"/>
      <c r="S99" s="297"/>
      <c r="T99" s="260"/>
      <c r="U99" s="260"/>
      <c r="V99" s="260"/>
      <c r="W99" s="260"/>
      <c r="X99" s="260"/>
      <c r="Y99" s="260"/>
      <c r="Z99" s="260"/>
      <c r="AA99" s="260"/>
      <c r="AE99" s="403" t="s">
        <v>1040</v>
      </c>
      <c r="AF99" s="418" t="s">
        <v>3</v>
      </c>
      <c r="AG99" s="418">
        <v>6605</v>
      </c>
      <c r="AH99" s="418" t="s">
        <v>21</v>
      </c>
      <c r="AI99" s="418" t="s">
        <v>641</v>
      </c>
      <c r="AJ99" s="418" t="s">
        <v>990</v>
      </c>
    </row>
    <row r="100" spans="1:36" ht="15" thickBot="1" x14ac:dyDescent="0.35">
      <c r="A100" s="261" t="s">
        <v>388</v>
      </c>
      <c r="B100" s="261" t="s">
        <v>3</v>
      </c>
      <c r="C100" s="20">
        <v>20</v>
      </c>
      <c r="D100" s="20">
        <v>10.331176470588234</v>
      </c>
      <c r="E100" s="20">
        <v>6.6294117647058828</v>
      </c>
      <c r="F100" s="261" t="s">
        <v>21</v>
      </c>
      <c r="G100" s="64">
        <v>0.19600000000000001</v>
      </c>
      <c r="H100" s="261" t="s">
        <v>1069</v>
      </c>
      <c r="I100" s="261" t="s">
        <v>352</v>
      </c>
      <c r="K100" s="309">
        <f t="shared" si="2"/>
        <v>206.62352941176468</v>
      </c>
      <c r="L100" s="309">
        <f t="shared" si="3"/>
        <v>132.58823529411765</v>
      </c>
      <c r="M100" s="297"/>
      <c r="N100" s="297"/>
      <c r="O100" s="297"/>
      <c r="P100" s="297"/>
      <c r="Q100" s="297"/>
      <c r="R100" s="297"/>
      <c r="S100" s="297"/>
      <c r="T100" s="260"/>
      <c r="U100" s="260"/>
      <c r="V100" s="260"/>
      <c r="W100" s="260"/>
      <c r="X100" s="260"/>
      <c r="Y100" s="260"/>
      <c r="Z100" s="260"/>
      <c r="AA100" s="260"/>
      <c r="AE100" s="332" t="s">
        <v>388</v>
      </c>
      <c r="AF100" s="328" t="s">
        <v>3</v>
      </c>
      <c r="AG100" s="328">
        <v>20000</v>
      </c>
      <c r="AH100" s="328" t="s">
        <v>21</v>
      </c>
      <c r="AI100" s="328" t="s">
        <v>352</v>
      </c>
      <c r="AJ100" s="328" t="s">
        <v>986</v>
      </c>
    </row>
    <row r="101" spans="1:36" ht="15" thickBot="1" x14ac:dyDescent="0.35">
      <c r="A101" s="261" t="s">
        <v>392</v>
      </c>
      <c r="B101" s="261" t="s">
        <v>3</v>
      </c>
      <c r="C101" s="20">
        <v>35.200000000000003</v>
      </c>
      <c r="D101" s="20">
        <v>7.333333333333333</v>
      </c>
      <c r="E101" s="20" t="s">
        <v>28</v>
      </c>
      <c r="F101" s="261" t="s">
        <v>21</v>
      </c>
      <c r="G101" s="64">
        <v>0.19600000000000001</v>
      </c>
      <c r="H101" s="261" t="s">
        <v>1069</v>
      </c>
      <c r="I101" s="261" t="s">
        <v>252</v>
      </c>
      <c r="K101" s="309">
        <f t="shared" si="2"/>
        <v>258.13333333333333</v>
      </c>
      <c r="L101" s="309" t="str">
        <f t="shared" si="3"/>
        <v/>
      </c>
      <c r="M101" s="297"/>
      <c r="N101" s="297"/>
      <c r="O101" s="297"/>
      <c r="P101" s="297"/>
      <c r="Q101" s="297"/>
      <c r="R101" s="297"/>
      <c r="S101" s="297"/>
      <c r="T101" s="260"/>
      <c r="U101" s="260"/>
      <c r="V101" s="260"/>
      <c r="W101" s="260"/>
      <c r="X101" s="260"/>
      <c r="Y101" s="260"/>
      <c r="Z101" s="260"/>
      <c r="AA101" s="260"/>
      <c r="AE101" s="403" t="s">
        <v>392</v>
      </c>
      <c r="AF101" s="418" t="s">
        <v>3</v>
      </c>
      <c r="AG101" s="418">
        <v>35200</v>
      </c>
      <c r="AH101" s="418" t="s">
        <v>21</v>
      </c>
      <c r="AI101" s="418" t="s">
        <v>252</v>
      </c>
      <c r="AJ101" s="418" t="s">
        <v>990</v>
      </c>
    </row>
    <row r="102" spans="1:36" ht="15" thickBot="1" x14ac:dyDescent="0.35">
      <c r="A102" s="261" t="s">
        <v>1041</v>
      </c>
      <c r="B102" s="261" t="s">
        <v>3</v>
      </c>
      <c r="C102" s="20">
        <v>37</v>
      </c>
      <c r="D102" s="20">
        <v>7.32421875</v>
      </c>
      <c r="E102" s="20">
        <v>6.0546875</v>
      </c>
      <c r="F102" s="261" t="s">
        <v>732</v>
      </c>
      <c r="G102" s="64">
        <v>0.31</v>
      </c>
      <c r="H102" s="261" t="s">
        <v>342</v>
      </c>
      <c r="I102" s="261" t="s">
        <v>252</v>
      </c>
      <c r="K102" s="309">
        <f t="shared" si="2"/>
        <v>270.99609375</v>
      </c>
      <c r="L102" s="309">
        <f t="shared" si="3"/>
        <v>224.0234375</v>
      </c>
      <c r="M102" s="297"/>
      <c r="N102" s="297"/>
      <c r="O102" s="297"/>
      <c r="P102" s="297"/>
      <c r="Q102" s="297"/>
      <c r="R102" s="297"/>
      <c r="S102" s="297"/>
      <c r="T102" s="260"/>
      <c r="U102" s="260"/>
      <c r="V102" s="260"/>
      <c r="W102" s="260"/>
      <c r="X102" s="260"/>
      <c r="Y102" s="260"/>
      <c r="Z102" s="260"/>
      <c r="AA102" s="260"/>
      <c r="AE102" s="332" t="s">
        <v>1041</v>
      </c>
      <c r="AF102" s="328" t="s">
        <v>3</v>
      </c>
      <c r="AG102" s="328">
        <v>37000</v>
      </c>
      <c r="AH102" s="328" t="s">
        <v>139</v>
      </c>
      <c r="AI102" s="328" t="s">
        <v>252</v>
      </c>
      <c r="AJ102" s="328" t="s">
        <v>986</v>
      </c>
    </row>
    <row r="103" spans="1:36" ht="15" thickBot="1" x14ac:dyDescent="0.35">
      <c r="A103" s="261" t="s">
        <v>1042</v>
      </c>
      <c r="B103" s="261" t="s">
        <v>429</v>
      </c>
      <c r="C103" s="20">
        <v>1.2</v>
      </c>
      <c r="D103" s="20">
        <v>5.8726271161785517</v>
      </c>
      <c r="E103" s="20">
        <v>5.5386703875051984</v>
      </c>
      <c r="F103" s="261" t="s">
        <v>91</v>
      </c>
      <c r="G103" s="64" t="s">
        <v>28</v>
      </c>
      <c r="H103" s="261" t="s">
        <v>342</v>
      </c>
      <c r="I103" s="261" t="s">
        <v>352</v>
      </c>
      <c r="K103" s="309">
        <f t="shared" si="2"/>
        <v>7.0471525394142622</v>
      </c>
      <c r="L103" s="309">
        <f t="shared" si="3"/>
        <v>6.6464044650062375</v>
      </c>
      <c r="M103" s="297"/>
      <c r="N103" s="297"/>
      <c r="O103" s="297"/>
      <c r="P103" s="297"/>
      <c r="Q103" s="297"/>
      <c r="R103" s="297"/>
      <c r="S103" s="297"/>
      <c r="T103" s="260"/>
      <c r="U103" s="260"/>
      <c r="V103" s="260"/>
      <c r="W103" s="260"/>
      <c r="X103" s="260"/>
      <c r="Y103" s="260"/>
      <c r="Z103" s="260"/>
      <c r="AA103" s="260"/>
      <c r="AE103" s="403" t="s">
        <v>1042</v>
      </c>
      <c r="AF103" s="418" t="s">
        <v>429</v>
      </c>
      <c r="AG103" s="418">
        <v>1200</v>
      </c>
      <c r="AH103" s="418" t="s">
        <v>91</v>
      </c>
      <c r="AI103" s="418" t="s">
        <v>352</v>
      </c>
      <c r="AJ103" s="418" t="s">
        <v>986</v>
      </c>
    </row>
    <row r="104" spans="1:36" ht="15" thickBot="1" x14ac:dyDescent="0.35">
      <c r="A104" s="261" t="s">
        <v>430</v>
      </c>
      <c r="B104" s="261" t="s">
        <v>429</v>
      </c>
      <c r="C104" s="20">
        <v>11.74525</v>
      </c>
      <c r="D104" s="20">
        <v>10.3</v>
      </c>
      <c r="E104" s="20">
        <v>5.0329999999999995</v>
      </c>
      <c r="F104" s="261" t="s">
        <v>21</v>
      </c>
      <c r="G104" s="64">
        <v>0.20100000000000001</v>
      </c>
      <c r="H104" s="261" t="s">
        <v>1069</v>
      </c>
      <c r="I104" s="261" t="s">
        <v>352</v>
      </c>
      <c r="K104" s="309">
        <f t="shared" si="2"/>
        <v>120.97607500000001</v>
      </c>
      <c r="L104" s="309">
        <f t="shared" si="3"/>
        <v>59.113843249999995</v>
      </c>
      <c r="M104" s="297"/>
      <c r="N104" s="297"/>
      <c r="O104" s="297"/>
      <c r="P104" s="297"/>
      <c r="Q104" s="297"/>
      <c r="R104" s="297"/>
      <c r="S104" s="297"/>
      <c r="T104" s="260"/>
      <c r="U104" s="260"/>
      <c r="V104" s="260"/>
      <c r="W104" s="260"/>
      <c r="X104" s="260"/>
      <c r="Y104" s="260"/>
      <c r="Z104" s="260"/>
      <c r="AA104" s="260"/>
      <c r="AE104" s="332" t="s">
        <v>430</v>
      </c>
      <c r="AF104" s="328" t="s">
        <v>429</v>
      </c>
      <c r="AG104" s="328">
        <v>11745.25</v>
      </c>
      <c r="AH104" s="328" t="s">
        <v>21</v>
      </c>
      <c r="AI104" s="328" t="s">
        <v>352</v>
      </c>
      <c r="AJ104" s="328" t="s">
        <v>986</v>
      </c>
    </row>
    <row r="105" spans="1:36" ht="15" thickBot="1" x14ac:dyDescent="0.35">
      <c r="A105" s="261" t="s">
        <v>154</v>
      </c>
      <c r="B105" s="261" t="s">
        <v>148</v>
      </c>
      <c r="C105" s="20">
        <v>1</v>
      </c>
      <c r="D105" s="20">
        <v>6.1111111111111107</v>
      </c>
      <c r="E105" s="20">
        <v>2.7777777777777777</v>
      </c>
      <c r="F105" s="261" t="s">
        <v>91</v>
      </c>
      <c r="G105" s="64" t="s">
        <v>28</v>
      </c>
      <c r="H105" s="261" t="s">
        <v>1069</v>
      </c>
      <c r="I105" s="261" t="s">
        <v>252</v>
      </c>
      <c r="K105" s="309">
        <f t="shared" si="2"/>
        <v>6.1111111111111107</v>
      </c>
      <c r="L105" s="309">
        <f t="shared" si="3"/>
        <v>2.7777777777777777</v>
      </c>
      <c r="M105" s="297"/>
      <c r="N105" s="297"/>
      <c r="O105" s="297"/>
      <c r="P105" s="297"/>
      <c r="Q105" s="297"/>
      <c r="R105" s="297"/>
      <c r="S105" s="297"/>
      <c r="T105" s="260"/>
      <c r="U105" s="260"/>
      <c r="V105" s="260"/>
      <c r="W105" s="260"/>
      <c r="X105" s="260"/>
      <c r="Y105" s="260"/>
      <c r="Z105" s="260"/>
      <c r="AA105" s="260"/>
      <c r="AE105" s="403" t="s">
        <v>154</v>
      </c>
      <c r="AF105" s="418" t="s">
        <v>148</v>
      </c>
      <c r="AG105" s="418">
        <v>1000</v>
      </c>
      <c r="AH105" s="418" t="s">
        <v>91</v>
      </c>
      <c r="AI105" s="418" t="s">
        <v>252</v>
      </c>
      <c r="AJ105" s="418" t="s">
        <v>986</v>
      </c>
    </row>
    <row r="106" spans="1:36" ht="15" thickBot="1" x14ac:dyDescent="0.35">
      <c r="A106" s="261" t="s">
        <v>480</v>
      </c>
      <c r="B106" s="261" t="s">
        <v>148</v>
      </c>
      <c r="C106" s="20">
        <v>5.91</v>
      </c>
      <c r="D106" s="20">
        <v>6.9557343169627526</v>
      </c>
      <c r="E106" s="20">
        <v>4.9183003678912636</v>
      </c>
      <c r="F106" s="261" t="s">
        <v>21</v>
      </c>
      <c r="G106" s="64" t="s">
        <v>28</v>
      </c>
      <c r="H106" s="261" t="s">
        <v>1069</v>
      </c>
      <c r="I106" s="261" t="s">
        <v>252</v>
      </c>
      <c r="K106" s="309">
        <f t="shared" si="2"/>
        <v>41.108389813249872</v>
      </c>
      <c r="L106" s="309">
        <f t="shared" si="3"/>
        <v>29.067155174237367</v>
      </c>
      <c r="M106" s="297"/>
      <c r="N106" s="297"/>
      <c r="O106" s="297"/>
      <c r="P106" s="297"/>
      <c r="Q106" s="297"/>
      <c r="R106" s="297"/>
      <c r="S106" s="297"/>
      <c r="T106" s="260"/>
      <c r="U106" s="260"/>
      <c r="V106" s="260"/>
      <c r="W106" s="260"/>
      <c r="X106" s="260"/>
      <c r="Y106" s="260"/>
      <c r="Z106" s="260"/>
      <c r="AA106" s="260"/>
      <c r="AE106" s="332" t="s">
        <v>480</v>
      </c>
      <c r="AF106" s="328" t="s">
        <v>148</v>
      </c>
      <c r="AG106" s="328">
        <v>5910</v>
      </c>
      <c r="AH106" s="328" t="s">
        <v>21</v>
      </c>
      <c r="AI106" s="328" t="s">
        <v>252</v>
      </c>
      <c r="AJ106" s="328" t="s">
        <v>986</v>
      </c>
    </row>
    <row r="107" spans="1:36" ht="15" thickBot="1" x14ac:dyDescent="0.35">
      <c r="A107" s="261" t="s">
        <v>1043</v>
      </c>
      <c r="B107" s="261" t="s">
        <v>148</v>
      </c>
      <c r="C107" s="20">
        <v>8</v>
      </c>
      <c r="D107" s="20">
        <v>3.5235762697071316</v>
      </c>
      <c r="E107" s="20" t="s">
        <v>28</v>
      </c>
      <c r="F107" s="261" t="s">
        <v>203</v>
      </c>
      <c r="G107" s="64">
        <v>0.158</v>
      </c>
      <c r="H107" s="261" t="s">
        <v>342</v>
      </c>
      <c r="I107" s="261" t="s">
        <v>352</v>
      </c>
      <c r="K107" s="309">
        <f t="shared" si="2"/>
        <v>28.188610157657052</v>
      </c>
      <c r="L107" s="309" t="str">
        <f t="shared" si="3"/>
        <v/>
      </c>
      <c r="M107" s="297"/>
      <c r="N107" s="297"/>
      <c r="O107" s="297"/>
      <c r="P107" s="297"/>
      <c r="Q107" s="297"/>
      <c r="R107" s="297"/>
      <c r="S107" s="297"/>
      <c r="T107" s="260"/>
      <c r="U107" s="260"/>
      <c r="V107" s="260"/>
      <c r="W107" s="260"/>
      <c r="X107" s="260"/>
      <c r="Y107" s="260"/>
      <c r="Z107" s="260"/>
      <c r="AA107" s="260"/>
      <c r="AE107" s="403" t="s">
        <v>1043</v>
      </c>
      <c r="AF107" s="418" t="s">
        <v>148</v>
      </c>
      <c r="AG107" s="418">
        <v>8000</v>
      </c>
      <c r="AH107" s="418" t="s">
        <v>28</v>
      </c>
      <c r="AI107" s="418" t="s">
        <v>352</v>
      </c>
      <c r="AJ107" s="418" t="s">
        <v>990</v>
      </c>
    </row>
    <row r="108" spans="1:36" ht="15" thickBot="1" x14ac:dyDescent="0.35">
      <c r="A108" s="261" t="s">
        <v>152</v>
      </c>
      <c r="B108" s="261" t="s">
        <v>148</v>
      </c>
      <c r="C108" s="20">
        <v>11.74525</v>
      </c>
      <c r="D108" s="20">
        <v>4.5</v>
      </c>
      <c r="E108" s="20">
        <v>3</v>
      </c>
      <c r="F108" s="261" t="s">
        <v>91</v>
      </c>
      <c r="G108" s="64" t="s">
        <v>28</v>
      </c>
      <c r="H108" s="261" t="s">
        <v>1069</v>
      </c>
      <c r="I108" s="261" t="s">
        <v>252</v>
      </c>
      <c r="K108" s="309">
        <f t="shared" si="2"/>
        <v>52.853625000000001</v>
      </c>
      <c r="L108" s="309">
        <f t="shared" si="3"/>
        <v>35.235750000000003</v>
      </c>
      <c r="M108" s="297"/>
      <c r="N108" s="297"/>
      <c r="O108" s="297"/>
      <c r="P108" s="297"/>
      <c r="Q108" s="297"/>
      <c r="R108" s="297"/>
      <c r="S108" s="297"/>
      <c r="T108" s="260"/>
      <c r="U108" s="260"/>
      <c r="V108" s="260"/>
      <c r="W108" s="260"/>
      <c r="X108" s="260"/>
      <c r="Y108" s="260"/>
      <c r="Z108" s="260"/>
      <c r="AA108" s="260"/>
      <c r="AE108" s="332" t="s">
        <v>152</v>
      </c>
      <c r="AF108" s="328" t="s">
        <v>148</v>
      </c>
      <c r="AG108" s="328">
        <v>11745.25</v>
      </c>
      <c r="AH108" s="328" t="s">
        <v>91</v>
      </c>
      <c r="AI108" s="328" t="s">
        <v>252</v>
      </c>
      <c r="AJ108" s="328" t="s">
        <v>986</v>
      </c>
    </row>
    <row r="109" spans="1:36" ht="15" thickBot="1" x14ac:dyDescent="0.35">
      <c r="A109" s="261" t="s">
        <v>195</v>
      </c>
      <c r="B109" s="261" t="s">
        <v>148</v>
      </c>
      <c r="C109" s="20">
        <v>15.01</v>
      </c>
      <c r="D109" s="20">
        <v>7.6190476190476195</v>
      </c>
      <c r="E109" s="20">
        <v>5.5873015873015879</v>
      </c>
      <c r="F109" s="261" t="s">
        <v>91</v>
      </c>
      <c r="G109" s="64">
        <v>0.11</v>
      </c>
      <c r="H109" s="261" t="s">
        <v>342</v>
      </c>
      <c r="I109" s="261" t="s">
        <v>352</v>
      </c>
      <c r="K109" s="309">
        <f t="shared" si="2"/>
        <v>114.36190476190477</v>
      </c>
      <c r="L109" s="309">
        <f t="shared" si="3"/>
        <v>83.865396825396829</v>
      </c>
      <c r="M109" s="297"/>
      <c r="N109" s="297"/>
      <c r="O109" s="297"/>
      <c r="P109" s="297"/>
      <c r="Q109" s="297"/>
      <c r="R109" s="297"/>
      <c r="S109" s="297"/>
      <c r="T109" s="260"/>
      <c r="U109" s="260"/>
      <c r="V109" s="260"/>
      <c r="W109" s="260"/>
      <c r="X109" s="260"/>
      <c r="Y109" s="260"/>
      <c r="Z109" s="260"/>
      <c r="AA109" s="260"/>
      <c r="AE109" s="403" t="s">
        <v>195</v>
      </c>
      <c r="AF109" s="418" t="s">
        <v>148</v>
      </c>
      <c r="AG109" s="418">
        <v>15010</v>
      </c>
      <c r="AH109" s="418" t="s">
        <v>91</v>
      </c>
      <c r="AI109" s="418" t="s">
        <v>352</v>
      </c>
      <c r="AJ109" s="418" t="s">
        <v>986</v>
      </c>
    </row>
    <row r="110" spans="1:36" ht="15" thickBot="1" x14ac:dyDescent="0.35">
      <c r="A110" s="261" t="s">
        <v>1044</v>
      </c>
      <c r="B110" s="261" t="s">
        <v>148</v>
      </c>
      <c r="C110" s="20">
        <v>28</v>
      </c>
      <c r="D110" s="20">
        <v>9.4</v>
      </c>
      <c r="E110" s="20">
        <v>7.2</v>
      </c>
      <c r="F110" s="261" t="s">
        <v>21</v>
      </c>
      <c r="G110" s="64">
        <v>0.19</v>
      </c>
      <c r="H110" s="261" t="s">
        <v>1069</v>
      </c>
      <c r="I110" s="261" t="s">
        <v>252</v>
      </c>
      <c r="K110" s="309">
        <f t="shared" si="2"/>
        <v>263.2</v>
      </c>
      <c r="L110" s="309">
        <f t="shared" si="3"/>
        <v>201.6</v>
      </c>
      <c r="M110" s="297"/>
      <c r="N110" s="297"/>
      <c r="O110" s="297"/>
      <c r="P110" s="297"/>
      <c r="Q110" s="297"/>
      <c r="R110" s="297"/>
      <c r="S110" s="297"/>
      <c r="T110" s="260"/>
      <c r="U110" s="260"/>
      <c r="V110" s="260"/>
      <c r="W110" s="260"/>
      <c r="X110" s="260"/>
      <c r="Y110" s="260"/>
      <c r="Z110" s="260"/>
      <c r="AA110" s="260"/>
      <c r="AE110" s="332" t="s">
        <v>1044</v>
      </c>
      <c r="AF110" s="328" t="s">
        <v>148</v>
      </c>
      <c r="AG110" s="328">
        <v>28000</v>
      </c>
      <c r="AH110" s="328" t="s">
        <v>21</v>
      </c>
      <c r="AI110" s="328" t="s">
        <v>252</v>
      </c>
      <c r="AJ110" s="328" t="s">
        <v>986</v>
      </c>
    </row>
    <row r="111" spans="1:36" ht="15" thickBot="1" x14ac:dyDescent="0.35">
      <c r="A111" s="261" t="s">
        <v>1045</v>
      </c>
      <c r="B111" s="261" t="s">
        <v>148</v>
      </c>
      <c r="C111" s="20">
        <v>40</v>
      </c>
      <c r="D111" s="20">
        <v>4.1108389813249868</v>
      </c>
      <c r="E111" s="20" t="s">
        <v>28</v>
      </c>
      <c r="F111" s="261" t="s">
        <v>91</v>
      </c>
      <c r="G111" s="64">
        <v>0.14099999999999999</v>
      </c>
      <c r="H111" s="261" t="s">
        <v>342</v>
      </c>
      <c r="I111" s="261" t="s">
        <v>252</v>
      </c>
      <c r="K111" s="309">
        <f t="shared" si="2"/>
        <v>164.43355925299949</v>
      </c>
      <c r="L111" s="309" t="str">
        <f t="shared" si="3"/>
        <v/>
      </c>
      <c r="M111" s="297"/>
      <c r="N111" s="297"/>
      <c r="O111" s="297"/>
      <c r="P111" s="297"/>
      <c r="Q111" s="297"/>
      <c r="R111" s="297"/>
      <c r="S111" s="297"/>
      <c r="T111" s="260"/>
      <c r="U111" s="260"/>
      <c r="V111" s="260"/>
      <c r="W111" s="260"/>
      <c r="X111" s="260"/>
      <c r="Y111" s="260"/>
      <c r="Z111" s="260"/>
      <c r="AA111" s="260"/>
      <c r="AE111" s="403" t="s">
        <v>1045</v>
      </c>
      <c r="AF111" s="418" t="s">
        <v>148</v>
      </c>
      <c r="AG111" s="418">
        <v>40000</v>
      </c>
      <c r="AH111" s="418" t="s">
        <v>91</v>
      </c>
      <c r="AI111" s="418" t="s">
        <v>252</v>
      </c>
      <c r="AJ111" s="418" t="s">
        <v>990</v>
      </c>
    </row>
    <row r="112" spans="1:36" ht="15" thickBot="1" x14ac:dyDescent="0.35">
      <c r="A112" s="261" t="s">
        <v>568</v>
      </c>
      <c r="B112" s="261" t="s">
        <v>148</v>
      </c>
      <c r="C112" s="20">
        <v>60</v>
      </c>
      <c r="D112" s="20">
        <v>7.0471525394142631</v>
      </c>
      <c r="E112" s="20" t="s">
        <v>28</v>
      </c>
      <c r="F112" s="261" t="s">
        <v>91</v>
      </c>
      <c r="G112" s="64">
        <v>0.158</v>
      </c>
      <c r="H112" s="261" t="s">
        <v>1070</v>
      </c>
      <c r="I112" s="261" t="s">
        <v>352</v>
      </c>
      <c r="K112" s="309">
        <f t="shared" si="2"/>
        <v>422.82915236485576</v>
      </c>
      <c r="L112" s="309" t="str">
        <f t="shared" si="3"/>
        <v/>
      </c>
      <c r="M112" s="297"/>
      <c r="N112" s="297"/>
      <c r="O112" s="297"/>
      <c r="P112" s="297"/>
      <c r="Q112" s="297"/>
      <c r="R112" s="297"/>
      <c r="S112" s="297"/>
      <c r="T112" s="260"/>
      <c r="U112" s="260"/>
      <c r="V112" s="260"/>
      <c r="W112" s="260"/>
      <c r="X112" s="260"/>
      <c r="Y112" s="260"/>
      <c r="Z112" s="260"/>
      <c r="AA112" s="260"/>
      <c r="AE112" s="332" t="s">
        <v>568</v>
      </c>
      <c r="AF112" s="328" t="s">
        <v>148</v>
      </c>
      <c r="AG112" s="328">
        <v>60000</v>
      </c>
      <c r="AH112" s="328" t="s">
        <v>91</v>
      </c>
      <c r="AI112" s="328" t="s">
        <v>352</v>
      </c>
      <c r="AJ112" s="328" t="s">
        <v>990</v>
      </c>
    </row>
    <row r="113" spans="1:36" ht="15" thickBot="1" x14ac:dyDescent="0.35">
      <c r="A113" s="261" t="s">
        <v>376</v>
      </c>
      <c r="B113" s="261" t="s">
        <v>148</v>
      </c>
      <c r="C113" s="20">
        <v>75</v>
      </c>
      <c r="D113" s="20">
        <v>6.2641355905904561</v>
      </c>
      <c r="E113" s="20" t="s">
        <v>28</v>
      </c>
      <c r="F113" s="261" t="s">
        <v>203</v>
      </c>
      <c r="G113" s="64" t="s">
        <v>28</v>
      </c>
      <c r="H113" s="261" t="s">
        <v>1070</v>
      </c>
      <c r="I113" s="261" t="s">
        <v>252</v>
      </c>
      <c r="K113" s="309">
        <f t="shared" si="2"/>
        <v>469.81016929428421</v>
      </c>
      <c r="L113" s="309" t="str">
        <f t="shared" si="3"/>
        <v/>
      </c>
      <c r="M113" s="297"/>
      <c r="N113" s="297"/>
      <c r="O113" s="297"/>
      <c r="P113" s="297"/>
      <c r="Q113" s="297"/>
      <c r="R113" s="297"/>
      <c r="S113" s="297"/>
      <c r="T113" s="260"/>
      <c r="U113" s="260"/>
      <c r="V113" s="260"/>
      <c r="W113" s="260"/>
      <c r="X113" s="260"/>
      <c r="Y113" s="260"/>
      <c r="Z113" s="260"/>
      <c r="AA113" s="260"/>
      <c r="AE113" s="403" t="s">
        <v>376</v>
      </c>
      <c r="AF113" s="418" t="s">
        <v>148</v>
      </c>
      <c r="AG113" s="418">
        <v>75000</v>
      </c>
      <c r="AH113" s="418" t="s">
        <v>28</v>
      </c>
      <c r="AI113" s="418" t="s">
        <v>252</v>
      </c>
      <c r="AJ113" s="418" t="s">
        <v>990</v>
      </c>
    </row>
    <row r="114" spans="1:36" ht="15" thickBot="1" x14ac:dyDescent="0.35">
      <c r="A114" s="261" t="s">
        <v>719</v>
      </c>
      <c r="B114" s="261" t="s">
        <v>148</v>
      </c>
      <c r="C114" s="20">
        <v>100</v>
      </c>
      <c r="D114" s="20">
        <v>11.745254232357105</v>
      </c>
      <c r="E114" s="20" t="s">
        <v>28</v>
      </c>
      <c r="F114" s="261" t="s">
        <v>203</v>
      </c>
      <c r="G114" s="64" t="s">
        <v>28</v>
      </c>
      <c r="H114" s="261" t="s">
        <v>1070</v>
      </c>
      <c r="I114" s="261" t="s">
        <v>352</v>
      </c>
      <c r="K114" s="309">
        <f t="shared" si="2"/>
        <v>1174.5254232357106</v>
      </c>
      <c r="L114" s="309" t="str">
        <f t="shared" si="3"/>
        <v/>
      </c>
      <c r="M114" s="297"/>
      <c r="N114" s="297"/>
      <c r="O114" s="297"/>
      <c r="P114" s="297"/>
      <c r="Q114" s="297"/>
      <c r="R114" s="297"/>
      <c r="S114" s="297"/>
      <c r="T114" s="260"/>
      <c r="U114" s="260"/>
      <c r="V114" s="260"/>
      <c r="W114" s="260"/>
      <c r="X114" s="260"/>
      <c r="Y114" s="260"/>
      <c r="Z114" s="260"/>
      <c r="AA114" s="260"/>
      <c r="AE114" s="332" t="s">
        <v>719</v>
      </c>
      <c r="AF114" s="328" t="s">
        <v>148</v>
      </c>
      <c r="AG114" s="328">
        <v>100000</v>
      </c>
      <c r="AH114" s="328" t="s">
        <v>28</v>
      </c>
      <c r="AI114" s="328" t="s">
        <v>352</v>
      </c>
      <c r="AJ114" s="328" t="s">
        <v>990</v>
      </c>
    </row>
    <row r="115" spans="1:36" ht="15" thickBot="1" x14ac:dyDescent="0.35">
      <c r="A115" s="261" t="s">
        <v>1046</v>
      </c>
      <c r="B115" s="261" t="s">
        <v>148</v>
      </c>
      <c r="C115" s="20">
        <v>200</v>
      </c>
      <c r="D115" s="20">
        <v>11.745254232357105</v>
      </c>
      <c r="E115" s="20" t="s">
        <v>28</v>
      </c>
      <c r="F115" s="261" t="s">
        <v>203</v>
      </c>
      <c r="G115" s="64" t="s">
        <v>28</v>
      </c>
      <c r="H115" s="261" t="s">
        <v>1070</v>
      </c>
      <c r="I115" s="261" t="s">
        <v>352</v>
      </c>
      <c r="K115" s="309">
        <f t="shared" si="2"/>
        <v>2349.0508464714212</v>
      </c>
      <c r="L115" s="309" t="str">
        <f t="shared" si="3"/>
        <v/>
      </c>
      <c r="M115" s="297"/>
      <c r="N115" s="297"/>
      <c r="O115" s="297"/>
      <c r="P115" s="297"/>
      <c r="Q115" s="297"/>
      <c r="R115" s="297"/>
      <c r="S115" s="297"/>
      <c r="T115" s="260"/>
      <c r="U115" s="260"/>
      <c r="V115" s="260"/>
      <c r="W115" s="260"/>
      <c r="X115" s="260"/>
      <c r="Y115" s="260"/>
      <c r="Z115" s="260"/>
      <c r="AA115" s="260"/>
      <c r="AE115" s="403" t="s">
        <v>1046</v>
      </c>
      <c r="AF115" s="418" t="s">
        <v>148</v>
      </c>
      <c r="AG115" s="418">
        <v>200000</v>
      </c>
      <c r="AH115" s="418" t="s">
        <v>28</v>
      </c>
      <c r="AI115" s="418" t="s">
        <v>352</v>
      </c>
      <c r="AJ115" s="418" t="s">
        <v>990</v>
      </c>
    </row>
    <row r="116" spans="1:36" ht="15" thickBot="1" x14ac:dyDescent="0.35">
      <c r="A116" s="261" t="s">
        <v>717</v>
      </c>
      <c r="B116" s="261" t="s">
        <v>148</v>
      </c>
      <c r="C116" s="20">
        <v>400</v>
      </c>
      <c r="D116" s="20">
        <v>11.745254232357105</v>
      </c>
      <c r="E116" s="20" t="s">
        <v>28</v>
      </c>
      <c r="F116" s="261" t="s">
        <v>203</v>
      </c>
      <c r="G116" s="64" t="s">
        <v>28</v>
      </c>
      <c r="H116" s="261" t="s">
        <v>1070</v>
      </c>
      <c r="I116" s="261" t="s">
        <v>352</v>
      </c>
      <c r="K116" s="309">
        <f t="shared" si="2"/>
        <v>4698.1016929428424</v>
      </c>
      <c r="L116" s="309" t="str">
        <f t="shared" si="3"/>
        <v/>
      </c>
      <c r="M116" s="297"/>
      <c r="N116" s="297"/>
      <c r="O116" s="297"/>
      <c r="P116" s="297"/>
      <c r="Q116" s="297"/>
      <c r="R116" s="297"/>
      <c r="S116" s="297"/>
      <c r="T116" s="260"/>
      <c r="U116" s="260"/>
      <c r="V116" s="260"/>
      <c r="W116" s="260"/>
      <c r="X116" s="260"/>
      <c r="Y116" s="260"/>
      <c r="Z116" s="260"/>
      <c r="AA116" s="260"/>
      <c r="AE116" s="332" t="s">
        <v>717</v>
      </c>
      <c r="AF116" s="328" t="s">
        <v>148</v>
      </c>
      <c r="AG116" s="328">
        <v>400000</v>
      </c>
      <c r="AH116" s="328" t="s">
        <v>28</v>
      </c>
      <c r="AI116" s="328" t="s">
        <v>352</v>
      </c>
      <c r="AJ116" s="328" t="s">
        <v>990</v>
      </c>
    </row>
    <row r="117" spans="1:36" ht="15" thickBot="1" x14ac:dyDescent="0.35">
      <c r="A117" s="261" t="s">
        <v>1047</v>
      </c>
      <c r="B117" s="261" t="s">
        <v>407</v>
      </c>
      <c r="C117" s="20">
        <v>1</v>
      </c>
      <c r="D117" s="20">
        <v>5.6964483026931951</v>
      </c>
      <c r="E117" s="20" t="s">
        <v>28</v>
      </c>
      <c r="F117" s="261" t="s">
        <v>91</v>
      </c>
      <c r="G117" s="64" t="s">
        <v>28</v>
      </c>
      <c r="H117" s="261" t="s">
        <v>1069</v>
      </c>
      <c r="I117" s="261" t="s">
        <v>352</v>
      </c>
      <c r="K117" s="309">
        <f t="shared" si="2"/>
        <v>5.6964483026931951</v>
      </c>
      <c r="L117" s="309" t="str">
        <f t="shared" si="3"/>
        <v/>
      </c>
      <c r="M117" s="297"/>
      <c r="N117" s="297"/>
      <c r="O117" s="297"/>
      <c r="P117" s="297"/>
      <c r="Q117" s="297"/>
      <c r="R117" s="297"/>
      <c r="S117" s="297"/>
      <c r="T117" s="260"/>
      <c r="U117" s="260"/>
      <c r="V117" s="260"/>
      <c r="W117" s="260"/>
      <c r="X117" s="260"/>
      <c r="Y117" s="260"/>
      <c r="Z117" s="260"/>
      <c r="AA117" s="260"/>
      <c r="AE117" s="403" t="s">
        <v>1047</v>
      </c>
      <c r="AF117" s="418" t="s">
        <v>407</v>
      </c>
      <c r="AG117" s="418">
        <v>1000</v>
      </c>
      <c r="AH117" s="418" t="s">
        <v>91</v>
      </c>
      <c r="AI117" s="418" t="s">
        <v>352</v>
      </c>
      <c r="AJ117" s="418" t="s">
        <v>990</v>
      </c>
    </row>
    <row r="118" spans="1:36" ht="15" thickBot="1" x14ac:dyDescent="0.35">
      <c r="A118" s="261" t="s">
        <v>477</v>
      </c>
      <c r="B118" s="261" t="s">
        <v>476</v>
      </c>
      <c r="C118" s="20">
        <v>1.18</v>
      </c>
      <c r="D118" s="20">
        <v>3.9814421126634252</v>
      </c>
      <c r="E118" s="20">
        <v>2.6874734260478124</v>
      </c>
      <c r="F118" s="261" t="s">
        <v>91</v>
      </c>
      <c r="G118" s="64">
        <v>0.14430000000000001</v>
      </c>
      <c r="H118" s="261" t="s">
        <v>1069</v>
      </c>
      <c r="I118" s="261" t="s">
        <v>352</v>
      </c>
      <c r="K118" s="309">
        <f t="shared" si="2"/>
        <v>4.6981016929428412</v>
      </c>
      <c r="L118" s="309">
        <f t="shared" si="3"/>
        <v>3.1712186427364184</v>
      </c>
      <c r="M118" s="297"/>
      <c r="N118" s="297"/>
      <c r="O118" s="297"/>
      <c r="P118" s="297"/>
      <c r="Q118" s="297"/>
      <c r="R118" s="297"/>
      <c r="S118" s="297"/>
      <c r="T118" s="260"/>
      <c r="U118" s="260"/>
      <c r="V118" s="260"/>
      <c r="W118" s="260"/>
      <c r="X118" s="260"/>
      <c r="Y118" s="260"/>
      <c r="Z118" s="260"/>
      <c r="AA118" s="260"/>
      <c r="AE118" s="332" t="s">
        <v>477</v>
      </c>
      <c r="AF118" s="328" t="s">
        <v>476</v>
      </c>
      <c r="AG118" s="328">
        <v>1180</v>
      </c>
      <c r="AH118" s="328" t="s">
        <v>91</v>
      </c>
      <c r="AI118" s="328" t="s">
        <v>352</v>
      </c>
      <c r="AJ118" s="328" t="s">
        <v>986</v>
      </c>
    </row>
    <row r="119" spans="1:36" ht="15" thickBot="1" x14ac:dyDescent="0.35">
      <c r="A119" s="261" t="s">
        <v>1048</v>
      </c>
      <c r="B119" s="261" t="s">
        <v>476</v>
      </c>
      <c r="C119" s="20">
        <v>5</v>
      </c>
      <c r="D119" s="20">
        <v>9.3962033858856842</v>
      </c>
      <c r="E119" s="20" t="s">
        <v>28</v>
      </c>
      <c r="F119" s="261" t="s">
        <v>21</v>
      </c>
      <c r="G119" s="64">
        <v>0.19</v>
      </c>
      <c r="H119" s="261" t="s">
        <v>342</v>
      </c>
      <c r="I119" s="261" t="s">
        <v>641</v>
      </c>
      <c r="K119" s="309">
        <f t="shared" si="2"/>
        <v>46.981016929428421</v>
      </c>
      <c r="L119" s="309" t="str">
        <f t="shared" si="3"/>
        <v/>
      </c>
      <c r="M119" s="297"/>
      <c r="N119" s="297"/>
      <c r="O119" s="297"/>
      <c r="P119" s="297"/>
      <c r="Q119" s="297"/>
      <c r="R119" s="297"/>
      <c r="S119" s="297"/>
      <c r="T119" s="260"/>
      <c r="U119" s="260"/>
      <c r="V119" s="260"/>
      <c r="W119" s="260"/>
      <c r="X119" s="260"/>
      <c r="Y119" s="260"/>
      <c r="Z119" s="260"/>
      <c r="AA119" s="260"/>
      <c r="AE119" s="403" t="s">
        <v>1048</v>
      </c>
      <c r="AF119" s="418" t="s">
        <v>476</v>
      </c>
      <c r="AG119" s="418">
        <v>5000</v>
      </c>
      <c r="AH119" s="418" t="s">
        <v>21</v>
      </c>
      <c r="AI119" s="418" t="s">
        <v>641</v>
      </c>
      <c r="AJ119" s="418" t="s">
        <v>990</v>
      </c>
    </row>
    <row r="120" spans="1:36" ht="15" thickBot="1" x14ac:dyDescent="0.35">
      <c r="A120" s="261" t="s">
        <v>181</v>
      </c>
      <c r="B120" s="261" t="s">
        <v>180</v>
      </c>
      <c r="C120" s="20">
        <v>10</v>
      </c>
      <c r="D120" s="20">
        <v>4.8155542352664131</v>
      </c>
      <c r="E120" s="20">
        <v>3.7584813543542737</v>
      </c>
      <c r="F120" s="261" t="s">
        <v>21</v>
      </c>
      <c r="G120" s="64" t="s">
        <v>28</v>
      </c>
      <c r="H120" s="261" t="s">
        <v>1069</v>
      </c>
      <c r="I120" s="261" t="s">
        <v>252</v>
      </c>
      <c r="K120" s="309">
        <f t="shared" si="2"/>
        <v>48.155542352664128</v>
      </c>
      <c r="L120" s="309">
        <f t="shared" si="3"/>
        <v>37.584813543542737</v>
      </c>
      <c r="M120" s="297"/>
      <c r="N120" s="297"/>
      <c r="O120" s="297"/>
      <c r="P120" s="297"/>
      <c r="Q120" s="297"/>
      <c r="R120" s="297"/>
      <c r="S120" s="297"/>
      <c r="T120" s="260"/>
      <c r="U120" s="260"/>
      <c r="V120" s="260"/>
      <c r="W120" s="260"/>
      <c r="X120" s="260"/>
      <c r="Y120" s="260"/>
      <c r="Z120" s="260"/>
      <c r="AA120" s="260"/>
      <c r="AE120" s="332" t="s">
        <v>181</v>
      </c>
      <c r="AF120" s="328" t="s">
        <v>180</v>
      </c>
      <c r="AG120" s="328">
        <v>10000</v>
      </c>
      <c r="AH120" s="328" t="s">
        <v>21</v>
      </c>
      <c r="AI120" s="328" t="s">
        <v>252</v>
      </c>
      <c r="AJ120" s="328" t="s">
        <v>986</v>
      </c>
    </row>
    <row r="121" spans="1:36" ht="15" thickBot="1" x14ac:dyDescent="0.35">
      <c r="A121" s="261" t="s">
        <v>615</v>
      </c>
      <c r="B121" s="261" t="s">
        <v>180</v>
      </c>
      <c r="C121" s="20">
        <v>23</v>
      </c>
      <c r="D121" s="20">
        <v>8.1706116399005939</v>
      </c>
      <c r="E121" s="20" t="s">
        <v>28</v>
      </c>
      <c r="F121" s="261" t="s">
        <v>203</v>
      </c>
      <c r="G121" s="64">
        <v>0.12</v>
      </c>
      <c r="H121" s="261" t="s">
        <v>342</v>
      </c>
      <c r="I121" s="261" t="s">
        <v>352</v>
      </c>
      <c r="K121" s="309">
        <f t="shared" si="2"/>
        <v>187.92406771771365</v>
      </c>
      <c r="L121" s="309" t="str">
        <f t="shared" si="3"/>
        <v/>
      </c>
      <c r="M121" s="297"/>
      <c r="N121" s="297"/>
      <c r="O121" s="297"/>
      <c r="P121" s="297"/>
      <c r="Q121" s="297"/>
      <c r="R121" s="297"/>
      <c r="S121" s="297"/>
      <c r="T121" s="260"/>
      <c r="U121" s="260"/>
      <c r="V121" s="260"/>
      <c r="W121" s="260"/>
      <c r="X121" s="260"/>
      <c r="Y121" s="260"/>
      <c r="Z121" s="260"/>
      <c r="AA121" s="260"/>
      <c r="AE121" s="403" t="s">
        <v>615</v>
      </c>
      <c r="AF121" s="418" t="s">
        <v>180</v>
      </c>
      <c r="AG121" s="418">
        <v>23000</v>
      </c>
      <c r="AH121" s="418" t="s">
        <v>28</v>
      </c>
      <c r="AI121" s="418" t="s">
        <v>352</v>
      </c>
      <c r="AJ121" s="418" t="s">
        <v>990</v>
      </c>
    </row>
    <row r="122" spans="1:36" ht="15" thickBot="1" x14ac:dyDescent="0.35">
      <c r="A122" s="261" t="s">
        <v>1049</v>
      </c>
      <c r="B122" s="261" t="s">
        <v>738</v>
      </c>
      <c r="C122" s="20">
        <v>10</v>
      </c>
      <c r="D122" s="20">
        <v>7.0471525394142631</v>
      </c>
      <c r="E122" s="20" t="s">
        <v>28</v>
      </c>
      <c r="F122" s="261" t="s">
        <v>91</v>
      </c>
      <c r="G122" s="64" t="s">
        <v>28</v>
      </c>
      <c r="H122" s="261" t="s">
        <v>342</v>
      </c>
      <c r="I122" s="261" t="s">
        <v>352</v>
      </c>
      <c r="K122" s="309">
        <f t="shared" si="2"/>
        <v>70.471525394142631</v>
      </c>
      <c r="L122" s="309" t="str">
        <f t="shared" si="3"/>
        <v/>
      </c>
      <c r="M122" s="297"/>
      <c r="N122" s="297"/>
      <c r="O122" s="297"/>
      <c r="P122" s="297"/>
      <c r="Q122" s="297"/>
      <c r="R122" s="297"/>
      <c r="S122" s="297"/>
      <c r="T122" s="260"/>
      <c r="U122" s="260"/>
      <c r="V122" s="260"/>
      <c r="W122" s="260"/>
      <c r="X122" s="260"/>
      <c r="Y122" s="260"/>
      <c r="Z122" s="260"/>
      <c r="AA122" s="260"/>
      <c r="AE122" s="332" t="s">
        <v>1049</v>
      </c>
      <c r="AF122" s="328" t="s">
        <v>738</v>
      </c>
      <c r="AG122" s="328">
        <v>10000</v>
      </c>
      <c r="AH122" s="328" t="s">
        <v>91</v>
      </c>
      <c r="AI122" s="328" t="s">
        <v>352</v>
      </c>
      <c r="AJ122" s="328" t="s">
        <v>990</v>
      </c>
    </row>
    <row r="123" spans="1:36" ht="15" thickBot="1" x14ac:dyDescent="0.35">
      <c r="A123" s="261" t="s">
        <v>410</v>
      </c>
      <c r="B123" s="261" t="s">
        <v>413</v>
      </c>
      <c r="C123" s="20">
        <v>2</v>
      </c>
      <c r="D123" s="20">
        <v>7.6344152510321184</v>
      </c>
      <c r="E123" s="20">
        <v>5.2853644045606973</v>
      </c>
      <c r="F123" s="261" t="s">
        <v>21</v>
      </c>
      <c r="G123" s="64" t="s">
        <v>28</v>
      </c>
      <c r="H123" s="261" t="s">
        <v>1069</v>
      </c>
      <c r="I123" s="261" t="s">
        <v>352</v>
      </c>
      <c r="K123" s="309">
        <f t="shared" si="2"/>
        <v>15.268830502064237</v>
      </c>
      <c r="L123" s="309">
        <f t="shared" si="3"/>
        <v>10.570728809121395</v>
      </c>
      <c r="M123" s="297"/>
      <c r="N123" s="297"/>
      <c r="O123" s="297"/>
      <c r="P123" s="297"/>
      <c r="Q123" s="297"/>
      <c r="R123" s="297"/>
      <c r="S123" s="297"/>
      <c r="T123" s="260"/>
      <c r="U123" s="260"/>
      <c r="V123" s="260"/>
      <c r="W123" s="260"/>
      <c r="X123" s="260"/>
      <c r="Y123" s="260"/>
      <c r="Z123" s="260"/>
      <c r="AA123" s="260"/>
      <c r="AE123" s="403" t="s">
        <v>410</v>
      </c>
      <c r="AF123" s="418" t="s">
        <v>413</v>
      </c>
      <c r="AG123" s="418">
        <v>2000</v>
      </c>
      <c r="AH123" s="418" t="s">
        <v>21</v>
      </c>
      <c r="AI123" s="418" t="s">
        <v>352</v>
      </c>
      <c r="AJ123" s="418" t="s">
        <v>986</v>
      </c>
    </row>
    <row r="124" spans="1:36" ht="15" thickBot="1" x14ac:dyDescent="0.35">
      <c r="A124" s="261" t="s">
        <v>1050</v>
      </c>
      <c r="B124" s="261" t="s">
        <v>491</v>
      </c>
      <c r="C124" s="20">
        <v>1.85</v>
      </c>
      <c r="D124" s="20">
        <v>5.8726271161785526</v>
      </c>
      <c r="E124" s="20">
        <v>3.9362473643575164</v>
      </c>
      <c r="F124" s="261" t="s">
        <v>91</v>
      </c>
      <c r="G124" s="64">
        <v>0.14399999999999999</v>
      </c>
      <c r="H124" s="261" t="s">
        <v>1069</v>
      </c>
      <c r="I124" s="261" t="s">
        <v>641</v>
      </c>
      <c r="K124" s="309">
        <f t="shared" si="2"/>
        <v>10.864360164930323</v>
      </c>
      <c r="L124" s="309">
        <f t="shared" si="3"/>
        <v>7.2820576240614061</v>
      </c>
      <c r="M124" s="297"/>
      <c r="N124" s="297"/>
      <c r="O124" s="297"/>
      <c r="P124" s="297"/>
      <c r="Q124" s="297"/>
      <c r="R124" s="297"/>
      <c r="S124" s="297"/>
      <c r="T124" s="260"/>
      <c r="U124" s="260"/>
      <c r="V124" s="260"/>
      <c r="W124" s="260"/>
      <c r="X124" s="260"/>
      <c r="Y124" s="260"/>
      <c r="Z124" s="260"/>
      <c r="AA124" s="260"/>
      <c r="AE124" s="332" t="s">
        <v>1050</v>
      </c>
      <c r="AF124" s="328" t="s">
        <v>491</v>
      </c>
      <c r="AG124" s="328">
        <v>1850</v>
      </c>
      <c r="AH124" s="328" t="s">
        <v>91</v>
      </c>
      <c r="AI124" s="328" t="s">
        <v>641</v>
      </c>
      <c r="AJ124" s="328" t="s">
        <v>990</v>
      </c>
    </row>
    <row r="125" spans="1:36" ht="15" thickBot="1" x14ac:dyDescent="0.35">
      <c r="A125" s="261" t="s">
        <v>523</v>
      </c>
      <c r="B125" s="261" t="s">
        <v>491</v>
      </c>
      <c r="C125" s="20">
        <v>2</v>
      </c>
      <c r="D125" s="20">
        <v>5.3851990655357325</v>
      </c>
      <c r="E125" s="20">
        <v>4.6981016929428421</v>
      </c>
      <c r="F125" s="261" t="s">
        <v>91</v>
      </c>
      <c r="G125" s="64">
        <v>0.14499999999999999</v>
      </c>
      <c r="H125" s="261" t="s">
        <v>1069</v>
      </c>
      <c r="I125" s="261" t="s">
        <v>352</v>
      </c>
      <c r="K125" s="309">
        <f t="shared" si="2"/>
        <v>10.770398131071465</v>
      </c>
      <c r="L125" s="309">
        <f t="shared" si="3"/>
        <v>9.3962033858856842</v>
      </c>
      <c r="M125" s="297"/>
      <c r="N125" s="297"/>
      <c r="O125" s="297"/>
      <c r="P125" s="297"/>
      <c r="Q125" s="297"/>
      <c r="R125" s="297"/>
      <c r="S125" s="297"/>
      <c r="T125" s="260"/>
      <c r="U125" s="260"/>
      <c r="V125" s="260"/>
      <c r="W125" s="260"/>
      <c r="X125" s="260"/>
      <c r="Y125" s="260"/>
      <c r="Z125" s="260"/>
      <c r="AA125" s="260"/>
      <c r="AE125" s="403" t="s">
        <v>523</v>
      </c>
      <c r="AF125" s="418" t="s">
        <v>491</v>
      </c>
      <c r="AG125" s="418">
        <v>2000</v>
      </c>
      <c r="AH125" s="418" t="s">
        <v>91</v>
      </c>
      <c r="AI125" s="418" t="s">
        <v>352</v>
      </c>
      <c r="AJ125" s="418" t="s">
        <v>986</v>
      </c>
    </row>
    <row r="126" spans="1:36" ht="15" thickBot="1" x14ac:dyDescent="0.35">
      <c r="A126" s="261" t="s">
        <v>559</v>
      </c>
      <c r="B126" s="261" t="s">
        <v>491</v>
      </c>
      <c r="C126" s="20">
        <v>2</v>
      </c>
      <c r="D126" s="20">
        <v>6.4598898277964079</v>
      </c>
      <c r="E126" s="20">
        <v>4.6393754217810566</v>
      </c>
      <c r="F126" s="261" t="s">
        <v>91</v>
      </c>
      <c r="G126" s="64" t="s">
        <v>28</v>
      </c>
      <c r="H126" s="261" t="s">
        <v>1069</v>
      </c>
      <c r="I126" s="261" t="s">
        <v>352</v>
      </c>
      <c r="K126" s="309">
        <f t="shared" si="2"/>
        <v>12.919779655592816</v>
      </c>
      <c r="L126" s="309">
        <f t="shared" si="3"/>
        <v>9.2787508435621131</v>
      </c>
      <c r="M126" s="297"/>
      <c r="N126" s="297"/>
      <c r="O126" s="297"/>
      <c r="P126" s="297"/>
      <c r="Q126" s="297"/>
      <c r="R126" s="297"/>
      <c r="S126" s="297"/>
      <c r="T126" s="260"/>
      <c r="U126" s="260"/>
      <c r="V126" s="260"/>
      <c r="W126" s="260"/>
      <c r="X126" s="260"/>
      <c r="Y126" s="260"/>
      <c r="Z126" s="260"/>
      <c r="AA126" s="260"/>
      <c r="AE126" s="332" t="s">
        <v>559</v>
      </c>
      <c r="AF126" s="328" t="s">
        <v>491</v>
      </c>
      <c r="AG126" s="328">
        <v>2000</v>
      </c>
      <c r="AH126" s="328" t="s">
        <v>91</v>
      </c>
      <c r="AI126" s="328" t="s">
        <v>352</v>
      </c>
      <c r="AJ126" s="328" t="s">
        <v>986</v>
      </c>
    </row>
    <row r="127" spans="1:36" ht="15" thickBot="1" x14ac:dyDescent="0.35">
      <c r="A127" s="261" t="s">
        <v>535</v>
      </c>
      <c r="B127" s="261" t="s">
        <v>491</v>
      </c>
      <c r="C127" s="20">
        <v>2.2999999999999998</v>
      </c>
      <c r="D127" s="20">
        <v>6.1279587299254459</v>
      </c>
      <c r="E127" s="20" t="s">
        <v>28</v>
      </c>
      <c r="F127" s="261" t="s">
        <v>203</v>
      </c>
      <c r="G127" s="64" t="s">
        <v>28</v>
      </c>
      <c r="H127" s="261" t="s">
        <v>1069</v>
      </c>
      <c r="I127" s="261" t="s">
        <v>352</v>
      </c>
      <c r="K127" s="309">
        <f t="shared" si="2"/>
        <v>14.094305078828524</v>
      </c>
      <c r="L127" s="309" t="str">
        <f t="shared" si="3"/>
        <v/>
      </c>
      <c r="M127" s="297"/>
      <c r="N127" s="297"/>
      <c r="O127" s="297"/>
      <c r="P127" s="297"/>
      <c r="Q127" s="297"/>
      <c r="R127" s="297"/>
      <c r="S127" s="297"/>
      <c r="T127" s="260"/>
      <c r="U127" s="260"/>
      <c r="V127" s="260"/>
      <c r="W127" s="260"/>
      <c r="X127" s="260"/>
      <c r="Y127" s="260"/>
      <c r="Z127" s="260"/>
      <c r="AA127" s="260"/>
      <c r="AE127" s="403" t="s">
        <v>535</v>
      </c>
      <c r="AF127" s="418" t="s">
        <v>491</v>
      </c>
      <c r="AG127" s="418">
        <v>2300</v>
      </c>
      <c r="AH127" s="418" t="s">
        <v>28</v>
      </c>
      <c r="AI127" s="418" t="s">
        <v>352</v>
      </c>
      <c r="AJ127" s="418" t="s">
        <v>990</v>
      </c>
    </row>
    <row r="128" spans="1:36" ht="15" thickBot="1" x14ac:dyDescent="0.35">
      <c r="A128" s="261" t="s">
        <v>1051</v>
      </c>
      <c r="B128" s="261" t="s">
        <v>491</v>
      </c>
      <c r="C128" s="20">
        <v>4.2</v>
      </c>
      <c r="D128" s="20">
        <v>17.338232438241441</v>
      </c>
      <c r="E128" s="20">
        <v>11.185956411768672</v>
      </c>
      <c r="F128" s="261" t="s">
        <v>203</v>
      </c>
      <c r="G128" s="64" t="s">
        <v>28</v>
      </c>
      <c r="H128" s="261" t="s">
        <v>1069</v>
      </c>
      <c r="I128" s="261" t="s">
        <v>352</v>
      </c>
      <c r="K128" s="309">
        <f t="shared" si="2"/>
        <v>72.820576240614059</v>
      </c>
      <c r="L128" s="309">
        <f t="shared" si="3"/>
        <v>46.981016929428421</v>
      </c>
      <c r="M128" s="297"/>
      <c r="N128" s="297"/>
      <c r="O128" s="297"/>
      <c r="P128" s="297"/>
      <c r="Q128" s="297"/>
      <c r="R128" s="297"/>
      <c r="S128" s="297"/>
      <c r="T128" s="260"/>
      <c r="U128" s="260"/>
      <c r="V128" s="260"/>
      <c r="W128" s="260"/>
      <c r="X128" s="260"/>
      <c r="Y128" s="260"/>
      <c r="Z128" s="260"/>
      <c r="AA128" s="260"/>
      <c r="AE128" s="332" t="s">
        <v>1051</v>
      </c>
      <c r="AF128" s="328" t="s">
        <v>491</v>
      </c>
      <c r="AG128" s="328">
        <v>4200</v>
      </c>
      <c r="AH128" s="328" t="s">
        <v>28</v>
      </c>
      <c r="AI128" s="328" t="s">
        <v>352</v>
      </c>
      <c r="AJ128" s="328" t="s">
        <v>986</v>
      </c>
    </row>
    <row r="129" spans="1:36" ht="15" thickBot="1" x14ac:dyDescent="0.35">
      <c r="A129" s="261" t="s">
        <v>1052</v>
      </c>
      <c r="B129" s="261" t="s">
        <v>491</v>
      </c>
      <c r="C129" s="20">
        <v>4.5</v>
      </c>
      <c r="D129" s="20">
        <v>4.9591073425507775</v>
      </c>
      <c r="E129" s="20" t="s">
        <v>28</v>
      </c>
      <c r="F129" s="261" t="s">
        <v>91</v>
      </c>
      <c r="G129" s="64">
        <v>0.14499999999999999</v>
      </c>
      <c r="H129" s="261" t="s">
        <v>1069</v>
      </c>
      <c r="I129" s="261" t="s">
        <v>352</v>
      </c>
      <c r="K129" s="309">
        <f t="shared" si="2"/>
        <v>22.3159830414785</v>
      </c>
      <c r="L129" s="309" t="str">
        <f t="shared" si="3"/>
        <v/>
      </c>
      <c r="M129" s="297"/>
      <c r="N129" s="297"/>
      <c r="O129" s="297"/>
      <c r="P129" s="297"/>
      <c r="Q129" s="297"/>
      <c r="R129" s="297"/>
      <c r="S129" s="297"/>
      <c r="T129" s="260"/>
      <c r="U129" s="260"/>
      <c r="V129" s="260"/>
      <c r="W129" s="260"/>
      <c r="X129" s="260"/>
      <c r="Y129" s="260"/>
      <c r="Z129" s="260"/>
      <c r="AA129" s="260"/>
      <c r="AE129" s="403" t="s">
        <v>1052</v>
      </c>
      <c r="AF129" s="418" t="s">
        <v>491</v>
      </c>
      <c r="AG129" s="418">
        <v>4500</v>
      </c>
      <c r="AH129" s="418" t="s">
        <v>91</v>
      </c>
      <c r="AI129" s="418" t="s">
        <v>352</v>
      </c>
      <c r="AJ129" s="418" t="s">
        <v>990</v>
      </c>
    </row>
    <row r="130" spans="1:36" ht="15" thickBot="1" x14ac:dyDescent="0.35">
      <c r="A130" s="261" t="s">
        <v>700</v>
      </c>
      <c r="B130" s="261" t="s">
        <v>491</v>
      </c>
      <c r="C130" s="20">
        <v>5.742</v>
      </c>
      <c r="D130" s="20">
        <v>3</v>
      </c>
      <c r="E130" s="20">
        <v>2.2320000000000002</v>
      </c>
      <c r="F130" s="261" t="s">
        <v>91</v>
      </c>
      <c r="G130" s="64">
        <v>0.14899999999999999</v>
      </c>
      <c r="H130" s="261" t="s">
        <v>1069</v>
      </c>
      <c r="I130" s="261" t="s">
        <v>641</v>
      </c>
      <c r="K130" s="309">
        <f t="shared" si="2"/>
        <v>17.225999999999999</v>
      </c>
      <c r="L130" s="309">
        <f t="shared" si="3"/>
        <v>12.816144000000001</v>
      </c>
      <c r="M130" s="297"/>
      <c r="N130" s="297"/>
      <c r="O130" s="297"/>
      <c r="P130" s="297"/>
      <c r="Q130" s="297"/>
      <c r="R130" s="297"/>
      <c r="S130" s="297"/>
      <c r="T130" s="260"/>
      <c r="U130" s="260"/>
      <c r="V130" s="260"/>
      <c r="W130" s="260"/>
      <c r="X130" s="260"/>
      <c r="Y130" s="260"/>
      <c r="Z130" s="260"/>
      <c r="AA130" s="260"/>
      <c r="AE130" s="332" t="s">
        <v>700</v>
      </c>
      <c r="AF130" s="328" t="s">
        <v>491</v>
      </c>
      <c r="AG130" s="328">
        <v>5742</v>
      </c>
      <c r="AH130" s="328" t="s">
        <v>91</v>
      </c>
      <c r="AI130" s="328" t="s">
        <v>641</v>
      </c>
      <c r="AJ130" s="328" t="s">
        <v>990</v>
      </c>
    </row>
    <row r="131" spans="1:36" ht="15" thickBot="1" x14ac:dyDescent="0.35">
      <c r="A131" s="261" t="s">
        <v>1053</v>
      </c>
      <c r="B131" s="261" t="s">
        <v>573</v>
      </c>
      <c r="C131" s="20">
        <v>17.399999999999999</v>
      </c>
      <c r="D131" s="20">
        <v>9.1126972492425811</v>
      </c>
      <c r="E131" s="20">
        <v>6.075131499495054</v>
      </c>
      <c r="F131" s="261" t="s">
        <v>91</v>
      </c>
      <c r="G131" s="64">
        <v>0.107</v>
      </c>
      <c r="H131" s="261" t="s">
        <v>342</v>
      </c>
      <c r="I131" s="261" t="s">
        <v>352</v>
      </c>
      <c r="K131" s="309">
        <f t="shared" ref="K131:K193" si="4">IFERROR(D131*$C131,"")</f>
        <v>158.5609321368209</v>
      </c>
      <c r="L131" s="309">
        <f t="shared" ref="L131:L193" si="5">IFERROR(E131*$C131,"")</f>
        <v>105.70728809121393</v>
      </c>
      <c r="M131" s="297"/>
      <c r="N131" s="297"/>
      <c r="O131" s="297"/>
      <c r="P131" s="297"/>
      <c r="Q131" s="297"/>
      <c r="R131" s="297"/>
      <c r="S131" s="297"/>
      <c r="T131" s="260"/>
      <c r="U131" s="260"/>
      <c r="V131" s="260"/>
      <c r="W131" s="260"/>
      <c r="X131" s="260"/>
      <c r="Y131" s="260"/>
      <c r="Z131" s="260"/>
      <c r="AA131" s="260"/>
      <c r="AE131" s="403" t="s">
        <v>1053</v>
      </c>
      <c r="AF131" s="418" t="s">
        <v>573</v>
      </c>
      <c r="AG131" s="418">
        <v>17400</v>
      </c>
      <c r="AH131" s="418" t="s">
        <v>91</v>
      </c>
      <c r="AI131" s="418" t="s">
        <v>352</v>
      </c>
      <c r="AJ131" s="418" t="s">
        <v>986</v>
      </c>
    </row>
    <row r="132" spans="1:36" ht="15" thickBot="1" x14ac:dyDescent="0.35">
      <c r="A132" s="261" t="s">
        <v>48</v>
      </c>
      <c r="B132" s="261" t="s">
        <v>47</v>
      </c>
      <c r="C132" s="20">
        <v>1.1890000000000001</v>
      </c>
      <c r="D132" s="20">
        <v>9.5</v>
      </c>
      <c r="E132" s="20">
        <v>7.66</v>
      </c>
      <c r="F132" s="261" t="s">
        <v>21</v>
      </c>
      <c r="G132" s="64">
        <v>0.13800000000000001</v>
      </c>
      <c r="H132" s="261" t="s">
        <v>1069</v>
      </c>
      <c r="I132" s="261" t="s">
        <v>641</v>
      </c>
      <c r="K132" s="309">
        <f t="shared" si="4"/>
        <v>11.295500000000001</v>
      </c>
      <c r="L132" s="309">
        <f t="shared" si="5"/>
        <v>9.1077399999999997</v>
      </c>
      <c r="M132" s="297"/>
      <c r="N132" s="297"/>
      <c r="O132" s="297"/>
      <c r="P132" s="297"/>
      <c r="Q132" s="297"/>
      <c r="R132" s="297"/>
      <c r="S132" s="297"/>
      <c r="T132" s="260"/>
      <c r="U132" s="260"/>
      <c r="V132" s="260"/>
      <c r="W132" s="260"/>
      <c r="X132" s="260"/>
      <c r="Y132" s="260"/>
      <c r="Z132" s="260"/>
      <c r="AA132" s="260"/>
      <c r="AE132" s="332" t="s">
        <v>48</v>
      </c>
      <c r="AF132" s="328" t="s">
        <v>47</v>
      </c>
      <c r="AG132" s="328">
        <v>1189</v>
      </c>
      <c r="AH132" s="328" t="s">
        <v>21</v>
      </c>
      <c r="AI132" s="328" t="s">
        <v>641</v>
      </c>
      <c r="AJ132" s="328" t="s">
        <v>990</v>
      </c>
    </row>
    <row r="133" spans="1:36" ht="15" thickBot="1" x14ac:dyDescent="0.35">
      <c r="A133" s="261" t="s">
        <v>1054</v>
      </c>
      <c r="B133" s="261" t="s">
        <v>47</v>
      </c>
      <c r="C133" s="20">
        <v>1.2</v>
      </c>
      <c r="D133" s="20">
        <v>5.8726271161785517</v>
      </c>
      <c r="E133" s="20" t="s">
        <v>28</v>
      </c>
      <c r="F133" s="261" t="s">
        <v>91</v>
      </c>
      <c r="G133" s="64">
        <v>0.14000000000000001</v>
      </c>
      <c r="H133" s="261" t="s">
        <v>1069</v>
      </c>
      <c r="I133" s="261" t="s">
        <v>352</v>
      </c>
      <c r="K133" s="309">
        <f t="shared" si="4"/>
        <v>7.0471525394142622</v>
      </c>
      <c r="L133" s="309" t="str">
        <f t="shared" si="5"/>
        <v/>
      </c>
      <c r="M133" s="297"/>
      <c r="N133" s="297"/>
      <c r="O133" s="297"/>
      <c r="P133" s="297"/>
      <c r="Q133" s="297"/>
      <c r="R133" s="297"/>
      <c r="S133" s="297"/>
      <c r="T133" s="260"/>
      <c r="U133" s="260"/>
      <c r="V133" s="260"/>
      <c r="W133" s="260"/>
      <c r="X133" s="260"/>
      <c r="Y133" s="260"/>
      <c r="Z133" s="260"/>
      <c r="AA133" s="260"/>
      <c r="AE133" s="403" t="s">
        <v>1054</v>
      </c>
      <c r="AF133" s="418" t="s">
        <v>47</v>
      </c>
      <c r="AG133" s="418">
        <v>1200</v>
      </c>
      <c r="AH133" s="418" t="s">
        <v>91</v>
      </c>
      <c r="AI133" s="418" t="s">
        <v>352</v>
      </c>
      <c r="AJ133" s="418" t="s">
        <v>990</v>
      </c>
    </row>
    <row r="134" spans="1:36" ht="15" thickBot="1" x14ac:dyDescent="0.35">
      <c r="A134" s="261" t="s">
        <v>1055</v>
      </c>
      <c r="B134" s="261" t="s">
        <v>47</v>
      </c>
      <c r="C134" s="20">
        <v>1.3049999999999999</v>
      </c>
      <c r="D134" s="20">
        <v>9.0001948140667469</v>
      </c>
      <c r="E134" s="20" t="s">
        <v>28</v>
      </c>
      <c r="F134" s="261" t="s">
        <v>91</v>
      </c>
      <c r="G134" s="64">
        <v>0.14399999999999999</v>
      </c>
      <c r="H134" s="261" t="s">
        <v>1069</v>
      </c>
      <c r="I134" s="261" t="s">
        <v>352</v>
      </c>
      <c r="K134" s="309">
        <f t="shared" si="4"/>
        <v>11.745254232357103</v>
      </c>
      <c r="L134" s="309" t="str">
        <f t="shared" si="5"/>
        <v/>
      </c>
      <c r="M134" s="297"/>
      <c r="N134" s="297"/>
      <c r="O134" s="297"/>
      <c r="P134" s="297"/>
      <c r="Q134" s="297"/>
      <c r="R134" s="297"/>
      <c r="S134" s="297"/>
      <c r="T134" s="260"/>
      <c r="U134" s="260"/>
      <c r="V134" s="260"/>
      <c r="W134" s="260"/>
      <c r="X134" s="260"/>
      <c r="Y134" s="260"/>
      <c r="Z134" s="260"/>
      <c r="AA134" s="260"/>
      <c r="AE134" s="332" t="s">
        <v>1055</v>
      </c>
      <c r="AF134" s="328" t="s">
        <v>47</v>
      </c>
      <c r="AG134" s="328">
        <v>1305</v>
      </c>
      <c r="AH134" s="328" t="s">
        <v>91</v>
      </c>
      <c r="AI134" s="328" t="s">
        <v>352</v>
      </c>
      <c r="AJ134" s="328" t="s">
        <v>990</v>
      </c>
    </row>
    <row r="135" spans="1:36" ht="15" thickBot="1" x14ac:dyDescent="0.35">
      <c r="A135" s="261" t="s">
        <v>1056</v>
      </c>
      <c r="B135" s="261" t="s">
        <v>47</v>
      </c>
      <c r="C135" s="20">
        <v>2.2000000000000002</v>
      </c>
      <c r="D135" s="20">
        <v>9.0758782704577623</v>
      </c>
      <c r="E135" s="20">
        <v>6.4065023085584203</v>
      </c>
      <c r="F135" s="261" t="s">
        <v>21</v>
      </c>
      <c r="G135" s="64">
        <v>0.1547</v>
      </c>
      <c r="H135" s="261" t="s">
        <v>1069</v>
      </c>
      <c r="I135" s="261" t="s">
        <v>252</v>
      </c>
      <c r="K135" s="309">
        <f t="shared" si="4"/>
        <v>19.966932195007079</v>
      </c>
      <c r="L135" s="309">
        <f t="shared" si="5"/>
        <v>14.094305078828526</v>
      </c>
      <c r="M135" s="297"/>
      <c r="N135" s="297"/>
      <c r="O135" s="297"/>
      <c r="P135" s="297"/>
      <c r="Q135" s="297"/>
      <c r="R135" s="297"/>
      <c r="S135" s="297"/>
      <c r="T135" s="260"/>
      <c r="U135" s="260"/>
      <c r="V135" s="260"/>
      <c r="W135" s="260"/>
      <c r="X135" s="260"/>
      <c r="Y135" s="260"/>
      <c r="Z135" s="260"/>
      <c r="AA135" s="260"/>
      <c r="AE135" s="403" t="s">
        <v>1056</v>
      </c>
      <c r="AF135" s="418" t="s">
        <v>47</v>
      </c>
      <c r="AG135" s="418">
        <v>2200</v>
      </c>
      <c r="AH135" s="418" t="s">
        <v>21</v>
      </c>
      <c r="AI135" s="418" t="s">
        <v>252</v>
      </c>
      <c r="AJ135" s="418" t="s">
        <v>986</v>
      </c>
    </row>
    <row r="136" spans="1:36" ht="15" thickBot="1" x14ac:dyDescent="0.35">
      <c r="A136" s="261" t="s">
        <v>1057</v>
      </c>
      <c r="B136" s="261" t="s">
        <v>47</v>
      </c>
      <c r="C136" s="20">
        <v>5</v>
      </c>
      <c r="D136" s="20">
        <v>6.5773423701199789</v>
      </c>
      <c r="E136" s="20" t="s">
        <v>28</v>
      </c>
      <c r="F136" s="261" t="s">
        <v>203</v>
      </c>
      <c r="G136" s="64" t="s">
        <v>28</v>
      </c>
      <c r="H136" s="261" t="s">
        <v>1069</v>
      </c>
      <c r="I136" s="261" t="s">
        <v>352</v>
      </c>
      <c r="K136" s="309">
        <f t="shared" si="4"/>
        <v>32.886711850599895</v>
      </c>
      <c r="L136" s="309" t="str">
        <f t="shared" si="5"/>
        <v/>
      </c>
      <c r="M136" s="297"/>
      <c r="N136" s="297"/>
      <c r="O136" s="297"/>
      <c r="P136" s="297"/>
      <c r="Q136" s="297"/>
      <c r="R136" s="297"/>
      <c r="S136" s="297"/>
      <c r="T136" s="260"/>
      <c r="U136" s="260"/>
      <c r="V136" s="260"/>
      <c r="W136" s="260"/>
      <c r="X136" s="260"/>
      <c r="Y136" s="260"/>
      <c r="Z136" s="260"/>
      <c r="AA136" s="260"/>
      <c r="AE136" s="332" t="s">
        <v>1057</v>
      </c>
      <c r="AF136" s="328" t="s">
        <v>47</v>
      </c>
      <c r="AG136" s="328">
        <v>5000</v>
      </c>
      <c r="AH136" s="328" t="s">
        <v>28</v>
      </c>
      <c r="AI136" s="328" t="s">
        <v>352</v>
      </c>
      <c r="AJ136" s="328" t="s">
        <v>990</v>
      </c>
    </row>
    <row r="137" spans="1:36" ht="15" thickBot="1" x14ac:dyDescent="0.35">
      <c r="A137" s="261" t="s">
        <v>727</v>
      </c>
      <c r="B137" s="261" t="s">
        <v>47</v>
      </c>
      <c r="C137" s="20">
        <v>6.4</v>
      </c>
      <c r="D137" s="20">
        <v>5.74</v>
      </c>
      <c r="E137" s="20">
        <v>4.7799999999999994</v>
      </c>
      <c r="F137" s="261" t="s">
        <v>21</v>
      </c>
      <c r="G137" s="64">
        <v>0.19</v>
      </c>
      <c r="H137" s="261" t="s">
        <v>1069</v>
      </c>
      <c r="I137" s="261" t="s">
        <v>252</v>
      </c>
      <c r="K137" s="309">
        <f t="shared" si="4"/>
        <v>36.736000000000004</v>
      </c>
      <c r="L137" s="309">
        <f t="shared" si="5"/>
        <v>30.591999999999999</v>
      </c>
      <c r="M137" s="297"/>
      <c r="N137" s="297"/>
      <c r="O137" s="297"/>
      <c r="P137" s="297"/>
      <c r="Q137" s="297"/>
      <c r="R137" s="297"/>
      <c r="S137" s="297"/>
      <c r="T137" s="260"/>
      <c r="U137" s="260"/>
      <c r="V137" s="260"/>
      <c r="W137" s="260"/>
      <c r="X137" s="260"/>
      <c r="Y137" s="260"/>
      <c r="Z137" s="260"/>
      <c r="AA137" s="260"/>
      <c r="AE137" s="403" t="s">
        <v>727</v>
      </c>
      <c r="AF137" s="418" t="s">
        <v>47</v>
      </c>
      <c r="AG137" s="418">
        <v>6400</v>
      </c>
      <c r="AH137" s="418" t="s">
        <v>21</v>
      </c>
      <c r="AI137" s="418" t="s">
        <v>252</v>
      </c>
      <c r="AJ137" s="418" t="s">
        <v>986</v>
      </c>
    </row>
    <row r="138" spans="1:36" ht="15" thickBot="1" x14ac:dyDescent="0.35">
      <c r="A138" s="261" t="s">
        <v>188</v>
      </c>
      <c r="B138" s="261" t="s">
        <v>47</v>
      </c>
      <c r="C138" s="20">
        <v>17.2</v>
      </c>
      <c r="D138" s="20">
        <v>12.903225806451612</v>
      </c>
      <c r="E138" s="20">
        <v>7.5161290322580649</v>
      </c>
      <c r="F138" s="261" t="s">
        <v>21</v>
      </c>
      <c r="G138" s="64" t="s">
        <v>28</v>
      </c>
      <c r="H138" s="261" t="s">
        <v>1069</v>
      </c>
      <c r="I138" s="261" t="s">
        <v>252</v>
      </c>
      <c r="K138" s="309">
        <f t="shared" si="4"/>
        <v>221.93548387096772</v>
      </c>
      <c r="L138" s="309">
        <f t="shared" si="5"/>
        <v>129.27741935483871</v>
      </c>
      <c r="M138" s="297"/>
      <c r="N138" s="297"/>
      <c r="O138" s="297"/>
      <c r="P138" s="297"/>
      <c r="Q138" s="297"/>
      <c r="R138" s="297"/>
      <c r="S138" s="297"/>
      <c r="T138" s="260"/>
      <c r="U138" s="260"/>
      <c r="V138" s="260"/>
      <c r="W138" s="260"/>
      <c r="X138" s="260"/>
      <c r="Y138" s="260"/>
      <c r="Z138" s="260"/>
      <c r="AA138" s="260"/>
      <c r="AE138" s="332" t="s">
        <v>188</v>
      </c>
      <c r="AF138" s="328" t="s">
        <v>47</v>
      </c>
      <c r="AG138" s="328">
        <v>17200</v>
      </c>
      <c r="AH138" s="328" t="s">
        <v>21</v>
      </c>
      <c r="AI138" s="328" t="s">
        <v>252</v>
      </c>
      <c r="AJ138" s="328" t="s">
        <v>986</v>
      </c>
    </row>
    <row r="139" spans="1:36" ht="15" thickBot="1" x14ac:dyDescent="0.35">
      <c r="A139" s="261" t="s">
        <v>437</v>
      </c>
      <c r="B139" s="261" t="s">
        <v>171</v>
      </c>
      <c r="C139" s="20">
        <v>1.3</v>
      </c>
      <c r="D139" s="20">
        <v>4.9691460213818521</v>
      </c>
      <c r="E139" s="20">
        <v>4.0656649265851517</v>
      </c>
      <c r="F139" s="261" t="s">
        <v>91</v>
      </c>
      <c r="G139" s="64" t="s">
        <v>28</v>
      </c>
      <c r="H139" s="261" t="s">
        <v>1069</v>
      </c>
      <c r="I139" s="261" t="s">
        <v>352</v>
      </c>
      <c r="K139" s="309">
        <f t="shared" si="4"/>
        <v>6.4598898277964079</v>
      </c>
      <c r="L139" s="309">
        <f t="shared" si="5"/>
        <v>5.2853644045606973</v>
      </c>
      <c r="M139" s="297"/>
      <c r="N139" s="297"/>
      <c r="O139" s="297"/>
      <c r="P139" s="297"/>
      <c r="Q139" s="297"/>
      <c r="R139" s="297"/>
      <c r="S139" s="297"/>
      <c r="T139" s="260"/>
      <c r="U139" s="260"/>
      <c r="V139" s="260"/>
      <c r="W139" s="260"/>
      <c r="X139" s="260"/>
      <c r="Y139" s="260"/>
      <c r="Z139" s="260"/>
      <c r="AA139" s="260"/>
      <c r="AE139" s="403" t="s">
        <v>437</v>
      </c>
      <c r="AF139" s="418" t="s">
        <v>171</v>
      </c>
      <c r="AG139" s="418">
        <v>1300</v>
      </c>
      <c r="AH139" s="418" t="s">
        <v>91</v>
      </c>
      <c r="AI139" s="418" t="s">
        <v>352</v>
      </c>
      <c r="AJ139" s="418" t="s">
        <v>986</v>
      </c>
    </row>
    <row r="140" spans="1:36" ht="15" thickBot="1" x14ac:dyDescent="0.35">
      <c r="A140" s="261" t="s">
        <v>434</v>
      </c>
      <c r="B140" s="261" t="s">
        <v>171</v>
      </c>
      <c r="C140" s="20">
        <v>2.1</v>
      </c>
      <c r="D140" s="20">
        <v>4.4743825647074686</v>
      </c>
      <c r="E140" s="20">
        <v>3.1879975773540714</v>
      </c>
      <c r="F140" s="261" t="s">
        <v>91</v>
      </c>
      <c r="G140" s="64">
        <f>(13.74+14.4)/2/100</f>
        <v>0.14069999999999999</v>
      </c>
      <c r="H140" s="261" t="s">
        <v>1069</v>
      </c>
      <c r="I140" s="261" t="s">
        <v>352</v>
      </c>
      <c r="K140" s="309">
        <f t="shared" si="4"/>
        <v>9.3962033858856842</v>
      </c>
      <c r="L140" s="309">
        <f t="shared" si="5"/>
        <v>6.69479491244355</v>
      </c>
      <c r="M140" s="297"/>
      <c r="N140" s="297"/>
      <c r="O140" s="297"/>
      <c r="P140" s="297"/>
      <c r="Q140" s="297"/>
      <c r="R140" s="297"/>
      <c r="S140" s="297"/>
      <c r="T140" s="260"/>
      <c r="U140" s="260"/>
      <c r="V140" s="260"/>
      <c r="W140" s="260"/>
      <c r="X140" s="260"/>
      <c r="Y140" s="260"/>
      <c r="Z140" s="260"/>
      <c r="AA140" s="260"/>
      <c r="AE140" s="332" t="s">
        <v>434</v>
      </c>
      <c r="AF140" s="328" t="s">
        <v>171</v>
      </c>
      <c r="AG140" s="328">
        <v>2100</v>
      </c>
      <c r="AH140" s="328" t="s">
        <v>91</v>
      </c>
      <c r="AI140" s="328" t="s">
        <v>352</v>
      </c>
      <c r="AJ140" s="328" t="s">
        <v>986</v>
      </c>
    </row>
    <row r="141" spans="1:36" ht="15" thickBot="1" x14ac:dyDescent="0.35">
      <c r="A141" s="261" t="s">
        <v>198</v>
      </c>
      <c r="B141" s="261" t="s">
        <v>171</v>
      </c>
      <c r="C141" s="20">
        <v>2.1509999999999998</v>
      </c>
      <c r="D141" s="20">
        <v>6.7098975782062533</v>
      </c>
      <c r="E141" s="20">
        <v>5.5117015820979933</v>
      </c>
      <c r="F141" s="261" t="s">
        <v>91</v>
      </c>
      <c r="G141" s="64">
        <v>0.1</v>
      </c>
      <c r="H141" s="261" t="s">
        <v>1069</v>
      </c>
      <c r="I141" s="261" t="s">
        <v>252</v>
      </c>
      <c r="K141" s="309">
        <f t="shared" si="4"/>
        <v>14.43298969072165</v>
      </c>
      <c r="L141" s="309">
        <f t="shared" si="5"/>
        <v>11.855670103092782</v>
      </c>
      <c r="M141" s="297"/>
      <c r="N141" s="297"/>
      <c r="O141" s="297"/>
      <c r="P141" s="297"/>
      <c r="Q141" s="297"/>
      <c r="R141" s="297"/>
      <c r="S141" s="297"/>
      <c r="T141" s="260"/>
      <c r="U141" s="260"/>
      <c r="V141" s="111"/>
      <c r="W141" s="260"/>
      <c r="X141" s="260"/>
      <c r="Y141" s="260"/>
      <c r="Z141" s="260"/>
      <c r="AA141" s="260"/>
      <c r="AE141" s="403" t="s">
        <v>198</v>
      </c>
      <c r="AF141" s="418" t="s">
        <v>171</v>
      </c>
      <c r="AG141" s="418">
        <v>2151</v>
      </c>
      <c r="AH141" s="418" t="s">
        <v>91</v>
      </c>
      <c r="AI141" s="418" t="s">
        <v>252</v>
      </c>
      <c r="AJ141" s="418" t="s">
        <v>986</v>
      </c>
    </row>
    <row r="142" spans="1:36" ht="15" thickBot="1" x14ac:dyDescent="0.35">
      <c r="A142" s="261" t="s">
        <v>441</v>
      </c>
      <c r="B142" s="261" t="s">
        <v>171</v>
      </c>
      <c r="C142" s="20">
        <v>3</v>
      </c>
      <c r="D142" s="20">
        <v>5.0896101673547456</v>
      </c>
      <c r="E142" s="20" t="s">
        <v>28</v>
      </c>
      <c r="F142" s="261" t="s">
        <v>91</v>
      </c>
      <c r="G142" s="64" t="s">
        <v>28</v>
      </c>
      <c r="H142" s="261" t="s">
        <v>1069</v>
      </c>
      <c r="I142" s="261" t="s">
        <v>352</v>
      </c>
      <c r="K142" s="309">
        <f t="shared" si="4"/>
        <v>15.268830502064237</v>
      </c>
      <c r="L142" s="309" t="str">
        <f t="shared" si="5"/>
        <v/>
      </c>
      <c r="M142" s="297"/>
      <c r="N142" s="297"/>
      <c r="O142" s="297"/>
      <c r="P142" s="297"/>
      <c r="Q142" s="297"/>
      <c r="R142" s="297"/>
      <c r="S142" s="297"/>
      <c r="T142" s="260"/>
      <c r="U142" s="260"/>
      <c r="V142" s="260"/>
      <c r="W142" s="260"/>
      <c r="X142" s="260"/>
      <c r="Y142" s="260"/>
      <c r="Z142" s="260"/>
      <c r="AA142" s="260"/>
      <c r="AE142" s="332" t="s">
        <v>441</v>
      </c>
      <c r="AF142" s="328" t="s">
        <v>171</v>
      </c>
      <c r="AG142" s="328">
        <v>3000</v>
      </c>
      <c r="AH142" s="328" t="s">
        <v>91</v>
      </c>
      <c r="AI142" s="328" t="s">
        <v>352</v>
      </c>
      <c r="AJ142" s="328" t="s">
        <v>990</v>
      </c>
    </row>
    <row r="143" spans="1:36" ht="15" thickBot="1" x14ac:dyDescent="0.35">
      <c r="A143" s="261" t="s">
        <v>436</v>
      </c>
      <c r="B143" s="261" t="s">
        <v>171</v>
      </c>
      <c r="C143" s="20">
        <v>3.2</v>
      </c>
      <c r="D143" s="20">
        <v>3.6703919476115949</v>
      </c>
      <c r="E143" s="20" t="s">
        <v>28</v>
      </c>
      <c r="F143" s="261" t="s">
        <v>203</v>
      </c>
      <c r="G143" s="64" t="s">
        <v>28</v>
      </c>
      <c r="H143" s="261" t="s">
        <v>1069</v>
      </c>
      <c r="I143" s="261" t="s">
        <v>352</v>
      </c>
      <c r="K143" s="309">
        <f t="shared" si="4"/>
        <v>11.745254232357105</v>
      </c>
      <c r="L143" s="309" t="str">
        <f t="shared" si="5"/>
        <v/>
      </c>
      <c r="M143" s="297"/>
      <c r="N143" s="297"/>
      <c r="O143" s="297"/>
      <c r="P143" s="297"/>
      <c r="Q143" s="297"/>
      <c r="R143" s="297"/>
      <c r="S143" s="297"/>
      <c r="T143" s="260"/>
      <c r="U143" s="260"/>
      <c r="V143" s="260"/>
      <c r="W143" s="260"/>
      <c r="X143" s="260"/>
      <c r="Y143" s="260"/>
      <c r="Z143" s="260"/>
      <c r="AA143" s="260"/>
      <c r="AE143" s="403" t="s">
        <v>436</v>
      </c>
      <c r="AF143" s="418" t="s">
        <v>171</v>
      </c>
      <c r="AG143" s="418">
        <v>3200</v>
      </c>
      <c r="AH143" s="418" t="s">
        <v>28</v>
      </c>
      <c r="AI143" s="418" t="s">
        <v>352</v>
      </c>
      <c r="AJ143" s="418" t="s">
        <v>990</v>
      </c>
    </row>
    <row r="144" spans="1:36" ht="15" thickBot="1" x14ac:dyDescent="0.35">
      <c r="A144" s="261" t="s">
        <v>379</v>
      </c>
      <c r="B144" s="261" t="s">
        <v>171</v>
      </c>
      <c r="C144" s="20">
        <v>4.0999999999999996</v>
      </c>
      <c r="D144" s="20">
        <v>7.1617403855836006</v>
      </c>
      <c r="E144" s="20">
        <v>5.3426583276453652</v>
      </c>
      <c r="F144" s="261" t="s">
        <v>21</v>
      </c>
      <c r="G144" s="64" t="s">
        <v>28</v>
      </c>
      <c r="H144" s="261" t="s">
        <v>1069</v>
      </c>
      <c r="I144" s="261" t="s">
        <v>352</v>
      </c>
      <c r="K144" s="309">
        <f t="shared" si="4"/>
        <v>29.363135580892759</v>
      </c>
      <c r="L144" s="309">
        <f t="shared" si="5"/>
        <v>21.904899143345997</v>
      </c>
      <c r="M144" s="297"/>
      <c r="N144" s="297"/>
      <c r="O144" s="297"/>
      <c r="P144" s="297"/>
      <c r="Q144" s="297"/>
      <c r="R144" s="297"/>
      <c r="S144" s="297"/>
      <c r="T144" s="260"/>
      <c r="U144" s="260"/>
      <c r="V144" s="260"/>
      <c r="W144" s="260"/>
      <c r="X144" s="260"/>
      <c r="Y144" s="260"/>
      <c r="Z144" s="260"/>
      <c r="AA144" s="260"/>
      <c r="AE144" s="332" t="s">
        <v>379</v>
      </c>
      <c r="AF144" s="328" t="s">
        <v>171</v>
      </c>
      <c r="AG144" s="328">
        <v>4100</v>
      </c>
      <c r="AH144" s="328" t="s">
        <v>21</v>
      </c>
      <c r="AI144" s="328" t="s">
        <v>352</v>
      </c>
      <c r="AJ144" s="328" t="s">
        <v>986</v>
      </c>
    </row>
    <row r="145" spans="1:36" ht="15" thickBot="1" x14ac:dyDescent="0.35">
      <c r="A145" s="261" t="s">
        <v>182</v>
      </c>
      <c r="B145" s="261" t="s">
        <v>171</v>
      </c>
      <c r="C145" s="20">
        <v>4.0999999999999996</v>
      </c>
      <c r="D145" s="20">
        <v>8.0211492318536326</v>
      </c>
      <c r="E145" s="20">
        <v>4.29704423135016</v>
      </c>
      <c r="F145" s="261" t="s">
        <v>91</v>
      </c>
      <c r="G145" s="64" t="s">
        <v>28</v>
      </c>
      <c r="H145" s="261" t="s">
        <v>1069</v>
      </c>
      <c r="I145" s="261" t="s">
        <v>252</v>
      </c>
      <c r="K145" s="309">
        <f t="shared" si="4"/>
        <v>32.886711850599887</v>
      </c>
      <c r="L145" s="309">
        <f t="shared" si="5"/>
        <v>17.617881348535654</v>
      </c>
      <c r="M145" s="297"/>
      <c r="N145" s="297"/>
      <c r="O145" s="297"/>
      <c r="P145" s="297"/>
      <c r="Q145" s="297"/>
      <c r="R145" s="297"/>
      <c r="S145" s="297"/>
      <c r="T145" s="260"/>
      <c r="U145" s="260"/>
      <c r="V145" s="260"/>
      <c r="W145" s="260"/>
      <c r="X145" s="260"/>
      <c r="Y145" s="260"/>
      <c r="Z145" s="260"/>
      <c r="AA145" s="260"/>
      <c r="AE145" s="403" t="s">
        <v>182</v>
      </c>
      <c r="AF145" s="418" t="s">
        <v>171</v>
      </c>
      <c r="AG145" s="418">
        <v>4100</v>
      </c>
      <c r="AH145" s="418" t="s">
        <v>91</v>
      </c>
      <c r="AI145" s="418" t="s">
        <v>252</v>
      </c>
      <c r="AJ145" s="418" t="s">
        <v>986</v>
      </c>
    </row>
    <row r="146" spans="1:36" ht="15" thickBot="1" x14ac:dyDescent="0.35">
      <c r="A146" s="261" t="s">
        <v>435</v>
      </c>
      <c r="B146" s="261" t="s">
        <v>171</v>
      </c>
      <c r="C146" s="20">
        <v>4.4000000000000004</v>
      </c>
      <c r="D146" s="20">
        <v>4.1909202601819668</v>
      </c>
      <c r="E146" s="20">
        <v>3.7638201062780721</v>
      </c>
      <c r="F146" s="261" t="s">
        <v>91</v>
      </c>
      <c r="G146" s="64">
        <v>0.14399999999999999</v>
      </c>
      <c r="H146" s="261" t="s">
        <v>1069</v>
      </c>
      <c r="I146" s="261" t="s">
        <v>352</v>
      </c>
      <c r="K146" s="309">
        <f t="shared" si="4"/>
        <v>18.440049144800657</v>
      </c>
      <c r="L146" s="309">
        <f t="shared" si="5"/>
        <v>16.56080846762352</v>
      </c>
      <c r="M146" s="297"/>
      <c r="N146" s="297"/>
      <c r="O146" s="297"/>
      <c r="P146" s="297"/>
      <c r="Q146" s="297"/>
      <c r="R146" s="297"/>
      <c r="S146" s="297"/>
      <c r="T146" s="260"/>
      <c r="U146" s="260"/>
      <c r="V146" s="260"/>
      <c r="W146" s="260"/>
      <c r="X146" s="260"/>
      <c r="Y146" s="260"/>
      <c r="Z146" s="260"/>
      <c r="AA146" s="260"/>
      <c r="AE146" s="332" t="s">
        <v>435</v>
      </c>
      <c r="AF146" s="328" t="s">
        <v>171</v>
      </c>
      <c r="AG146" s="328">
        <v>4400</v>
      </c>
      <c r="AH146" s="328" t="s">
        <v>91</v>
      </c>
      <c r="AI146" s="328" t="s">
        <v>352</v>
      </c>
      <c r="AJ146" s="328" t="s">
        <v>986</v>
      </c>
    </row>
    <row r="147" spans="1:36" ht="15" thickBot="1" x14ac:dyDescent="0.35">
      <c r="A147" s="261" t="s">
        <v>710</v>
      </c>
      <c r="B147" s="261" t="s">
        <v>171</v>
      </c>
      <c r="C147" s="20">
        <v>4.8</v>
      </c>
      <c r="D147" s="20">
        <v>8.3195550812529486</v>
      </c>
      <c r="E147" s="20">
        <v>3.9150847441190346</v>
      </c>
      <c r="F147" s="261" t="s">
        <v>21</v>
      </c>
      <c r="G147" s="64" t="s">
        <v>28</v>
      </c>
      <c r="H147" s="261" t="s">
        <v>1070</v>
      </c>
      <c r="I147" s="261" t="s">
        <v>352</v>
      </c>
      <c r="K147" s="309">
        <f t="shared" si="4"/>
        <v>39.933864390014151</v>
      </c>
      <c r="L147" s="309">
        <f t="shared" si="5"/>
        <v>18.792406771771365</v>
      </c>
      <c r="M147" s="297"/>
      <c r="N147" s="297"/>
      <c r="O147" s="297"/>
      <c r="P147" s="297"/>
      <c r="Q147" s="297"/>
      <c r="R147" s="297"/>
      <c r="S147" s="297"/>
      <c r="T147" s="260"/>
      <c r="U147" s="260"/>
      <c r="V147" s="260"/>
      <c r="W147" s="260"/>
      <c r="X147" s="260"/>
      <c r="Y147" s="260"/>
      <c r="Z147" s="260"/>
      <c r="AA147" s="260"/>
      <c r="AE147" s="403" t="s">
        <v>710</v>
      </c>
      <c r="AF147" s="418" t="s">
        <v>171</v>
      </c>
      <c r="AG147" s="418">
        <v>4800</v>
      </c>
      <c r="AH147" s="418" t="s">
        <v>21</v>
      </c>
      <c r="AI147" s="418" t="s">
        <v>352</v>
      </c>
      <c r="AJ147" s="418" t="s">
        <v>990</v>
      </c>
    </row>
    <row r="148" spans="1:36" ht="15" thickBot="1" x14ac:dyDescent="0.35">
      <c r="A148" s="261" t="s">
        <v>1058</v>
      </c>
      <c r="B148" s="261" t="s">
        <v>171</v>
      </c>
      <c r="C148" s="20">
        <v>5.3</v>
      </c>
      <c r="D148" s="20">
        <v>5.9834314013894678</v>
      </c>
      <c r="E148" s="20" t="s">
        <v>28</v>
      </c>
      <c r="F148" s="261" t="s">
        <v>21</v>
      </c>
      <c r="G148" s="64">
        <v>0.19</v>
      </c>
      <c r="H148" s="261" t="s">
        <v>1069</v>
      </c>
      <c r="I148" s="261" t="s">
        <v>352</v>
      </c>
      <c r="K148" s="309">
        <f t="shared" si="4"/>
        <v>31.712186427364177</v>
      </c>
      <c r="L148" s="309" t="str">
        <f t="shared" si="5"/>
        <v/>
      </c>
      <c r="M148" s="297"/>
      <c r="N148" s="297"/>
      <c r="O148" s="297"/>
      <c r="P148" s="297"/>
      <c r="Q148" s="297"/>
      <c r="R148" s="297"/>
      <c r="S148" s="297"/>
      <c r="T148" s="260"/>
      <c r="U148" s="260"/>
      <c r="V148" s="260"/>
      <c r="W148" s="260"/>
      <c r="X148" s="260"/>
      <c r="Y148" s="260"/>
      <c r="Z148" s="260"/>
      <c r="AA148" s="260"/>
      <c r="AE148" s="332" t="s">
        <v>1058</v>
      </c>
      <c r="AF148" s="328" t="s">
        <v>171</v>
      </c>
      <c r="AG148" s="328">
        <v>5300</v>
      </c>
      <c r="AH148" s="328" t="s">
        <v>21</v>
      </c>
      <c r="AI148" s="328" t="s">
        <v>352</v>
      </c>
      <c r="AJ148" s="328" t="s">
        <v>990</v>
      </c>
    </row>
    <row r="149" spans="1:36" ht="15" thickBot="1" x14ac:dyDescent="0.35">
      <c r="A149" s="261" t="s">
        <v>618</v>
      </c>
      <c r="B149" s="261" t="s">
        <v>171</v>
      </c>
      <c r="C149" s="20">
        <v>6.1</v>
      </c>
      <c r="D149" s="20">
        <v>5.7763545405034931</v>
      </c>
      <c r="E149" s="20" t="s">
        <v>28</v>
      </c>
      <c r="F149" s="261" t="s">
        <v>21</v>
      </c>
      <c r="G149" s="64">
        <v>0.14610000000000001</v>
      </c>
      <c r="H149" s="261" t="s">
        <v>1069</v>
      </c>
      <c r="I149" s="261" t="s">
        <v>352</v>
      </c>
      <c r="K149" s="309">
        <f t="shared" si="4"/>
        <v>35.235762697071308</v>
      </c>
      <c r="L149" s="309" t="str">
        <f t="shared" si="5"/>
        <v/>
      </c>
      <c r="M149" s="297"/>
      <c r="N149" s="297"/>
      <c r="O149" s="297"/>
      <c r="P149" s="297"/>
      <c r="Q149" s="297"/>
      <c r="R149" s="297"/>
      <c r="S149" s="297"/>
      <c r="T149" s="260"/>
      <c r="U149" s="260"/>
      <c r="V149" s="260"/>
      <c r="W149" s="260"/>
      <c r="X149" s="260"/>
      <c r="Y149" s="260"/>
      <c r="Z149" s="260"/>
      <c r="AA149" s="260"/>
      <c r="AE149" s="403" t="s">
        <v>618</v>
      </c>
      <c r="AF149" s="418" t="s">
        <v>171</v>
      </c>
      <c r="AG149" s="418">
        <v>6100</v>
      </c>
      <c r="AH149" s="418" t="s">
        <v>21</v>
      </c>
      <c r="AI149" s="418" t="s">
        <v>352</v>
      </c>
      <c r="AJ149" s="418" t="s">
        <v>990</v>
      </c>
    </row>
    <row r="150" spans="1:36" ht="15" thickBot="1" x14ac:dyDescent="0.35">
      <c r="A150" s="261" t="s">
        <v>577</v>
      </c>
      <c r="B150" s="261" t="s">
        <v>171</v>
      </c>
      <c r="C150" s="20">
        <v>12.502000000000001</v>
      </c>
      <c r="D150" s="20">
        <v>9.8000000000000007</v>
      </c>
      <c r="E150" s="20">
        <v>7.8</v>
      </c>
      <c r="F150" s="261" t="s">
        <v>91</v>
      </c>
      <c r="G150" s="64">
        <v>0.14399999999999999</v>
      </c>
      <c r="H150" s="261" t="s">
        <v>1069</v>
      </c>
      <c r="I150" s="261" t="s">
        <v>352</v>
      </c>
      <c r="K150" s="309">
        <f t="shared" si="4"/>
        <v>122.51960000000001</v>
      </c>
      <c r="L150" s="309">
        <f t="shared" si="5"/>
        <v>97.515600000000006</v>
      </c>
      <c r="M150" s="297"/>
      <c r="N150" s="297"/>
      <c r="O150" s="297"/>
      <c r="P150" s="297"/>
      <c r="Q150" s="297"/>
      <c r="R150" s="297"/>
      <c r="S150" s="297"/>
      <c r="T150" s="260"/>
      <c r="U150" s="260"/>
      <c r="V150" s="260"/>
      <c r="W150" s="260"/>
      <c r="X150" s="260"/>
      <c r="Y150" s="260"/>
      <c r="Z150" s="260"/>
      <c r="AA150" s="260"/>
      <c r="AE150" s="332" t="s">
        <v>577</v>
      </c>
      <c r="AF150" s="328" t="s">
        <v>171</v>
      </c>
      <c r="AG150" s="328">
        <v>12502</v>
      </c>
      <c r="AH150" s="328" t="s">
        <v>91</v>
      </c>
      <c r="AI150" s="328" t="s">
        <v>352</v>
      </c>
      <c r="AJ150" s="328" t="s">
        <v>986</v>
      </c>
    </row>
    <row r="151" spans="1:36" ht="15" thickBot="1" x14ac:dyDescent="0.35">
      <c r="A151" s="261" t="s">
        <v>172</v>
      </c>
      <c r="B151" s="261" t="s">
        <v>171</v>
      </c>
      <c r="C151" s="20">
        <v>14.4</v>
      </c>
      <c r="D151" s="20">
        <v>7.3407838952231907</v>
      </c>
      <c r="E151" s="20" t="s">
        <v>28</v>
      </c>
      <c r="F151" s="261" t="s">
        <v>21</v>
      </c>
      <c r="G151" s="64" t="s">
        <v>28</v>
      </c>
      <c r="H151" s="261" t="s">
        <v>1070</v>
      </c>
      <c r="I151" s="261" t="s">
        <v>352</v>
      </c>
      <c r="K151" s="309">
        <f t="shared" si="4"/>
        <v>105.70728809121395</v>
      </c>
      <c r="L151" s="309" t="str">
        <f t="shared" si="5"/>
        <v/>
      </c>
      <c r="M151" s="297"/>
      <c r="N151" s="297"/>
      <c r="O151" s="297"/>
      <c r="P151" s="297"/>
      <c r="Q151" s="297"/>
      <c r="R151" s="297"/>
      <c r="S151" s="297"/>
      <c r="T151" s="260"/>
      <c r="U151" s="260"/>
      <c r="V151" s="260"/>
      <c r="W151" s="260"/>
      <c r="X151" s="260"/>
      <c r="Y151" s="260"/>
      <c r="Z151" s="260"/>
      <c r="AA151" s="260"/>
      <c r="AE151" s="403" t="s">
        <v>172</v>
      </c>
      <c r="AF151" s="418" t="s">
        <v>171</v>
      </c>
      <c r="AG151" s="418">
        <v>14400</v>
      </c>
      <c r="AH151" s="418" t="s">
        <v>21</v>
      </c>
      <c r="AI151" s="418" t="s">
        <v>352</v>
      </c>
      <c r="AJ151" s="418" t="s">
        <v>990</v>
      </c>
    </row>
    <row r="152" spans="1:36" ht="15" thickBot="1" x14ac:dyDescent="0.35">
      <c r="A152" s="261" t="s">
        <v>1059</v>
      </c>
      <c r="B152" s="261" t="s">
        <v>171</v>
      </c>
      <c r="C152" s="20">
        <v>19.88</v>
      </c>
      <c r="D152" s="20">
        <v>5.6126717911163233</v>
      </c>
      <c r="E152" s="20" t="s">
        <v>28</v>
      </c>
      <c r="F152" s="261" t="s">
        <v>203</v>
      </c>
      <c r="G152" s="64" t="s">
        <v>28</v>
      </c>
      <c r="H152" s="261" t="s">
        <v>342</v>
      </c>
      <c r="I152" s="261" t="s">
        <v>352</v>
      </c>
      <c r="K152" s="309">
        <f t="shared" si="4"/>
        <v>111.5799152073925</v>
      </c>
      <c r="L152" s="309" t="str">
        <f t="shared" si="5"/>
        <v/>
      </c>
      <c r="M152" s="297"/>
      <c r="N152" s="297"/>
      <c r="O152" s="297"/>
      <c r="P152" s="297"/>
      <c r="Q152" s="297"/>
      <c r="R152" s="297"/>
      <c r="S152" s="297"/>
      <c r="T152" s="260"/>
      <c r="U152" s="260"/>
      <c r="V152" s="260"/>
      <c r="W152" s="260"/>
      <c r="X152" s="260"/>
      <c r="Y152" s="260"/>
      <c r="Z152" s="260"/>
      <c r="AA152" s="260"/>
      <c r="AE152" s="332" t="s">
        <v>1059</v>
      </c>
      <c r="AF152" s="328" t="s">
        <v>171</v>
      </c>
      <c r="AG152" s="328">
        <v>19880</v>
      </c>
      <c r="AH152" s="328" t="s">
        <v>28</v>
      </c>
      <c r="AI152" s="328" t="s">
        <v>352</v>
      </c>
      <c r="AJ152" s="328" t="s">
        <v>990</v>
      </c>
    </row>
    <row r="153" spans="1:36" ht="15" thickBot="1" x14ac:dyDescent="0.35">
      <c r="A153" s="261" t="s">
        <v>482</v>
      </c>
      <c r="B153" s="261" t="s">
        <v>171</v>
      </c>
      <c r="C153" s="20">
        <v>20</v>
      </c>
      <c r="D153" s="20">
        <v>7.4444444444444446</v>
      </c>
      <c r="E153" s="20">
        <v>4.2666666666666666</v>
      </c>
      <c r="F153" s="261" t="s">
        <v>91</v>
      </c>
      <c r="G153" s="64">
        <v>0.14000000000000001</v>
      </c>
      <c r="H153" s="261" t="s">
        <v>1069</v>
      </c>
      <c r="I153" s="261" t="s">
        <v>352</v>
      </c>
      <c r="K153" s="309">
        <f t="shared" si="4"/>
        <v>148.88888888888889</v>
      </c>
      <c r="L153" s="309">
        <f t="shared" si="5"/>
        <v>85.333333333333329</v>
      </c>
      <c r="M153" s="297"/>
      <c r="N153" s="297"/>
      <c r="O153" s="297"/>
      <c r="P153" s="297"/>
      <c r="Q153" s="297"/>
      <c r="R153" s="297"/>
      <c r="S153" s="297"/>
      <c r="T153" s="260"/>
      <c r="U153" s="260"/>
      <c r="V153" s="260"/>
      <c r="W153" s="260"/>
      <c r="X153" s="260"/>
      <c r="Y153" s="260"/>
      <c r="Z153" s="260"/>
      <c r="AA153" s="260"/>
      <c r="AE153" s="403" t="s">
        <v>482</v>
      </c>
      <c r="AF153" s="418" t="s">
        <v>171</v>
      </c>
      <c r="AG153" s="418">
        <v>20000</v>
      </c>
      <c r="AH153" s="418" t="s">
        <v>91</v>
      </c>
      <c r="AI153" s="418" t="s">
        <v>352</v>
      </c>
      <c r="AJ153" s="418" t="s">
        <v>986</v>
      </c>
    </row>
    <row r="154" spans="1:36" ht="15" thickBot="1" x14ac:dyDescent="0.35">
      <c r="A154" s="261" t="s">
        <v>1060</v>
      </c>
      <c r="B154" s="261" t="s">
        <v>160</v>
      </c>
      <c r="C154" s="20">
        <v>1.1404799999999999</v>
      </c>
      <c r="D154" s="20">
        <v>9.1539999999999999</v>
      </c>
      <c r="E154" s="20">
        <v>6.91</v>
      </c>
      <c r="F154" s="261" t="s">
        <v>21</v>
      </c>
      <c r="G154" s="64">
        <v>0.13900000000000001</v>
      </c>
      <c r="H154" s="261" t="s">
        <v>1069</v>
      </c>
      <c r="I154" s="261" t="s">
        <v>252</v>
      </c>
      <c r="K154" s="309">
        <f t="shared" si="4"/>
        <v>10.439953919999999</v>
      </c>
      <c r="L154" s="309">
        <f t="shared" si="5"/>
        <v>7.8807168000000001</v>
      </c>
      <c r="M154" s="297"/>
      <c r="N154" s="297"/>
      <c r="O154" s="297"/>
      <c r="P154" s="297"/>
      <c r="Q154" s="297"/>
      <c r="R154" s="297"/>
      <c r="S154" s="297"/>
      <c r="T154" s="260"/>
      <c r="U154" s="260"/>
      <c r="V154" s="260"/>
      <c r="W154" s="260"/>
      <c r="X154" s="260"/>
      <c r="Y154" s="260"/>
      <c r="Z154" s="260"/>
      <c r="AA154" s="260"/>
      <c r="AE154" s="332" t="s">
        <v>1060</v>
      </c>
      <c r="AF154" s="328" t="s">
        <v>160</v>
      </c>
      <c r="AG154" s="328">
        <v>1140.48</v>
      </c>
      <c r="AH154" s="328" t="s">
        <v>21</v>
      </c>
      <c r="AI154" s="328" t="s">
        <v>252</v>
      </c>
      <c r="AJ154" s="328" t="s">
        <v>986</v>
      </c>
    </row>
    <row r="155" spans="1:36" ht="15" thickBot="1" x14ac:dyDescent="0.35">
      <c r="A155" s="261" t="s">
        <v>1061</v>
      </c>
      <c r="B155" s="261" t="s">
        <v>160</v>
      </c>
      <c r="C155" s="20">
        <v>1.159</v>
      </c>
      <c r="D155" s="20">
        <v>9.6272575675058238</v>
      </c>
      <c r="E155" s="20">
        <v>9.1205598007949913</v>
      </c>
      <c r="F155" s="261" t="s">
        <v>139</v>
      </c>
      <c r="G155" s="64">
        <v>0.14000000000000001</v>
      </c>
      <c r="H155" s="261" t="s">
        <v>1069</v>
      </c>
      <c r="I155" s="261" t="s">
        <v>352</v>
      </c>
      <c r="K155" s="309">
        <f t="shared" si="4"/>
        <v>11.15799152073925</v>
      </c>
      <c r="L155" s="309">
        <f t="shared" si="5"/>
        <v>10.570728809121395</v>
      </c>
      <c r="M155" s="297"/>
      <c r="N155" s="297"/>
      <c r="O155" s="297"/>
      <c r="P155" s="297"/>
      <c r="Q155" s="297"/>
      <c r="R155" s="297"/>
      <c r="S155" s="297"/>
      <c r="T155" s="260"/>
      <c r="U155" s="260"/>
      <c r="V155" s="260"/>
      <c r="W155" s="260"/>
      <c r="X155" s="260"/>
      <c r="Y155" s="260"/>
      <c r="Z155" s="260"/>
      <c r="AA155" s="260"/>
      <c r="AE155" s="403" t="s">
        <v>1061</v>
      </c>
      <c r="AF155" s="418" t="s">
        <v>160</v>
      </c>
      <c r="AG155" s="418">
        <v>1159</v>
      </c>
      <c r="AH155" s="418" t="s">
        <v>139</v>
      </c>
      <c r="AI155" s="418" t="s">
        <v>352</v>
      </c>
      <c r="AJ155" s="418" t="s">
        <v>986</v>
      </c>
    </row>
    <row r="156" spans="1:36" ht="15" thickBot="1" x14ac:dyDescent="0.35">
      <c r="A156" s="261" t="s">
        <v>495</v>
      </c>
      <c r="B156" s="261" t="s">
        <v>160</v>
      </c>
      <c r="C156" s="20">
        <v>1.174525</v>
      </c>
      <c r="D156" s="20">
        <v>17</v>
      </c>
      <c r="E156" s="20">
        <v>10.7</v>
      </c>
      <c r="F156" s="261" t="s">
        <v>732</v>
      </c>
      <c r="G156" s="64">
        <v>0.25</v>
      </c>
      <c r="H156" s="261" t="s">
        <v>1069</v>
      </c>
      <c r="I156" s="261" t="s">
        <v>352</v>
      </c>
      <c r="K156" s="309">
        <f t="shared" si="4"/>
        <v>19.966925</v>
      </c>
      <c r="L156" s="309">
        <f t="shared" si="5"/>
        <v>12.567417499999999</v>
      </c>
      <c r="M156" s="297"/>
      <c r="N156" s="297"/>
      <c r="O156" s="297"/>
      <c r="P156" s="297"/>
      <c r="Q156" s="297"/>
      <c r="R156" s="297"/>
      <c r="S156" s="297"/>
      <c r="T156" s="260"/>
      <c r="U156" s="260"/>
      <c r="V156" s="260"/>
      <c r="W156" s="260"/>
      <c r="X156" s="260"/>
      <c r="Y156" s="260"/>
      <c r="Z156" s="260"/>
      <c r="AA156" s="260"/>
      <c r="AE156" s="332" t="s">
        <v>495</v>
      </c>
      <c r="AF156" s="328" t="s">
        <v>160</v>
      </c>
      <c r="AG156" s="328">
        <v>1174.5250000000001</v>
      </c>
      <c r="AH156" s="328" t="s">
        <v>139</v>
      </c>
      <c r="AI156" s="328" t="s">
        <v>352</v>
      </c>
      <c r="AJ156" s="328" t="s">
        <v>990</v>
      </c>
    </row>
    <row r="157" spans="1:36" ht="15" thickBot="1" x14ac:dyDescent="0.35">
      <c r="A157" s="261" t="s">
        <v>383</v>
      </c>
      <c r="B157" s="261" t="s">
        <v>160</v>
      </c>
      <c r="C157" s="20">
        <v>2</v>
      </c>
      <c r="D157" s="20">
        <v>10.864360164930321</v>
      </c>
      <c r="E157" s="20">
        <v>6.3835456752860864</v>
      </c>
      <c r="F157" s="261" t="s">
        <v>91</v>
      </c>
      <c r="G157" s="64">
        <v>0.107</v>
      </c>
      <c r="H157" s="261" t="s">
        <v>1069</v>
      </c>
      <c r="I157" s="261" t="s">
        <v>352</v>
      </c>
      <c r="K157" s="309">
        <f t="shared" si="4"/>
        <v>21.728720329860643</v>
      </c>
      <c r="L157" s="309">
        <f t="shared" si="5"/>
        <v>12.767091350572173</v>
      </c>
      <c r="M157" s="297"/>
      <c r="N157" s="297"/>
      <c r="O157" s="297"/>
      <c r="P157" s="297"/>
      <c r="Q157" s="297"/>
      <c r="R157" s="297"/>
      <c r="S157" s="297"/>
      <c r="T157" s="260"/>
      <c r="U157" s="260"/>
      <c r="V157" s="260"/>
      <c r="W157" s="260"/>
      <c r="X157" s="260"/>
      <c r="Y157" s="260"/>
      <c r="Z157" s="260"/>
      <c r="AA157" s="260"/>
      <c r="AE157" s="403" t="s">
        <v>383</v>
      </c>
      <c r="AF157" s="418" t="s">
        <v>160</v>
      </c>
      <c r="AG157" s="418">
        <v>2000</v>
      </c>
      <c r="AH157" s="418" t="s">
        <v>91</v>
      </c>
      <c r="AI157" s="418" t="s">
        <v>352</v>
      </c>
      <c r="AJ157" s="418" t="s">
        <v>986</v>
      </c>
    </row>
    <row r="158" spans="1:36" ht="15" thickBot="1" x14ac:dyDescent="0.35">
      <c r="A158" s="261" t="s">
        <v>1062</v>
      </c>
      <c r="B158" s="261" t="s">
        <v>160</v>
      </c>
      <c r="C158" s="20">
        <v>5</v>
      </c>
      <c r="D158" s="20">
        <v>11.745254232357105</v>
      </c>
      <c r="E158" s="20">
        <v>8.0055652847746028</v>
      </c>
      <c r="F158" s="261" t="s">
        <v>91</v>
      </c>
      <c r="G158" s="64">
        <v>0.107</v>
      </c>
      <c r="H158" s="261" t="s">
        <v>1069</v>
      </c>
      <c r="I158" s="261" t="s">
        <v>352</v>
      </c>
      <c r="K158" s="309">
        <f t="shared" si="4"/>
        <v>58.726271161785526</v>
      </c>
      <c r="L158" s="309">
        <f t="shared" si="5"/>
        <v>40.027826423873016</v>
      </c>
      <c r="M158" s="297"/>
      <c r="N158" s="297"/>
      <c r="O158" s="297"/>
      <c r="P158" s="297"/>
      <c r="Q158" s="297"/>
      <c r="R158" s="297"/>
      <c r="S158" s="297"/>
      <c r="T158" s="260"/>
      <c r="U158" s="260"/>
      <c r="V158" s="260"/>
      <c r="W158" s="260"/>
      <c r="X158" s="260"/>
      <c r="Y158" s="260"/>
      <c r="Z158" s="260"/>
      <c r="AA158" s="260"/>
      <c r="AE158" s="332" t="s">
        <v>1062</v>
      </c>
      <c r="AF158" s="328" t="s">
        <v>160</v>
      </c>
      <c r="AG158" s="328">
        <v>5000</v>
      </c>
      <c r="AH158" s="328" t="s">
        <v>91</v>
      </c>
      <c r="AI158" s="328" t="s">
        <v>352</v>
      </c>
      <c r="AJ158" s="328" t="s">
        <v>986</v>
      </c>
    </row>
    <row r="159" spans="1:36" ht="15" thickBot="1" x14ac:dyDescent="0.35">
      <c r="A159" s="261" t="s">
        <v>386</v>
      </c>
      <c r="B159" s="261" t="s">
        <v>160</v>
      </c>
      <c r="C159" s="20">
        <v>5</v>
      </c>
      <c r="D159" s="20">
        <v>11.745254232357105</v>
      </c>
      <c r="E159" s="20" t="s">
        <v>28</v>
      </c>
      <c r="F159" s="261" t="s">
        <v>91</v>
      </c>
      <c r="G159" s="64">
        <v>0.107</v>
      </c>
      <c r="H159" s="261" t="s">
        <v>1069</v>
      </c>
      <c r="I159" s="261" t="s">
        <v>352</v>
      </c>
      <c r="K159" s="309">
        <f t="shared" si="4"/>
        <v>58.726271161785526</v>
      </c>
      <c r="L159" s="309" t="str">
        <f t="shared" si="5"/>
        <v/>
      </c>
      <c r="M159" s="297"/>
      <c r="N159" s="297"/>
      <c r="O159" s="297"/>
      <c r="P159" s="297"/>
      <c r="Q159" s="297"/>
      <c r="R159" s="297"/>
      <c r="S159" s="297"/>
      <c r="T159" s="260"/>
      <c r="U159" s="260"/>
      <c r="V159" s="260"/>
      <c r="W159" s="260"/>
      <c r="X159" s="260"/>
      <c r="Y159" s="260"/>
      <c r="Z159" s="260"/>
      <c r="AA159" s="260"/>
      <c r="AE159" s="403" t="s">
        <v>386</v>
      </c>
      <c r="AF159" s="418" t="s">
        <v>160</v>
      </c>
      <c r="AG159" s="418">
        <v>5000</v>
      </c>
      <c r="AH159" s="418" t="s">
        <v>91</v>
      </c>
      <c r="AI159" s="418" t="s">
        <v>352</v>
      </c>
      <c r="AJ159" s="418" t="s">
        <v>990</v>
      </c>
    </row>
    <row r="160" spans="1:36" ht="15" thickBot="1" x14ac:dyDescent="0.35">
      <c r="A160" s="261" t="s">
        <v>447</v>
      </c>
      <c r="B160" s="261" t="s">
        <v>160</v>
      </c>
      <c r="C160" s="20">
        <v>6.468</v>
      </c>
      <c r="D160" s="20">
        <v>7.7380952380952381</v>
      </c>
      <c r="E160" s="20">
        <v>6.0079365079365079</v>
      </c>
      <c r="F160" s="261" t="s">
        <v>732</v>
      </c>
      <c r="G160" s="64">
        <v>0.28999999999999998</v>
      </c>
      <c r="H160" s="261" t="s">
        <v>1069</v>
      </c>
      <c r="I160" s="261" t="s">
        <v>252</v>
      </c>
      <c r="K160" s="309">
        <f t="shared" si="4"/>
        <v>50.05</v>
      </c>
      <c r="L160" s="309">
        <f t="shared" si="5"/>
        <v>38.859333333333332</v>
      </c>
      <c r="M160" s="297"/>
      <c r="N160" s="297"/>
      <c r="O160" s="297"/>
      <c r="P160" s="297"/>
      <c r="Q160" s="297"/>
      <c r="R160" s="297"/>
      <c r="S160" s="297"/>
      <c r="T160" s="260"/>
      <c r="U160" s="260"/>
      <c r="V160" s="260"/>
      <c r="W160" s="260"/>
      <c r="X160" s="260"/>
      <c r="Y160" s="260"/>
      <c r="Z160" s="260"/>
      <c r="AA160" s="260"/>
      <c r="AE160" s="332" t="s">
        <v>447</v>
      </c>
      <c r="AF160" s="328" t="s">
        <v>160</v>
      </c>
      <c r="AG160" s="328">
        <v>6468</v>
      </c>
      <c r="AH160" s="328" t="s">
        <v>139</v>
      </c>
      <c r="AI160" s="328" t="s">
        <v>252</v>
      </c>
      <c r="AJ160" s="328" t="s">
        <v>990</v>
      </c>
    </row>
    <row r="161" spans="1:36" ht="15" thickBot="1" x14ac:dyDescent="0.35">
      <c r="A161" s="261" t="s">
        <v>1063</v>
      </c>
      <c r="B161" s="261" t="s">
        <v>160</v>
      </c>
      <c r="C161" s="20">
        <v>10.7</v>
      </c>
      <c r="D161" s="20">
        <v>10.976873114352433</v>
      </c>
      <c r="E161" s="20">
        <v>8.0789786121633913</v>
      </c>
      <c r="F161" s="261" t="s">
        <v>21</v>
      </c>
      <c r="G161" s="64" t="s">
        <v>28</v>
      </c>
      <c r="H161" s="261" t="s">
        <v>1069</v>
      </c>
      <c r="I161" s="261" t="s">
        <v>352</v>
      </c>
      <c r="K161" s="309">
        <f t="shared" si="4"/>
        <v>117.45254232357102</v>
      </c>
      <c r="L161" s="309">
        <f t="shared" si="5"/>
        <v>86.44507115014828</v>
      </c>
      <c r="M161" s="297"/>
      <c r="N161" s="297"/>
      <c r="O161" s="297"/>
      <c r="P161" s="297"/>
      <c r="Q161" s="297"/>
      <c r="R161" s="297"/>
      <c r="S161" s="297"/>
      <c r="T161" s="260"/>
      <c r="U161" s="260"/>
      <c r="V161" s="260"/>
      <c r="W161" s="260"/>
      <c r="X161" s="260"/>
      <c r="Y161" s="260"/>
      <c r="Z161" s="260"/>
      <c r="AA161" s="260"/>
      <c r="AE161" s="403" t="s">
        <v>1063</v>
      </c>
      <c r="AF161" s="418" t="s">
        <v>160</v>
      </c>
      <c r="AG161" s="418">
        <v>10700</v>
      </c>
      <c r="AH161" s="418" t="s">
        <v>21</v>
      </c>
      <c r="AI161" s="418" t="s">
        <v>352</v>
      </c>
      <c r="AJ161" s="418" t="s">
        <v>986</v>
      </c>
    </row>
    <row r="162" spans="1:36" ht="15" thickBot="1" x14ac:dyDescent="0.35">
      <c r="A162" s="261" t="s">
        <v>1064</v>
      </c>
      <c r="B162" s="261" t="s">
        <v>160</v>
      </c>
      <c r="C162" s="20">
        <v>10.8</v>
      </c>
      <c r="D162" s="20">
        <v>9.3211642616234034</v>
      </c>
      <c r="E162" s="20">
        <v>8.3630560228542734</v>
      </c>
      <c r="F162" s="261" t="s">
        <v>21</v>
      </c>
      <c r="G162" s="64" t="s">
        <v>28</v>
      </c>
      <c r="H162" s="261" t="s">
        <v>1069</v>
      </c>
      <c r="I162" s="261" t="s">
        <v>352</v>
      </c>
      <c r="K162" s="309">
        <f t="shared" si="4"/>
        <v>100.66857402553276</v>
      </c>
      <c r="L162" s="309">
        <f t="shared" si="5"/>
        <v>90.321005046826158</v>
      </c>
      <c r="M162" s="297"/>
      <c r="N162" s="297"/>
      <c r="O162" s="297"/>
      <c r="P162" s="297"/>
      <c r="Q162" s="297"/>
      <c r="R162" s="297"/>
      <c r="S162" s="297"/>
      <c r="T162" s="260"/>
      <c r="U162" s="260"/>
      <c r="V162" s="260"/>
      <c r="W162" s="260"/>
      <c r="X162" s="260"/>
      <c r="Y162" s="260"/>
      <c r="Z162" s="260"/>
      <c r="AA162" s="260"/>
      <c r="AE162" s="332" t="s">
        <v>1064</v>
      </c>
      <c r="AF162" s="328" t="s">
        <v>160</v>
      </c>
      <c r="AG162" s="328">
        <v>10800</v>
      </c>
      <c r="AH162" s="328" t="s">
        <v>21</v>
      </c>
      <c r="AI162" s="328" t="s">
        <v>352</v>
      </c>
      <c r="AJ162" s="328" t="s">
        <v>986</v>
      </c>
    </row>
    <row r="163" spans="1:36" ht="15" thickBot="1" x14ac:dyDescent="0.35">
      <c r="A163" s="261" t="s">
        <v>161</v>
      </c>
      <c r="B163" s="261" t="s">
        <v>160</v>
      </c>
      <c r="C163" s="20">
        <v>22</v>
      </c>
      <c r="D163" s="20">
        <v>8.5420030780778937</v>
      </c>
      <c r="E163" s="20" t="s">
        <v>28</v>
      </c>
      <c r="F163" s="261" t="s">
        <v>91</v>
      </c>
      <c r="G163" s="64" t="s">
        <v>28</v>
      </c>
      <c r="H163" s="261" t="s">
        <v>342</v>
      </c>
      <c r="I163" s="261" t="s">
        <v>352</v>
      </c>
      <c r="K163" s="309">
        <f t="shared" si="4"/>
        <v>187.92406771771365</v>
      </c>
      <c r="L163" s="309" t="str">
        <f t="shared" si="5"/>
        <v/>
      </c>
      <c r="M163" s="297"/>
      <c r="N163" s="297"/>
      <c r="O163" s="297"/>
      <c r="P163" s="297"/>
      <c r="Q163" s="297"/>
      <c r="R163" s="297"/>
      <c r="S163" s="297"/>
      <c r="T163" s="260"/>
      <c r="U163" s="260"/>
      <c r="V163" s="260"/>
      <c r="W163" s="260"/>
      <c r="X163" s="260"/>
      <c r="Y163" s="260"/>
      <c r="Z163" s="260"/>
      <c r="AA163" s="260"/>
      <c r="AE163" s="403" t="s">
        <v>161</v>
      </c>
      <c r="AF163" s="418" t="s">
        <v>160</v>
      </c>
      <c r="AG163" s="418">
        <v>22000</v>
      </c>
      <c r="AH163" s="418" t="s">
        <v>91</v>
      </c>
      <c r="AI163" s="418" t="s">
        <v>352</v>
      </c>
      <c r="AJ163" s="418" t="s">
        <v>990</v>
      </c>
    </row>
    <row r="164" spans="1:36" ht="15" thickBot="1" x14ac:dyDescent="0.35">
      <c r="A164" s="261" t="s">
        <v>522</v>
      </c>
      <c r="B164" s="261" t="s">
        <v>160</v>
      </c>
      <c r="C164" s="20">
        <v>23.490509999999997</v>
      </c>
      <c r="D164" s="20">
        <v>10.5</v>
      </c>
      <c r="E164" s="20">
        <v>8.4649999999999999</v>
      </c>
      <c r="F164" s="261" t="s">
        <v>21</v>
      </c>
      <c r="G164" s="64">
        <v>0.107</v>
      </c>
      <c r="H164" s="261" t="s">
        <v>1069</v>
      </c>
      <c r="I164" s="261" t="s">
        <v>252</v>
      </c>
      <c r="K164" s="309">
        <f t="shared" si="4"/>
        <v>246.65035499999996</v>
      </c>
      <c r="L164" s="309">
        <f t="shared" si="5"/>
        <v>198.84716714999996</v>
      </c>
      <c r="M164" s="297"/>
      <c r="N164" s="297"/>
      <c r="O164" s="297"/>
      <c r="P164" s="297"/>
      <c r="Q164" s="297"/>
      <c r="R164" s="297"/>
      <c r="S164" s="297"/>
      <c r="T164" s="260"/>
      <c r="U164" s="260"/>
      <c r="V164" s="260"/>
      <c r="W164" s="260"/>
      <c r="X164" s="260"/>
      <c r="Y164" s="260"/>
      <c r="Z164" s="260"/>
      <c r="AA164" s="260"/>
      <c r="AE164" s="332" t="s">
        <v>522</v>
      </c>
      <c r="AF164" s="328" t="s">
        <v>160</v>
      </c>
      <c r="AG164" s="328">
        <v>23490.51</v>
      </c>
      <c r="AH164" s="328" t="s">
        <v>21</v>
      </c>
      <c r="AI164" s="328" t="s">
        <v>252</v>
      </c>
      <c r="AJ164" s="328" t="s">
        <v>986</v>
      </c>
    </row>
    <row r="165" spans="1:36" ht="15" thickBot="1" x14ac:dyDescent="0.35">
      <c r="A165" s="261" t="s">
        <v>204</v>
      </c>
      <c r="B165" s="261" t="s">
        <v>160</v>
      </c>
      <c r="C165" s="20">
        <v>35.235759999999999</v>
      </c>
      <c r="D165" s="20">
        <v>8.3333333333333339</v>
      </c>
      <c r="E165" s="20">
        <v>7.4</v>
      </c>
      <c r="F165" s="261" t="s">
        <v>91</v>
      </c>
      <c r="G165" s="64">
        <v>0.1</v>
      </c>
      <c r="H165" s="261" t="s">
        <v>1069</v>
      </c>
      <c r="I165" s="261" t="s">
        <v>252</v>
      </c>
      <c r="K165" s="309">
        <f t="shared" si="4"/>
        <v>293.63133333333337</v>
      </c>
      <c r="L165" s="309">
        <f t="shared" si="5"/>
        <v>260.74462399999999</v>
      </c>
      <c r="M165" s="297"/>
      <c r="N165" s="297"/>
      <c r="O165" s="297"/>
      <c r="P165" s="297"/>
      <c r="Q165" s="297"/>
      <c r="R165" s="297"/>
      <c r="S165" s="297"/>
      <c r="T165" s="260"/>
      <c r="U165" s="260"/>
      <c r="V165" s="260"/>
      <c r="W165" s="260"/>
      <c r="X165" s="260"/>
      <c r="Y165" s="260"/>
      <c r="Z165" s="260"/>
      <c r="AA165" s="260"/>
      <c r="AE165" s="403" t="s">
        <v>204</v>
      </c>
      <c r="AF165" s="418" t="s">
        <v>160</v>
      </c>
      <c r="AG165" s="418">
        <v>35235.760000000002</v>
      </c>
      <c r="AH165" s="418" t="s">
        <v>91</v>
      </c>
      <c r="AI165" s="418" t="s">
        <v>252</v>
      </c>
      <c r="AJ165" s="418" t="s">
        <v>986</v>
      </c>
    </row>
    <row r="166" spans="1:36" ht="15" thickBot="1" x14ac:dyDescent="0.35">
      <c r="A166" s="261" t="s">
        <v>715</v>
      </c>
      <c r="B166" s="261" t="s">
        <v>160</v>
      </c>
      <c r="C166" s="20">
        <v>50</v>
      </c>
      <c r="D166" s="20">
        <v>3.7584813543542737</v>
      </c>
      <c r="E166" s="20" t="s">
        <v>28</v>
      </c>
      <c r="F166" s="261" t="s">
        <v>203</v>
      </c>
      <c r="G166" s="64" t="s">
        <v>28</v>
      </c>
      <c r="H166" s="261" t="s">
        <v>1070</v>
      </c>
      <c r="I166" s="261" t="s">
        <v>352</v>
      </c>
      <c r="K166" s="309">
        <f t="shared" si="4"/>
        <v>187.92406771771368</v>
      </c>
      <c r="L166" s="309" t="str">
        <f t="shared" si="5"/>
        <v/>
      </c>
      <c r="M166" s="297"/>
      <c r="N166" s="297"/>
      <c r="O166" s="297"/>
      <c r="P166" s="297"/>
      <c r="Q166" s="297"/>
      <c r="R166" s="297"/>
      <c r="S166" s="297"/>
      <c r="T166" s="260"/>
      <c r="U166" s="260"/>
      <c r="V166" s="260"/>
      <c r="W166" s="260"/>
      <c r="X166" s="260"/>
      <c r="Y166" s="260"/>
      <c r="Z166" s="260"/>
      <c r="AA166" s="260"/>
      <c r="AE166" s="332" t="s">
        <v>715</v>
      </c>
      <c r="AF166" s="328" t="s">
        <v>160</v>
      </c>
      <c r="AG166" s="328">
        <v>50000</v>
      </c>
      <c r="AH166" s="328" t="s">
        <v>28</v>
      </c>
      <c r="AI166" s="328" t="s">
        <v>352</v>
      </c>
      <c r="AJ166" s="328" t="s">
        <v>990</v>
      </c>
    </row>
    <row r="167" spans="1:36" ht="15" thickBot="1" x14ac:dyDescent="0.35">
      <c r="A167" s="261" t="s">
        <v>201</v>
      </c>
      <c r="B167" s="261" t="s">
        <v>160</v>
      </c>
      <c r="C167" s="20">
        <v>300</v>
      </c>
      <c r="D167" s="20">
        <v>9.7877118602975877</v>
      </c>
      <c r="E167" s="20" t="s">
        <v>28</v>
      </c>
      <c r="F167" s="261" t="s">
        <v>203</v>
      </c>
      <c r="G167" s="64" t="s">
        <v>28</v>
      </c>
      <c r="H167" s="261" t="s">
        <v>1070</v>
      </c>
      <c r="I167" s="261" t="s">
        <v>352</v>
      </c>
      <c r="K167" s="309">
        <f t="shared" si="4"/>
        <v>2936.3135580892763</v>
      </c>
      <c r="L167" s="309" t="str">
        <f t="shared" si="5"/>
        <v/>
      </c>
      <c r="M167" s="297"/>
      <c r="N167" s="297"/>
      <c r="O167" s="297"/>
      <c r="P167" s="297"/>
      <c r="Q167" s="297"/>
      <c r="R167" s="297"/>
      <c r="S167" s="297"/>
      <c r="T167" s="260"/>
      <c r="U167" s="260"/>
      <c r="V167" s="260"/>
      <c r="W167" s="260"/>
      <c r="X167" s="260"/>
      <c r="Y167" s="260"/>
      <c r="Z167" s="260"/>
      <c r="AA167" s="260"/>
      <c r="AE167" s="403" t="s">
        <v>201</v>
      </c>
      <c r="AF167" s="418" t="s">
        <v>160</v>
      </c>
      <c r="AG167" s="418">
        <v>300000</v>
      </c>
      <c r="AH167" s="418" t="s">
        <v>28</v>
      </c>
      <c r="AI167" s="418" t="s">
        <v>352</v>
      </c>
      <c r="AJ167" s="418" t="s">
        <v>990</v>
      </c>
    </row>
    <row r="168" spans="1:36" ht="15" thickBot="1" x14ac:dyDescent="0.35">
      <c r="A168" s="261" t="s">
        <v>384</v>
      </c>
      <c r="B168" s="261" t="s">
        <v>107</v>
      </c>
      <c r="C168" s="20">
        <v>5</v>
      </c>
      <c r="D168" s="20">
        <v>11.745254232357105</v>
      </c>
      <c r="E168" s="20" t="s">
        <v>28</v>
      </c>
      <c r="F168" s="261" t="s">
        <v>203</v>
      </c>
      <c r="G168" s="64">
        <v>0.107</v>
      </c>
      <c r="H168" s="261" t="s">
        <v>1069</v>
      </c>
      <c r="I168" s="261" t="s">
        <v>352</v>
      </c>
      <c r="K168" s="309">
        <f t="shared" si="4"/>
        <v>58.726271161785526</v>
      </c>
      <c r="L168" s="309" t="str">
        <f t="shared" si="5"/>
        <v/>
      </c>
      <c r="M168" s="297"/>
      <c r="N168" s="297"/>
      <c r="O168" s="297"/>
      <c r="P168" s="297"/>
      <c r="Q168" s="297"/>
      <c r="R168" s="297"/>
      <c r="S168" s="297"/>
      <c r="T168" s="260"/>
      <c r="U168" s="260"/>
      <c r="V168" s="260"/>
      <c r="W168" s="260"/>
      <c r="X168" s="260"/>
      <c r="Y168" s="260"/>
      <c r="Z168" s="260"/>
      <c r="AA168" s="260"/>
      <c r="AE168" s="332" t="s">
        <v>384</v>
      </c>
      <c r="AF168" s="328" t="s">
        <v>107</v>
      </c>
      <c r="AG168" s="328">
        <v>5000</v>
      </c>
      <c r="AH168" s="328" t="s">
        <v>28</v>
      </c>
      <c r="AI168" s="328" t="s">
        <v>352</v>
      </c>
      <c r="AJ168" s="328" t="s">
        <v>990</v>
      </c>
    </row>
    <row r="169" spans="1:36" ht="15" thickBot="1" x14ac:dyDescent="0.35">
      <c r="A169" s="261" t="s">
        <v>185</v>
      </c>
      <c r="B169" s="261" t="s">
        <v>107</v>
      </c>
      <c r="C169" s="20">
        <v>12</v>
      </c>
      <c r="D169" s="20">
        <v>8</v>
      </c>
      <c r="E169" s="20">
        <v>7</v>
      </c>
      <c r="F169" s="261" t="s">
        <v>91</v>
      </c>
      <c r="G169" s="64">
        <v>0.107</v>
      </c>
      <c r="H169" s="261" t="s">
        <v>1069</v>
      </c>
      <c r="I169" s="261" t="s">
        <v>252</v>
      </c>
      <c r="K169" s="309">
        <f t="shared" si="4"/>
        <v>96</v>
      </c>
      <c r="L169" s="309">
        <f t="shared" si="5"/>
        <v>84</v>
      </c>
      <c r="M169" s="297"/>
      <c r="N169" s="297"/>
      <c r="O169" s="297"/>
      <c r="P169" s="297"/>
      <c r="Q169" s="297"/>
      <c r="R169" s="297"/>
      <c r="S169" s="297"/>
      <c r="T169" s="260"/>
      <c r="U169" s="260"/>
      <c r="V169" s="260"/>
      <c r="W169" s="260"/>
      <c r="X169" s="260"/>
      <c r="Y169" s="260"/>
      <c r="Z169" s="260"/>
      <c r="AA169" s="260"/>
      <c r="AE169" s="403" t="s">
        <v>185</v>
      </c>
      <c r="AF169" s="418" t="s">
        <v>107</v>
      </c>
      <c r="AG169" s="418">
        <v>12000</v>
      </c>
      <c r="AH169" s="418" t="s">
        <v>91</v>
      </c>
      <c r="AI169" s="418" t="s">
        <v>252</v>
      </c>
      <c r="AJ169" s="418" t="s">
        <v>986</v>
      </c>
    </row>
    <row r="170" spans="1:36" ht="15" thickBot="1" x14ac:dyDescent="0.35">
      <c r="A170" s="261" t="s">
        <v>1065</v>
      </c>
      <c r="B170" s="261" t="s">
        <v>107</v>
      </c>
      <c r="C170" s="20">
        <v>18</v>
      </c>
      <c r="D170" s="20">
        <v>10.37037037037037</v>
      </c>
      <c r="E170" s="20">
        <v>8.2222222222222214</v>
      </c>
      <c r="F170" s="261" t="s">
        <v>21</v>
      </c>
      <c r="G170" s="64" t="s">
        <v>28</v>
      </c>
      <c r="H170" s="261" t="s">
        <v>1069</v>
      </c>
      <c r="I170" s="261" t="s">
        <v>641</v>
      </c>
      <c r="K170" s="309">
        <f t="shared" si="4"/>
        <v>186.66666666666666</v>
      </c>
      <c r="L170" s="309">
        <f t="shared" si="5"/>
        <v>148</v>
      </c>
      <c r="M170" s="297"/>
      <c r="N170" s="297"/>
      <c r="O170" s="297"/>
      <c r="P170" s="297"/>
      <c r="Q170" s="297"/>
      <c r="R170" s="297"/>
      <c r="S170" s="297"/>
      <c r="T170" s="260"/>
      <c r="U170" s="260"/>
      <c r="V170" s="260"/>
      <c r="W170" s="260"/>
      <c r="X170" s="260"/>
      <c r="Y170" s="260"/>
      <c r="Z170" s="260"/>
      <c r="AA170" s="260"/>
      <c r="AE170" s="332" t="s">
        <v>1065</v>
      </c>
      <c r="AF170" s="328" t="s">
        <v>107</v>
      </c>
      <c r="AG170" s="328">
        <v>18000</v>
      </c>
      <c r="AH170" s="328" t="s">
        <v>21</v>
      </c>
      <c r="AI170" s="328" t="s">
        <v>641</v>
      </c>
      <c r="AJ170" s="328" t="s">
        <v>990</v>
      </c>
    </row>
    <row r="171" spans="1:36" ht="15" thickBot="1" x14ac:dyDescent="0.35">
      <c r="A171" s="261" t="s">
        <v>654</v>
      </c>
      <c r="B171" s="261" t="s">
        <v>107</v>
      </c>
      <c r="C171" s="20">
        <v>20</v>
      </c>
      <c r="D171" s="20">
        <v>12.114285714285714</v>
      </c>
      <c r="E171" s="20" t="s">
        <v>28</v>
      </c>
      <c r="F171" s="261" t="s">
        <v>21</v>
      </c>
      <c r="G171" s="64" t="s">
        <v>28</v>
      </c>
      <c r="H171" s="261" t="s">
        <v>1069</v>
      </c>
      <c r="I171" s="261" t="s">
        <v>352</v>
      </c>
      <c r="K171" s="309">
        <f t="shared" si="4"/>
        <v>242.28571428571428</v>
      </c>
      <c r="L171" s="309" t="str">
        <f t="shared" si="5"/>
        <v/>
      </c>
      <c r="M171" s="297"/>
      <c r="N171" s="297"/>
      <c r="O171" s="297"/>
      <c r="P171" s="297"/>
      <c r="Q171" s="297"/>
      <c r="R171" s="297"/>
      <c r="S171" s="297"/>
      <c r="T171" s="260"/>
      <c r="U171" s="260"/>
      <c r="V171" s="260"/>
      <c r="W171" s="260"/>
      <c r="X171" s="260"/>
      <c r="Y171" s="260"/>
      <c r="Z171" s="260"/>
      <c r="AA171" s="260"/>
      <c r="AE171" s="403" t="s">
        <v>654</v>
      </c>
      <c r="AF171" s="418" t="s">
        <v>107</v>
      </c>
      <c r="AG171" s="418">
        <v>20000</v>
      </c>
      <c r="AH171" s="418" t="s">
        <v>21</v>
      </c>
      <c r="AI171" s="418" t="s">
        <v>352</v>
      </c>
      <c r="AJ171" s="418" t="s">
        <v>990</v>
      </c>
    </row>
    <row r="172" spans="1:36" ht="15" thickBot="1" x14ac:dyDescent="0.35">
      <c r="A172" s="261" t="s">
        <v>207</v>
      </c>
      <c r="B172" s="261" t="s">
        <v>107</v>
      </c>
      <c r="C172" s="20">
        <v>20.591999999999999</v>
      </c>
      <c r="D172" s="20">
        <v>10.266830622689778</v>
      </c>
      <c r="E172" s="20" t="s">
        <v>28</v>
      </c>
      <c r="F172" s="261" t="s">
        <v>91</v>
      </c>
      <c r="G172" s="64">
        <v>0.1</v>
      </c>
      <c r="H172" s="261" t="s">
        <v>342</v>
      </c>
      <c r="I172" s="261" t="s">
        <v>641</v>
      </c>
      <c r="K172" s="309">
        <f t="shared" si="4"/>
        <v>211.41457618242788</v>
      </c>
      <c r="L172" s="309" t="str">
        <f t="shared" si="5"/>
        <v/>
      </c>
      <c r="M172" s="297"/>
      <c r="N172" s="297"/>
      <c r="O172" s="297"/>
      <c r="P172" s="297"/>
      <c r="Q172" s="297"/>
      <c r="R172" s="297"/>
      <c r="S172" s="297"/>
      <c r="T172" s="260"/>
      <c r="U172" s="260"/>
      <c r="V172" s="260"/>
      <c r="W172" s="260"/>
      <c r="X172" s="260"/>
      <c r="Y172" s="260"/>
      <c r="Z172" s="260"/>
      <c r="AA172" s="260"/>
      <c r="AE172" s="332" t="s">
        <v>207</v>
      </c>
      <c r="AF172" s="328" t="s">
        <v>107</v>
      </c>
      <c r="AG172" s="328">
        <v>20592</v>
      </c>
      <c r="AH172" s="328" t="s">
        <v>91</v>
      </c>
      <c r="AI172" s="328" t="s">
        <v>641</v>
      </c>
      <c r="AJ172" s="328" t="s">
        <v>990</v>
      </c>
    </row>
    <row r="173" spans="1:36" ht="15" thickBot="1" x14ac:dyDescent="0.35">
      <c r="A173" s="261" t="s">
        <v>696</v>
      </c>
      <c r="B173" s="261" t="s">
        <v>107</v>
      </c>
      <c r="C173" s="20">
        <v>24.9</v>
      </c>
      <c r="D173" s="20">
        <v>7.5121951219512191</v>
      </c>
      <c r="E173" s="20" t="s">
        <v>28</v>
      </c>
      <c r="F173" s="261" t="s">
        <v>203</v>
      </c>
      <c r="G173" s="64" t="s">
        <v>28</v>
      </c>
      <c r="H173" s="261" t="s">
        <v>1070</v>
      </c>
      <c r="I173" s="261" t="s">
        <v>352</v>
      </c>
      <c r="K173" s="309">
        <f t="shared" si="4"/>
        <v>187.05365853658535</v>
      </c>
      <c r="L173" s="309" t="str">
        <f t="shared" si="5"/>
        <v/>
      </c>
      <c r="M173" s="297"/>
      <c r="N173" s="297"/>
      <c r="O173" s="297"/>
      <c r="P173" s="297"/>
      <c r="Q173" s="297"/>
      <c r="R173" s="297"/>
      <c r="S173" s="297"/>
      <c r="T173" s="260"/>
      <c r="U173" s="260"/>
      <c r="V173" s="260"/>
      <c r="W173" s="260"/>
      <c r="X173" s="260"/>
      <c r="Y173" s="260"/>
      <c r="Z173" s="260"/>
      <c r="AA173" s="260"/>
      <c r="AE173" s="403" t="s">
        <v>696</v>
      </c>
      <c r="AF173" s="418" t="s">
        <v>107</v>
      </c>
      <c r="AG173" s="418">
        <v>24900</v>
      </c>
      <c r="AH173" s="418" t="s">
        <v>28</v>
      </c>
      <c r="AI173" s="418" t="s">
        <v>352</v>
      </c>
      <c r="AJ173" s="418" t="s">
        <v>990</v>
      </c>
    </row>
    <row r="174" spans="1:36" ht="15" thickBot="1" x14ac:dyDescent="0.35">
      <c r="A174" s="261" t="s">
        <v>368</v>
      </c>
      <c r="B174" s="261" t="s">
        <v>107</v>
      </c>
      <c r="C174" s="20">
        <v>65.099999999999994</v>
      </c>
      <c r="D174" s="20">
        <v>11.904761904761905</v>
      </c>
      <c r="E174" s="20" t="s">
        <v>28</v>
      </c>
      <c r="F174" s="261" t="s">
        <v>91</v>
      </c>
      <c r="G174" s="64">
        <v>0.1</v>
      </c>
      <c r="H174" s="261" t="s">
        <v>342</v>
      </c>
      <c r="I174" s="261" t="s">
        <v>641</v>
      </c>
      <c r="K174" s="309">
        <f t="shared" si="4"/>
        <v>775</v>
      </c>
      <c r="L174" s="309" t="str">
        <f t="shared" si="5"/>
        <v/>
      </c>
      <c r="M174" s="297"/>
      <c r="N174" s="297"/>
      <c r="O174" s="297"/>
      <c r="P174" s="297"/>
      <c r="Q174" s="297"/>
      <c r="R174" s="297"/>
      <c r="S174" s="297"/>
      <c r="T174" s="260"/>
      <c r="U174" s="260"/>
      <c r="V174" s="111"/>
      <c r="W174" s="260"/>
      <c r="X174" s="260"/>
      <c r="Y174" s="260"/>
      <c r="Z174" s="260"/>
      <c r="AA174" s="260"/>
      <c r="AE174" s="332" t="s">
        <v>368</v>
      </c>
      <c r="AF174" s="328" t="s">
        <v>107</v>
      </c>
      <c r="AG174" s="328">
        <v>65100</v>
      </c>
      <c r="AH174" s="328" t="s">
        <v>91</v>
      </c>
      <c r="AI174" s="328" t="s">
        <v>641</v>
      </c>
      <c r="AJ174" s="328" t="s">
        <v>990</v>
      </c>
    </row>
    <row r="175" spans="1:36" ht="15" thickBot="1" x14ac:dyDescent="0.35">
      <c r="A175" s="261" t="s">
        <v>108</v>
      </c>
      <c r="B175" s="261" t="s">
        <v>107</v>
      </c>
      <c r="C175" s="20">
        <v>176.1788</v>
      </c>
      <c r="D175" s="20">
        <v>7.4</v>
      </c>
      <c r="E175" s="20" t="s">
        <v>28</v>
      </c>
      <c r="F175" s="261" t="s">
        <v>21</v>
      </c>
      <c r="G175" s="64">
        <v>0.1</v>
      </c>
      <c r="H175" s="261" t="s">
        <v>342</v>
      </c>
      <c r="I175" s="261" t="s">
        <v>252</v>
      </c>
      <c r="K175" s="309">
        <f t="shared" si="4"/>
        <v>1303.7231200000001</v>
      </c>
      <c r="L175" s="309" t="str">
        <f t="shared" si="5"/>
        <v/>
      </c>
      <c r="M175" s="297"/>
      <c r="N175" s="297"/>
      <c r="O175" s="297"/>
      <c r="P175" s="297"/>
      <c r="Q175" s="297"/>
      <c r="R175" s="297"/>
      <c r="S175" s="297"/>
      <c r="T175" s="260"/>
      <c r="U175" s="260"/>
      <c r="V175" s="260"/>
      <c r="W175" s="260"/>
      <c r="X175" s="260"/>
      <c r="Y175" s="260"/>
      <c r="Z175" s="260"/>
      <c r="AA175" s="260"/>
      <c r="AE175" s="403" t="s">
        <v>108</v>
      </c>
      <c r="AF175" s="418" t="s">
        <v>107</v>
      </c>
      <c r="AG175" s="418">
        <v>176178.8</v>
      </c>
      <c r="AH175" s="418" t="s">
        <v>21</v>
      </c>
      <c r="AI175" s="418" t="s">
        <v>252</v>
      </c>
      <c r="AJ175" s="418" t="s">
        <v>990</v>
      </c>
    </row>
    <row r="176" spans="1:36" ht="15" thickBot="1" x14ac:dyDescent="0.35">
      <c r="A176" s="261" t="s">
        <v>369</v>
      </c>
      <c r="B176" s="261" t="s">
        <v>107</v>
      </c>
      <c r="C176" s="20">
        <v>350</v>
      </c>
      <c r="D176" s="20">
        <v>9.7317820782387443</v>
      </c>
      <c r="E176" s="20">
        <v>9.956619802115295</v>
      </c>
      <c r="F176" s="261" t="s">
        <v>21</v>
      </c>
      <c r="G176" s="64">
        <v>0.1</v>
      </c>
      <c r="H176" s="261" t="s">
        <v>1070</v>
      </c>
      <c r="I176" s="261" t="s">
        <v>641</v>
      </c>
      <c r="K176" s="309">
        <f t="shared" si="4"/>
        <v>3406.1237273835604</v>
      </c>
      <c r="L176" s="309">
        <f t="shared" si="5"/>
        <v>3484.8169307403532</v>
      </c>
      <c r="M176" s="297"/>
      <c r="N176" s="297"/>
      <c r="O176" s="297"/>
      <c r="P176" s="297"/>
      <c r="Q176" s="297"/>
      <c r="R176" s="297"/>
      <c r="S176" s="297"/>
      <c r="T176" s="260"/>
      <c r="U176" s="260"/>
      <c r="V176" s="260"/>
      <c r="W176" s="260"/>
      <c r="X176" s="260"/>
      <c r="Y176" s="260"/>
      <c r="Z176" s="260"/>
      <c r="AA176" s="260"/>
      <c r="AE176" s="332" t="s">
        <v>369</v>
      </c>
      <c r="AF176" s="328" t="s">
        <v>107</v>
      </c>
      <c r="AG176" s="328">
        <v>350000</v>
      </c>
      <c r="AH176" s="328" t="s">
        <v>21</v>
      </c>
      <c r="AI176" s="328" t="s">
        <v>641</v>
      </c>
      <c r="AJ176" s="328" t="s">
        <v>990</v>
      </c>
    </row>
    <row r="177" spans="1:36" ht="15" thickBot="1" x14ac:dyDescent="0.35">
      <c r="A177" s="261" t="s">
        <v>734</v>
      </c>
      <c r="B177" s="261" t="s">
        <v>107</v>
      </c>
      <c r="C177" s="20">
        <v>720</v>
      </c>
      <c r="D177" s="20">
        <v>8.8676669454296153</v>
      </c>
      <c r="E177" s="20" t="s">
        <v>28</v>
      </c>
      <c r="F177" s="261" t="s">
        <v>203</v>
      </c>
      <c r="G177" s="64" t="s">
        <v>28</v>
      </c>
      <c r="H177" s="261" t="s">
        <v>1070</v>
      </c>
      <c r="I177" s="261" t="s">
        <v>352</v>
      </c>
      <c r="K177" s="309">
        <f t="shared" si="4"/>
        <v>6384.7202007093229</v>
      </c>
      <c r="L177" s="309" t="str">
        <f t="shared" si="5"/>
        <v/>
      </c>
      <c r="M177" s="297"/>
      <c r="N177" s="297"/>
      <c r="O177" s="297"/>
      <c r="P177" s="297"/>
      <c r="Q177" s="297"/>
      <c r="R177" s="297"/>
      <c r="S177" s="297"/>
      <c r="T177" s="260"/>
      <c r="U177" s="260"/>
      <c r="V177" s="260"/>
      <c r="W177" s="260"/>
      <c r="X177" s="260"/>
      <c r="Y177" s="260"/>
      <c r="Z177" s="260"/>
      <c r="AA177" s="260"/>
      <c r="AE177" s="403" t="s">
        <v>734</v>
      </c>
      <c r="AF177" s="418" t="s">
        <v>107</v>
      </c>
      <c r="AG177" s="418">
        <v>720000</v>
      </c>
      <c r="AH177" s="418" t="s">
        <v>28</v>
      </c>
      <c r="AI177" s="418" t="s">
        <v>352</v>
      </c>
      <c r="AJ177" s="418" t="s">
        <v>990</v>
      </c>
    </row>
    <row r="178" spans="1:36" ht="15" thickBot="1" x14ac:dyDescent="0.35">
      <c r="A178" s="261" t="s">
        <v>333</v>
      </c>
      <c r="B178" s="261" t="s">
        <v>332</v>
      </c>
      <c r="C178" s="20">
        <v>37</v>
      </c>
      <c r="D178" s="20">
        <v>6.25</v>
      </c>
      <c r="E178" s="20">
        <v>6.09375</v>
      </c>
      <c r="F178" s="261" t="s">
        <v>91</v>
      </c>
      <c r="G178" s="64">
        <v>0.13200000000000001</v>
      </c>
      <c r="H178" s="261" t="s">
        <v>342</v>
      </c>
      <c r="I178" s="261" t="s">
        <v>252</v>
      </c>
      <c r="K178" s="309">
        <f t="shared" si="4"/>
        <v>231.25</v>
      </c>
      <c r="L178" s="309">
        <f t="shared" si="5"/>
        <v>225.46875</v>
      </c>
      <c r="M178" s="297"/>
      <c r="N178" s="297"/>
      <c r="O178" s="297"/>
      <c r="P178" s="297"/>
      <c r="Q178" s="297"/>
      <c r="R178" s="297"/>
      <c r="S178" s="297"/>
      <c r="T178" s="260"/>
      <c r="U178" s="260"/>
      <c r="V178" s="260"/>
      <c r="W178" s="260"/>
      <c r="X178" s="260"/>
      <c r="Y178" s="260"/>
      <c r="Z178" s="260"/>
      <c r="AA178" s="260"/>
      <c r="AE178" s="332" t="s">
        <v>333</v>
      </c>
      <c r="AF178" s="328" t="s">
        <v>332</v>
      </c>
      <c r="AG178" s="328">
        <v>37000</v>
      </c>
      <c r="AH178" s="328" t="s">
        <v>91</v>
      </c>
      <c r="AI178" s="328" t="s">
        <v>252</v>
      </c>
      <c r="AJ178" s="328" t="s">
        <v>990</v>
      </c>
    </row>
    <row r="179" spans="1:36" ht="15" thickBot="1" x14ac:dyDescent="0.35">
      <c r="A179" s="261" t="s">
        <v>1066</v>
      </c>
      <c r="B179" s="261" t="s">
        <v>196</v>
      </c>
      <c r="C179" s="20">
        <v>1.1000000000000001</v>
      </c>
      <c r="D179" s="20">
        <v>10.410566251407433</v>
      </c>
      <c r="E179" s="20">
        <v>7.6664477625749097</v>
      </c>
      <c r="F179" s="261" t="s">
        <v>91</v>
      </c>
      <c r="G179" s="64">
        <v>8.5000000000000006E-2</v>
      </c>
      <c r="H179" s="261" t="s">
        <v>1069</v>
      </c>
      <c r="I179" s="261" t="s">
        <v>252</v>
      </c>
      <c r="K179" s="309">
        <f t="shared" si="4"/>
        <v>11.451622876548177</v>
      </c>
      <c r="L179" s="309">
        <f t="shared" si="5"/>
        <v>8.4330925388324012</v>
      </c>
      <c r="M179" s="297"/>
      <c r="N179" s="297"/>
      <c r="O179" s="297"/>
      <c r="P179" s="297"/>
      <c r="Q179" s="297"/>
      <c r="R179" s="297"/>
      <c r="S179" s="297"/>
      <c r="T179" s="260"/>
      <c r="U179" s="260"/>
      <c r="V179" s="260"/>
      <c r="W179" s="260"/>
      <c r="X179" s="260"/>
      <c r="Y179" s="260"/>
      <c r="Z179" s="260"/>
      <c r="AA179" s="260"/>
      <c r="AE179" s="403" t="s">
        <v>1066</v>
      </c>
      <c r="AF179" s="418" t="s">
        <v>196</v>
      </c>
      <c r="AG179" s="418">
        <v>1100</v>
      </c>
      <c r="AH179" s="418" t="s">
        <v>91</v>
      </c>
      <c r="AI179" s="418" t="s">
        <v>252</v>
      </c>
      <c r="AJ179" s="418" t="s">
        <v>990</v>
      </c>
    </row>
    <row r="180" spans="1:36" ht="15" thickBot="1" x14ac:dyDescent="0.35">
      <c r="A180" s="261" t="s">
        <v>622</v>
      </c>
      <c r="B180" s="261" t="s">
        <v>196</v>
      </c>
      <c r="C180" s="20">
        <v>9.8000000000000007</v>
      </c>
      <c r="D180" s="20">
        <v>7.1909719789941446</v>
      </c>
      <c r="E180" s="20" t="s">
        <v>28</v>
      </c>
      <c r="F180" s="261" t="s">
        <v>21</v>
      </c>
      <c r="G180" s="64">
        <v>0.185</v>
      </c>
      <c r="H180" s="261" t="s">
        <v>342</v>
      </c>
      <c r="I180" s="261" t="s">
        <v>352</v>
      </c>
      <c r="K180" s="309">
        <f t="shared" si="4"/>
        <v>70.471525394142617</v>
      </c>
      <c r="L180" s="309" t="str">
        <f t="shared" si="5"/>
        <v/>
      </c>
      <c r="M180" s="297"/>
      <c r="N180" s="297"/>
      <c r="O180" s="297"/>
      <c r="P180" s="297"/>
      <c r="Q180" s="297"/>
      <c r="R180" s="297"/>
      <c r="S180" s="297"/>
      <c r="T180" s="260"/>
      <c r="U180" s="260"/>
      <c r="V180" s="260"/>
      <c r="W180" s="260"/>
      <c r="X180" s="260"/>
      <c r="Y180" s="260"/>
      <c r="Z180" s="260"/>
      <c r="AA180" s="260"/>
      <c r="AE180" s="332" t="s">
        <v>622</v>
      </c>
      <c r="AF180" s="328" t="s">
        <v>196</v>
      </c>
      <c r="AG180" s="328">
        <v>9800</v>
      </c>
      <c r="AH180" s="328" t="s">
        <v>21</v>
      </c>
      <c r="AI180" s="328" t="s">
        <v>352</v>
      </c>
      <c r="AJ180" s="328" t="s">
        <v>990</v>
      </c>
    </row>
    <row r="181" spans="1:36" ht="15" thickBot="1" x14ac:dyDescent="0.35">
      <c r="A181" s="261" t="s">
        <v>197</v>
      </c>
      <c r="B181" s="261" t="s">
        <v>196</v>
      </c>
      <c r="C181" s="20">
        <v>12.6</v>
      </c>
      <c r="D181" s="20">
        <v>7.7</v>
      </c>
      <c r="E181" s="20">
        <v>6.1909999999999998</v>
      </c>
      <c r="F181" s="261" t="s">
        <v>91</v>
      </c>
      <c r="G181" s="64">
        <v>0.107</v>
      </c>
      <c r="H181" s="261" t="s">
        <v>1069</v>
      </c>
      <c r="I181" s="261" t="s">
        <v>252</v>
      </c>
      <c r="K181" s="309">
        <f t="shared" si="4"/>
        <v>97.02</v>
      </c>
      <c r="L181" s="309">
        <f t="shared" si="5"/>
        <v>78.006599999999992</v>
      </c>
      <c r="M181" s="297"/>
      <c r="N181" s="297"/>
      <c r="O181" s="297"/>
      <c r="P181" s="297"/>
      <c r="Q181" s="297"/>
      <c r="R181" s="297"/>
      <c r="S181" s="297"/>
      <c r="T181" s="260"/>
      <c r="U181" s="260"/>
      <c r="V181" s="260"/>
      <c r="W181" s="260"/>
      <c r="X181" s="260"/>
      <c r="Y181" s="260"/>
      <c r="Z181" s="260"/>
      <c r="AA181" s="260"/>
      <c r="AE181" s="403" t="s">
        <v>197</v>
      </c>
      <c r="AF181" s="418" t="s">
        <v>196</v>
      </c>
      <c r="AG181" s="418">
        <v>12600</v>
      </c>
      <c r="AH181" s="418" t="s">
        <v>91</v>
      </c>
      <c r="AI181" s="418" t="s">
        <v>252</v>
      </c>
      <c r="AJ181" s="418" t="s">
        <v>986</v>
      </c>
    </row>
    <row r="182" spans="1:36" ht="15" thickBot="1" x14ac:dyDescent="0.35">
      <c r="A182" s="261" t="s">
        <v>712</v>
      </c>
      <c r="B182" s="261" t="s">
        <v>196</v>
      </c>
      <c r="C182" s="20">
        <v>58.608820000000001</v>
      </c>
      <c r="D182" s="20">
        <v>8.4689378757515037</v>
      </c>
      <c r="E182" s="20" t="s">
        <v>28</v>
      </c>
      <c r="F182" s="261" t="s">
        <v>203</v>
      </c>
      <c r="G182" s="64" t="s">
        <v>28</v>
      </c>
      <c r="H182" s="261" t="s">
        <v>1070</v>
      </c>
      <c r="I182" s="261" t="s">
        <v>641</v>
      </c>
      <c r="K182" s="309">
        <f t="shared" si="4"/>
        <v>496.35445555110226</v>
      </c>
      <c r="L182" s="309" t="str">
        <f t="shared" si="5"/>
        <v/>
      </c>
      <c r="M182" s="297"/>
      <c r="N182" s="297"/>
      <c r="O182" s="297"/>
      <c r="P182" s="297"/>
      <c r="Q182" s="297"/>
      <c r="R182" s="297"/>
      <c r="S182" s="297"/>
      <c r="T182" s="260"/>
      <c r="U182" s="260"/>
      <c r="V182" s="260"/>
      <c r="W182" s="260"/>
      <c r="X182" s="260"/>
      <c r="Y182" s="260"/>
      <c r="Z182" s="260"/>
      <c r="AA182" s="260"/>
      <c r="AE182" s="332" t="s">
        <v>712</v>
      </c>
      <c r="AF182" s="328" t="s">
        <v>196</v>
      </c>
      <c r="AG182" s="328">
        <v>58608.82</v>
      </c>
      <c r="AH182" s="328" t="s">
        <v>28</v>
      </c>
      <c r="AI182" s="328" t="s">
        <v>930</v>
      </c>
      <c r="AJ182" s="328" t="s">
        <v>990</v>
      </c>
    </row>
    <row r="183" spans="1:36" ht="15" thickBot="1" x14ac:dyDescent="0.35">
      <c r="A183" s="261" t="s">
        <v>1067</v>
      </c>
      <c r="B183" s="261" t="s">
        <v>557</v>
      </c>
      <c r="C183" s="20">
        <v>1.19</v>
      </c>
      <c r="D183" s="20">
        <v>9.2777638474081332</v>
      </c>
      <c r="E183" s="20" t="s">
        <v>28</v>
      </c>
      <c r="F183" s="261" t="s">
        <v>91</v>
      </c>
      <c r="G183" s="64">
        <v>9.9900000000000003E-2</v>
      </c>
      <c r="H183" s="261" t="s">
        <v>1069</v>
      </c>
      <c r="I183" s="261" t="s">
        <v>252</v>
      </c>
      <c r="K183" s="309">
        <f t="shared" si="4"/>
        <v>11.040538978415679</v>
      </c>
      <c r="L183" s="309" t="str">
        <f t="shared" si="5"/>
        <v/>
      </c>
      <c r="M183" s="297"/>
      <c r="N183" s="297"/>
      <c r="O183" s="297"/>
      <c r="P183" s="297"/>
      <c r="Q183" s="297"/>
      <c r="R183" s="297"/>
      <c r="S183" s="297"/>
      <c r="T183" s="260"/>
      <c r="U183" s="260"/>
      <c r="V183" s="260"/>
      <c r="W183" s="260"/>
      <c r="X183" s="260"/>
      <c r="Y183" s="260"/>
      <c r="Z183" s="260"/>
      <c r="AA183" s="260"/>
      <c r="AE183" s="403" t="s">
        <v>1067</v>
      </c>
      <c r="AF183" s="418" t="s">
        <v>557</v>
      </c>
      <c r="AG183" s="418">
        <v>1190</v>
      </c>
      <c r="AH183" s="418" t="s">
        <v>91</v>
      </c>
      <c r="AI183" s="418" t="s">
        <v>252</v>
      </c>
      <c r="AJ183" s="418" t="s">
        <v>990</v>
      </c>
    </row>
    <row r="184" spans="1:36" ht="15" thickBot="1" x14ac:dyDescent="0.35">
      <c r="A184" s="261" t="s">
        <v>556</v>
      </c>
      <c r="B184" s="261" t="s">
        <v>557</v>
      </c>
      <c r="C184" s="20">
        <v>1.66</v>
      </c>
      <c r="D184" s="20">
        <v>8.4197906846415407</v>
      </c>
      <c r="E184" s="20" t="s">
        <v>28</v>
      </c>
      <c r="F184" s="261" t="s">
        <v>91</v>
      </c>
      <c r="G184" s="64">
        <v>9.9900000000000003E-2</v>
      </c>
      <c r="H184" s="261" t="s">
        <v>1069</v>
      </c>
      <c r="I184" s="261" t="s">
        <v>252</v>
      </c>
      <c r="K184" s="309">
        <f t="shared" si="4"/>
        <v>13.976852536504957</v>
      </c>
      <c r="L184" s="309" t="str">
        <f t="shared" si="5"/>
        <v/>
      </c>
      <c r="M184" s="297"/>
      <c r="N184" s="297"/>
      <c r="O184" s="297"/>
      <c r="P184" s="297"/>
      <c r="Q184" s="297"/>
      <c r="R184" s="297"/>
      <c r="S184" s="297"/>
      <c r="T184" s="260"/>
      <c r="U184" s="260"/>
      <c r="V184" s="260"/>
      <c r="W184" s="260"/>
      <c r="X184" s="260"/>
      <c r="Y184" s="260"/>
      <c r="Z184" s="260"/>
      <c r="AA184" s="260"/>
      <c r="AE184" s="332" t="s">
        <v>556</v>
      </c>
      <c r="AF184" s="328" t="s">
        <v>557</v>
      </c>
      <c r="AG184" s="328">
        <v>1660</v>
      </c>
      <c r="AH184" s="328" t="s">
        <v>91</v>
      </c>
      <c r="AI184" s="328" t="s">
        <v>252</v>
      </c>
      <c r="AJ184" s="328" t="s">
        <v>990</v>
      </c>
    </row>
    <row r="185" spans="1:36" ht="15" thickBot="1" x14ac:dyDescent="0.35">
      <c r="A185" s="261" t="s">
        <v>169</v>
      </c>
      <c r="B185" s="261" t="s">
        <v>168</v>
      </c>
      <c r="C185" s="20">
        <v>3</v>
      </c>
      <c r="D185" s="20">
        <v>9.0829966063561614</v>
      </c>
      <c r="E185" s="20">
        <v>5.9509288110609333</v>
      </c>
      <c r="F185" s="261" t="s">
        <v>91</v>
      </c>
      <c r="G185" s="64" t="s">
        <v>28</v>
      </c>
      <c r="H185" s="261" t="s">
        <v>342</v>
      </c>
      <c r="I185" s="261" t="s">
        <v>352</v>
      </c>
      <c r="K185" s="309">
        <f t="shared" si="4"/>
        <v>27.248989819068484</v>
      </c>
      <c r="L185" s="309">
        <f t="shared" si="5"/>
        <v>17.8527864331828</v>
      </c>
      <c r="M185" s="297"/>
      <c r="N185" s="297"/>
      <c r="O185" s="297"/>
      <c r="P185" s="297"/>
      <c r="Q185" s="297"/>
      <c r="R185" s="297"/>
      <c r="S185" s="297"/>
      <c r="T185" s="260"/>
      <c r="U185" s="260"/>
      <c r="V185" s="260"/>
      <c r="W185" s="260"/>
      <c r="X185" s="260"/>
      <c r="Y185" s="260"/>
      <c r="Z185" s="260"/>
      <c r="AA185" s="260"/>
      <c r="AE185" s="403" t="s">
        <v>169</v>
      </c>
      <c r="AF185" s="418" t="s">
        <v>168</v>
      </c>
      <c r="AG185" s="418">
        <v>3000</v>
      </c>
      <c r="AH185" s="418" t="s">
        <v>91</v>
      </c>
      <c r="AI185" s="418" t="s">
        <v>352</v>
      </c>
      <c r="AJ185" s="418" t="s">
        <v>986</v>
      </c>
    </row>
    <row r="186" spans="1:36" ht="15" thickBot="1" x14ac:dyDescent="0.35">
      <c r="A186" s="261" t="s">
        <v>178</v>
      </c>
      <c r="B186" s="261" t="s">
        <v>168</v>
      </c>
      <c r="C186" s="20">
        <v>3</v>
      </c>
      <c r="D186" s="20">
        <v>6.4598898277964079</v>
      </c>
      <c r="E186" s="20">
        <v>4.3065932185309386</v>
      </c>
      <c r="F186" s="261" t="s">
        <v>91</v>
      </c>
      <c r="G186" s="64" t="s">
        <v>28</v>
      </c>
      <c r="H186" s="261" t="s">
        <v>1069</v>
      </c>
      <c r="I186" s="261" t="s">
        <v>252</v>
      </c>
      <c r="K186" s="309">
        <f t="shared" si="4"/>
        <v>19.379669483389222</v>
      </c>
      <c r="L186" s="309">
        <f t="shared" si="5"/>
        <v>12.919779655592816</v>
      </c>
      <c r="M186" s="297"/>
      <c r="N186" s="297"/>
      <c r="O186" s="297"/>
      <c r="P186" s="297"/>
      <c r="Q186" s="297"/>
      <c r="R186" s="297"/>
      <c r="S186" s="297"/>
      <c r="T186" s="260"/>
      <c r="U186" s="260"/>
      <c r="V186" s="260"/>
      <c r="W186" s="260"/>
      <c r="X186" s="260"/>
      <c r="Y186" s="260"/>
      <c r="Z186" s="260"/>
      <c r="AA186" s="260"/>
      <c r="AE186" s="332" t="s">
        <v>178</v>
      </c>
      <c r="AF186" s="328" t="s">
        <v>168</v>
      </c>
      <c r="AG186" s="328">
        <v>3000</v>
      </c>
      <c r="AH186" s="328" t="s">
        <v>91</v>
      </c>
      <c r="AI186" s="328" t="s">
        <v>252</v>
      </c>
      <c r="AJ186" s="328" t="s">
        <v>986</v>
      </c>
    </row>
    <row r="187" spans="1:36" ht="15" thickBot="1" x14ac:dyDescent="0.35">
      <c r="A187" s="261" t="s">
        <v>736</v>
      </c>
      <c r="B187" s="261" t="s">
        <v>168</v>
      </c>
      <c r="C187" s="20">
        <v>20</v>
      </c>
      <c r="D187" s="20">
        <v>5.8726271161785526</v>
      </c>
      <c r="E187" s="20">
        <v>4.9741151674032347</v>
      </c>
      <c r="F187" s="261" t="s">
        <v>91</v>
      </c>
      <c r="G187" s="64" t="s">
        <v>28</v>
      </c>
      <c r="H187" s="261" t="s">
        <v>1070</v>
      </c>
      <c r="I187" s="261" t="s">
        <v>252</v>
      </c>
      <c r="K187" s="309">
        <f t="shared" si="4"/>
        <v>117.45254232357105</v>
      </c>
      <c r="L187" s="309">
        <f t="shared" si="5"/>
        <v>99.48230334806469</v>
      </c>
      <c r="M187" s="297"/>
      <c r="N187" s="297"/>
      <c r="O187" s="297"/>
      <c r="P187" s="297"/>
      <c r="Q187" s="297"/>
      <c r="R187" s="297"/>
      <c r="S187" s="297"/>
      <c r="T187" s="260"/>
      <c r="U187" s="260"/>
      <c r="V187" s="260"/>
      <c r="W187" s="260"/>
      <c r="X187" s="260"/>
      <c r="Y187" s="260"/>
      <c r="Z187" s="260"/>
      <c r="AA187" s="260"/>
      <c r="AE187" s="403" t="s">
        <v>736</v>
      </c>
      <c r="AF187" s="418" t="s">
        <v>168</v>
      </c>
      <c r="AG187" s="418">
        <v>20000</v>
      </c>
      <c r="AH187" s="418" t="s">
        <v>91</v>
      </c>
      <c r="AI187" s="418" t="s">
        <v>252</v>
      </c>
      <c r="AJ187" s="418" t="s">
        <v>986</v>
      </c>
    </row>
    <row r="188" spans="1:36" ht="15" thickBot="1" x14ac:dyDescent="0.35">
      <c r="A188" s="261" t="s">
        <v>526</v>
      </c>
      <c r="B188" s="261" t="s">
        <v>527</v>
      </c>
      <c r="C188" s="20">
        <v>1</v>
      </c>
      <c r="D188" s="20">
        <v>10.638297872340425</v>
      </c>
      <c r="E188" s="20">
        <v>6.4893617021276597</v>
      </c>
      <c r="F188" s="261" t="s">
        <v>21</v>
      </c>
      <c r="G188" s="64">
        <v>0.19</v>
      </c>
      <c r="H188" s="261" t="s">
        <v>1069</v>
      </c>
      <c r="I188" s="261" t="s">
        <v>352</v>
      </c>
      <c r="K188" s="309">
        <f t="shared" si="4"/>
        <v>10.638297872340425</v>
      </c>
      <c r="L188" s="309">
        <f t="shared" si="5"/>
        <v>6.4893617021276597</v>
      </c>
      <c r="M188" s="297"/>
      <c r="N188" s="297"/>
      <c r="O188" s="297"/>
      <c r="P188" s="297"/>
      <c r="Q188" s="297"/>
      <c r="R188" s="297"/>
      <c r="S188" s="297"/>
      <c r="T188" s="260"/>
      <c r="U188" s="260"/>
      <c r="V188" s="260"/>
      <c r="W188" s="260"/>
      <c r="X188" s="260"/>
      <c r="Y188" s="260"/>
      <c r="Z188" s="260"/>
      <c r="AA188" s="260"/>
      <c r="AE188" s="332" t="s">
        <v>526</v>
      </c>
      <c r="AF188" s="328" t="s">
        <v>527</v>
      </c>
      <c r="AG188" s="328">
        <v>1000</v>
      </c>
      <c r="AH188" s="328" t="s">
        <v>21</v>
      </c>
      <c r="AI188" s="328" t="s">
        <v>352</v>
      </c>
      <c r="AJ188" s="328" t="s">
        <v>986</v>
      </c>
    </row>
    <row r="189" spans="1:36" ht="15" thickBot="1" x14ac:dyDescent="0.35">
      <c r="A189" s="261" t="s">
        <v>585</v>
      </c>
      <c r="B189" s="261" t="s">
        <v>584</v>
      </c>
      <c r="C189" s="20">
        <v>5</v>
      </c>
      <c r="D189" s="20">
        <v>5.8726271161785526</v>
      </c>
      <c r="E189" s="20">
        <v>5.3793264384195538</v>
      </c>
      <c r="F189" s="261" t="s">
        <v>91</v>
      </c>
      <c r="G189" s="64" t="s">
        <v>28</v>
      </c>
      <c r="H189" s="261" t="s">
        <v>342</v>
      </c>
      <c r="I189" s="261" t="s">
        <v>252</v>
      </c>
      <c r="K189" s="309">
        <f t="shared" si="4"/>
        <v>29.363135580892763</v>
      </c>
      <c r="L189" s="309">
        <f t="shared" si="5"/>
        <v>26.896632192097769</v>
      </c>
      <c r="M189" s="297"/>
      <c r="N189" s="297"/>
      <c r="O189" s="297"/>
      <c r="P189" s="297"/>
      <c r="Q189" s="297"/>
      <c r="R189" s="297"/>
      <c r="S189" s="297"/>
      <c r="T189" s="260"/>
      <c r="U189" s="260"/>
      <c r="V189" s="260"/>
      <c r="W189" s="260"/>
      <c r="X189" s="260"/>
      <c r="Y189" s="260"/>
      <c r="Z189" s="260"/>
      <c r="AA189" s="260"/>
      <c r="AE189" s="403" t="s">
        <v>585</v>
      </c>
      <c r="AF189" s="418" t="s">
        <v>584</v>
      </c>
      <c r="AG189" s="418">
        <v>5000</v>
      </c>
      <c r="AH189" s="418" t="s">
        <v>91</v>
      </c>
      <c r="AI189" s="418" t="s">
        <v>252</v>
      </c>
      <c r="AJ189" s="418" t="s">
        <v>990</v>
      </c>
    </row>
    <row r="190" spans="1:36" ht="15" thickBot="1" x14ac:dyDescent="0.35">
      <c r="A190" s="261" t="s">
        <v>191</v>
      </c>
      <c r="B190" s="261" t="s">
        <v>190</v>
      </c>
      <c r="C190" s="20">
        <v>16.100000000000001</v>
      </c>
      <c r="D190" s="20">
        <v>7.7142857142857144</v>
      </c>
      <c r="E190" s="20">
        <v>5.9428571428571431</v>
      </c>
      <c r="F190" s="261" t="s">
        <v>91</v>
      </c>
      <c r="G190" s="64" t="s">
        <v>28</v>
      </c>
      <c r="H190" s="261" t="s">
        <v>342</v>
      </c>
      <c r="I190" s="261" t="s">
        <v>252</v>
      </c>
      <c r="K190" s="309">
        <f t="shared" si="4"/>
        <v>124.20000000000002</v>
      </c>
      <c r="L190" s="309">
        <f t="shared" si="5"/>
        <v>95.68</v>
      </c>
      <c r="M190" s="297"/>
      <c r="N190" s="297"/>
      <c r="O190" s="297"/>
      <c r="P190" s="297"/>
      <c r="Q190" s="297"/>
      <c r="R190" s="297"/>
      <c r="S190" s="297"/>
      <c r="T190" s="260"/>
      <c r="U190" s="260"/>
      <c r="V190" s="260"/>
      <c r="W190" s="260"/>
      <c r="X190" s="260"/>
      <c r="Y190" s="260"/>
      <c r="Z190" s="260"/>
      <c r="AA190" s="260"/>
      <c r="AE190" s="332" t="s">
        <v>191</v>
      </c>
      <c r="AF190" s="328" t="s">
        <v>190</v>
      </c>
      <c r="AG190" s="328">
        <v>16100</v>
      </c>
      <c r="AH190" s="328" t="s">
        <v>91</v>
      </c>
      <c r="AI190" s="328" t="s">
        <v>252</v>
      </c>
      <c r="AJ190" s="328" t="s">
        <v>986</v>
      </c>
    </row>
    <row r="191" spans="1:36" ht="15" thickBot="1" x14ac:dyDescent="0.35">
      <c r="A191" s="261" t="s">
        <v>551</v>
      </c>
      <c r="B191" s="261" t="s">
        <v>190</v>
      </c>
      <c r="C191" s="20">
        <v>34.29</v>
      </c>
      <c r="D191" s="20">
        <v>12.666666666666666</v>
      </c>
      <c r="E191" s="20" t="s">
        <v>28</v>
      </c>
      <c r="F191" s="261" t="s">
        <v>203</v>
      </c>
      <c r="G191" s="64">
        <v>0.14699999999999999</v>
      </c>
      <c r="H191" s="261" t="s">
        <v>1069</v>
      </c>
      <c r="I191" s="261" t="s">
        <v>352</v>
      </c>
      <c r="K191" s="309">
        <f t="shared" si="4"/>
        <v>434.34</v>
      </c>
      <c r="L191" s="309" t="str">
        <f t="shared" si="5"/>
        <v/>
      </c>
      <c r="M191" s="297"/>
      <c r="N191" s="297"/>
      <c r="O191" s="297"/>
      <c r="P191" s="297"/>
      <c r="Q191" s="297"/>
      <c r="R191" s="297"/>
      <c r="S191" s="297"/>
      <c r="T191" s="260"/>
      <c r="U191" s="260"/>
      <c r="V191" s="260"/>
      <c r="W191" s="260"/>
      <c r="X191" s="260"/>
      <c r="Y191" s="260"/>
      <c r="Z191" s="260"/>
      <c r="AA191" s="260"/>
      <c r="AE191" s="403" t="s">
        <v>551</v>
      </c>
      <c r="AF191" s="418" t="s">
        <v>190</v>
      </c>
      <c r="AG191" s="418">
        <v>34290</v>
      </c>
      <c r="AH191" s="418" t="s">
        <v>28</v>
      </c>
      <c r="AI191" s="418" t="s">
        <v>352</v>
      </c>
      <c r="AJ191" s="418" t="s">
        <v>990</v>
      </c>
    </row>
    <row r="192" spans="1:36" ht="15" thickBot="1" x14ac:dyDescent="0.35">
      <c r="A192" s="261" t="s">
        <v>1068</v>
      </c>
      <c r="B192" s="261" t="s">
        <v>190</v>
      </c>
      <c r="C192" s="20">
        <v>60</v>
      </c>
      <c r="D192" s="20">
        <v>11.745254232357105</v>
      </c>
      <c r="E192" s="20" t="s">
        <v>28</v>
      </c>
      <c r="F192" s="261" t="s">
        <v>203</v>
      </c>
      <c r="G192" s="64" t="s">
        <v>28</v>
      </c>
      <c r="H192" s="261" t="s">
        <v>342</v>
      </c>
      <c r="I192" s="261" t="s">
        <v>352</v>
      </c>
      <c r="K192" s="309">
        <f t="shared" si="4"/>
        <v>704.71525394142634</v>
      </c>
      <c r="L192" s="309" t="str">
        <f t="shared" si="5"/>
        <v/>
      </c>
      <c r="M192" s="297"/>
      <c r="N192" s="297"/>
      <c r="O192" s="297"/>
      <c r="P192" s="297"/>
      <c r="Q192" s="297"/>
      <c r="R192" s="297"/>
      <c r="S192" s="297"/>
      <c r="T192" s="260"/>
      <c r="U192" s="260"/>
      <c r="V192" s="260"/>
      <c r="W192" s="260"/>
      <c r="X192" s="260"/>
      <c r="Y192" s="260"/>
      <c r="Z192" s="260"/>
      <c r="AA192" s="260"/>
      <c r="AE192" s="332" t="s">
        <v>1068</v>
      </c>
      <c r="AF192" s="328" t="s">
        <v>190</v>
      </c>
      <c r="AG192" s="328">
        <v>60000</v>
      </c>
      <c r="AH192" s="328" t="s">
        <v>28</v>
      </c>
      <c r="AI192" s="328" t="s">
        <v>352</v>
      </c>
      <c r="AJ192" s="328" t="s">
        <v>990</v>
      </c>
    </row>
    <row r="193" spans="1:36" ht="15" thickBot="1" x14ac:dyDescent="0.35">
      <c r="A193" s="261" t="s">
        <v>528</v>
      </c>
      <c r="B193" s="261" t="s">
        <v>529</v>
      </c>
      <c r="C193" s="20">
        <v>2.2000000000000002</v>
      </c>
      <c r="D193" s="20">
        <v>14.414630194256446</v>
      </c>
      <c r="E193" s="20">
        <v>11.745254232357103</v>
      </c>
      <c r="F193" s="261" t="s">
        <v>139</v>
      </c>
      <c r="G193" s="64" t="s">
        <v>28</v>
      </c>
      <c r="H193" s="261" t="s">
        <v>1069</v>
      </c>
      <c r="I193" s="261" t="s">
        <v>352</v>
      </c>
      <c r="K193" s="309">
        <f t="shared" si="4"/>
        <v>31.712186427364184</v>
      </c>
      <c r="L193" s="309">
        <f t="shared" si="5"/>
        <v>25.839559311185628</v>
      </c>
      <c r="M193" s="297"/>
      <c r="N193" s="297"/>
      <c r="O193" s="297"/>
      <c r="P193" s="297"/>
      <c r="Q193" s="297"/>
      <c r="R193" s="297"/>
      <c r="S193" s="297"/>
      <c r="T193" s="260"/>
      <c r="U193" s="260"/>
      <c r="V193" s="260"/>
      <c r="W193" s="260"/>
      <c r="X193" s="260"/>
      <c r="Y193" s="260"/>
      <c r="Z193" s="260"/>
      <c r="AA193" s="260"/>
      <c r="AE193" s="403" t="s">
        <v>528</v>
      </c>
      <c r="AF193" s="418" t="s">
        <v>529</v>
      </c>
      <c r="AG193" s="418">
        <v>2200</v>
      </c>
      <c r="AH193" s="418" t="s">
        <v>139</v>
      </c>
      <c r="AI193" s="418" t="s">
        <v>352</v>
      </c>
      <c r="AJ193" s="418" t="s">
        <v>986</v>
      </c>
    </row>
    <row r="194" spans="1:36" x14ac:dyDescent="0.3">
      <c r="A194" s="30"/>
      <c r="B194" s="263"/>
      <c r="C194" s="306"/>
      <c r="D194" s="264"/>
      <c r="E194" s="264"/>
      <c r="I194" s="30"/>
      <c r="J194" s="263"/>
      <c r="K194" s="263"/>
      <c r="L194" s="265"/>
      <c r="M194" s="263"/>
      <c r="N194" s="263"/>
      <c r="O194" s="1"/>
      <c r="V194" s="303"/>
      <c r="W194" s="303"/>
    </row>
    <row r="195" spans="1:36" x14ac:dyDescent="0.3">
      <c r="A195" s="48" t="s">
        <v>1</v>
      </c>
      <c r="B195" s="48" t="s">
        <v>0</v>
      </c>
      <c r="C195" s="48" t="s">
        <v>1071</v>
      </c>
      <c r="D195" s="48" t="s">
        <v>981</v>
      </c>
      <c r="E195" s="48" t="s">
        <v>982</v>
      </c>
      <c r="F195" s="48" t="s">
        <v>65</v>
      </c>
      <c r="G195" s="48" t="s">
        <v>17</v>
      </c>
      <c r="H195" s="48" t="s">
        <v>351</v>
      </c>
      <c r="M195" s="260" t="s">
        <v>1</v>
      </c>
      <c r="N195" s="260" t="s">
        <v>0</v>
      </c>
      <c r="O195" s="260" t="s">
        <v>983</v>
      </c>
      <c r="P195" t="s">
        <v>65</v>
      </c>
      <c r="Q195" s="12" t="s">
        <v>351</v>
      </c>
      <c r="R195" s="297" t="s">
        <v>984</v>
      </c>
      <c r="S195" s="297"/>
      <c r="U195" s="12" t="s">
        <v>1090</v>
      </c>
      <c r="V195" s="307" t="s">
        <v>1091</v>
      </c>
      <c r="Z195" s="260"/>
      <c r="AA195" s="260"/>
    </row>
    <row r="196" spans="1:36" x14ac:dyDescent="0.3">
      <c r="A196" s="261" t="s">
        <v>258</v>
      </c>
      <c r="B196" s="261" t="s">
        <v>35</v>
      </c>
      <c r="C196" s="195">
        <v>1.5</v>
      </c>
      <c r="D196" s="268">
        <v>10</v>
      </c>
      <c r="E196" s="268">
        <v>2.8200000000000003</v>
      </c>
      <c r="F196" s="195" t="s">
        <v>114</v>
      </c>
      <c r="G196" s="195" t="s">
        <v>964</v>
      </c>
      <c r="H196" s="195" t="s">
        <v>352</v>
      </c>
      <c r="J196" s="260">
        <v>1000</v>
      </c>
      <c r="K196" s="260" t="s">
        <v>261</v>
      </c>
      <c r="N196" s="98" t="s">
        <v>113</v>
      </c>
      <c r="O196" s="260">
        <v>1000</v>
      </c>
      <c r="P196" t="s">
        <v>113</v>
      </c>
      <c r="Q196" s="12"/>
      <c r="R196" s="297" t="s">
        <v>986</v>
      </c>
      <c r="S196" s="297">
        <f t="shared" ref="S196:S220" si="6">O196/1000</f>
        <v>1</v>
      </c>
      <c r="U196" s="310" t="str">
        <f>IFERROR(#REF!*#REF!,"")</f>
        <v/>
      </c>
      <c r="V196" s="310" t="str">
        <f>IFERROR(#REF!*#REF!,"")</f>
        <v/>
      </c>
      <c r="Z196" s="260"/>
      <c r="AA196" s="260"/>
    </row>
    <row r="197" spans="1:36" x14ac:dyDescent="0.3">
      <c r="A197" s="261" t="s">
        <v>838</v>
      </c>
      <c r="B197" s="261" t="s">
        <v>35</v>
      </c>
      <c r="C197" s="195">
        <v>100</v>
      </c>
      <c r="D197" s="268">
        <v>16.75</v>
      </c>
      <c r="E197" s="268" t="s">
        <v>28</v>
      </c>
      <c r="F197" s="195" t="s">
        <v>99</v>
      </c>
      <c r="G197" s="195" t="s">
        <v>1070</v>
      </c>
      <c r="H197" s="195" t="s">
        <v>252</v>
      </c>
      <c r="J197" s="260">
        <v>1500</v>
      </c>
      <c r="K197" s="260" t="s">
        <v>258</v>
      </c>
      <c r="N197" s="100" t="s">
        <v>114</v>
      </c>
      <c r="O197" s="260">
        <v>1500</v>
      </c>
      <c r="P197" t="s">
        <v>114</v>
      </c>
      <c r="Q197" s="12"/>
      <c r="R197" s="297" t="s">
        <v>986</v>
      </c>
      <c r="S197" s="297">
        <f t="shared" si="6"/>
        <v>1.5</v>
      </c>
      <c r="U197" s="310">
        <f t="shared" ref="U197:U220" si="7">IFERROR(D196*$C196,"")</f>
        <v>15</v>
      </c>
      <c r="V197" s="310">
        <f t="shared" ref="V197:V220" si="8">IFERROR(E196*$C196,"")</f>
        <v>4.2300000000000004</v>
      </c>
      <c r="Z197" s="260"/>
      <c r="AA197" s="260"/>
    </row>
    <row r="198" spans="1:36" x14ac:dyDescent="0.3">
      <c r="A198" s="261" t="s">
        <v>1072</v>
      </c>
      <c r="B198" s="261" t="s">
        <v>35</v>
      </c>
      <c r="C198" s="195">
        <v>150</v>
      </c>
      <c r="D198" s="268">
        <v>17.066666666666666</v>
      </c>
      <c r="E198" s="268" t="s">
        <v>28</v>
      </c>
      <c r="F198" s="195" t="s">
        <v>99</v>
      </c>
      <c r="G198" s="195" t="s">
        <v>1070</v>
      </c>
      <c r="H198" s="195" t="s">
        <v>252</v>
      </c>
      <c r="J198" s="260">
        <v>250000</v>
      </c>
      <c r="K198" s="260" t="s">
        <v>824</v>
      </c>
      <c r="N198" s="98" t="s">
        <v>99</v>
      </c>
      <c r="O198" s="260">
        <v>100000</v>
      </c>
      <c r="P198" t="s">
        <v>99</v>
      </c>
      <c r="Q198" s="12"/>
      <c r="R198" s="297" t="s">
        <v>990</v>
      </c>
      <c r="S198" s="297">
        <f t="shared" si="6"/>
        <v>100</v>
      </c>
      <c r="U198" s="310">
        <f t="shared" si="7"/>
        <v>1675</v>
      </c>
      <c r="V198" s="310" t="str">
        <f t="shared" si="8"/>
        <v/>
      </c>
      <c r="Z198" s="260"/>
      <c r="AA198" s="260"/>
    </row>
    <row r="199" spans="1:36" x14ac:dyDescent="0.3">
      <c r="A199" s="261" t="s">
        <v>264</v>
      </c>
      <c r="B199" s="261" t="s">
        <v>35</v>
      </c>
      <c r="C199" s="195">
        <v>280</v>
      </c>
      <c r="D199" s="268">
        <v>6.8571428571428568</v>
      </c>
      <c r="E199" s="268" t="s">
        <v>28</v>
      </c>
      <c r="F199" s="195" t="s">
        <v>262</v>
      </c>
      <c r="G199" s="195" t="s">
        <v>342</v>
      </c>
      <c r="H199" s="195" t="s">
        <v>352</v>
      </c>
      <c r="J199" s="260">
        <v>250000</v>
      </c>
      <c r="K199" s="260" t="s">
        <v>820</v>
      </c>
      <c r="N199" s="98" t="s">
        <v>99</v>
      </c>
      <c r="O199" s="260">
        <v>150000</v>
      </c>
      <c r="P199" t="s">
        <v>99</v>
      </c>
      <c r="Q199" s="12"/>
      <c r="R199" s="297" t="s">
        <v>990</v>
      </c>
      <c r="S199" s="297">
        <f t="shared" si="6"/>
        <v>150</v>
      </c>
      <c r="U199" s="310">
        <f t="shared" si="7"/>
        <v>2560</v>
      </c>
      <c r="V199" s="310" t="str">
        <f t="shared" si="8"/>
        <v/>
      </c>
      <c r="Z199" s="260"/>
      <c r="AA199" s="260"/>
    </row>
    <row r="200" spans="1:36" x14ac:dyDescent="0.3">
      <c r="A200" s="261" t="s">
        <v>266</v>
      </c>
      <c r="B200" s="261" t="s">
        <v>26</v>
      </c>
      <c r="C200" s="195">
        <v>5</v>
      </c>
      <c r="D200" s="268">
        <v>10</v>
      </c>
      <c r="E200" s="268">
        <v>4.3520000000000003</v>
      </c>
      <c r="F200" s="195" t="s">
        <v>99</v>
      </c>
      <c r="G200" s="195" t="s">
        <v>964</v>
      </c>
      <c r="H200" s="195" t="s">
        <v>252</v>
      </c>
      <c r="J200" s="260">
        <v>280000</v>
      </c>
      <c r="K200" s="260" t="s">
        <v>264</v>
      </c>
      <c r="N200" s="98" t="s">
        <v>262</v>
      </c>
      <c r="O200" s="260">
        <v>280000</v>
      </c>
      <c r="P200" t="s">
        <v>262</v>
      </c>
      <c r="Q200" s="12"/>
      <c r="R200" s="297" t="s">
        <v>990</v>
      </c>
      <c r="S200" s="297">
        <f t="shared" si="6"/>
        <v>280</v>
      </c>
      <c r="U200" s="310">
        <f t="shared" si="7"/>
        <v>1920</v>
      </c>
      <c r="V200" s="310" t="str">
        <f t="shared" si="8"/>
        <v/>
      </c>
      <c r="Z200" s="260"/>
      <c r="AA200" s="260"/>
    </row>
    <row r="201" spans="1:36" x14ac:dyDescent="0.3">
      <c r="A201" s="261" t="s">
        <v>354</v>
      </c>
      <c r="B201" s="261" t="s">
        <v>26</v>
      </c>
      <c r="C201" s="195">
        <v>7.5</v>
      </c>
      <c r="D201" s="268">
        <v>4.666666666666667</v>
      </c>
      <c r="E201" s="268">
        <v>1.9866666666666668</v>
      </c>
      <c r="F201" s="195" t="s">
        <v>355</v>
      </c>
      <c r="G201" s="195" t="s">
        <v>964</v>
      </c>
      <c r="H201" s="195" t="s">
        <v>252</v>
      </c>
      <c r="J201" s="260">
        <v>150000</v>
      </c>
      <c r="K201" s="260" t="s">
        <v>280</v>
      </c>
      <c r="N201" s="98" t="s">
        <v>99</v>
      </c>
      <c r="O201" s="260">
        <v>5000</v>
      </c>
      <c r="P201" t="s">
        <v>99</v>
      </c>
      <c r="Q201" s="12"/>
      <c r="R201" s="297" t="s">
        <v>986</v>
      </c>
      <c r="S201" s="297">
        <f t="shared" si="6"/>
        <v>5</v>
      </c>
      <c r="U201" s="310">
        <f t="shared" si="7"/>
        <v>50</v>
      </c>
      <c r="V201" s="310">
        <f t="shared" si="8"/>
        <v>21.76</v>
      </c>
      <c r="Z201" s="260"/>
      <c r="AA201" s="260"/>
    </row>
    <row r="202" spans="1:36" x14ac:dyDescent="0.3">
      <c r="A202" s="261" t="s">
        <v>98</v>
      </c>
      <c r="B202" s="261" t="s">
        <v>26</v>
      </c>
      <c r="C202" s="195">
        <v>10</v>
      </c>
      <c r="D202" s="268">
        <v>13.2</v>
      </c>
      <c r="E202" s="268">
        <v>11</v>
      </c>
      <c r="F202" s="195" t="s">
        <v>99</v>
      </c>
      <c r="G202" s="195" t="s">
        <v>100</v>
      </c>
      <c r="H202" s="195" t="s">
        <v>352</v>
      </c>
      <c r="J202" s="260">
        <v>7500</v>
      </c>
      <c r="K202" s="260" t="s">
        <v>354</v>
      </c>
      <c r="N202" s="304" t="s">
        <v>355</v>
      </c>
      <c r="O202" s="260">
        <v>7500</v>
      </c>
      <c r="P202" t="s">
        <v>355</v>
      </c>
      <c r="Q202" s="12"/>
      <c r="R202" s="297" t="s">
        <v>986</v>
      </c>
      <c r="S202" s="297">
        <f t="shared" si="6"/>
        <v>7.5</v>
      </c>
      <c r="U202" s="310">
        <f t="shared" si="7"/>
        <v>35</v>
      </c>
      <c r="V202" s="310">
        <f t="shared" si="8"/>
        <v>14.9</v>
      </c>
      <c r="Z202" s="260"/>
      <c r="AA202" s="260"/>
    </row>
    <row r="203" spans="1:36" x14ac:dyDescent="0.3">
      <c r="A203" s="261" t="s">
        <v>819</v>
      </c>
      <c r="B203" s="261" t="s">
        <v>26</v>
      </c>
      <c r="C203" s="195">
        <v>13</v>
      </c>
      <c r="D203" s="268">
        <v>6.615384615384615</v>
      </c>
      <c r="E203" s="268">
        <v>4.384615384615385</v>
      </c>
      <c r="F203" s="195" t="s">
        <v>99</v>
      </c>
      <c r="G203" s="195" t="s">
        <v>1070</v>
      </c>
      <c r="H203" s="195" t="s">
        <v>252</v>
      </c>
      <c r="J203" s="260">
        <v>10000</v>
      </c>
      <c r="K203" s="260" t="s">
        <v>98</v>
      </c>
      <c r="N203" s="98" t="s">
        <v>99</v>
      </c>
      <c r="O203" s="260">
        <v>10000</v>
      </c>
      <c r="P203" t="s">
        <v>99</v>
      </c>
      <c r="Q203" s="12"/>
      <c r="R203" s="297" t="s">
        <v>986</v>
      </c>
      <c r="S203" s="297">
        <f t="shared" si="6"/>
        <v>10</v>
      </c>
      <c r="U203" s="310">
        <f t="shared" si="7"/>
        <v>132</v>
      </c>
      <c r="V203" s="310">
        <f t="shared" si="8"/>
        <v>110</v>
      </c>
      <c r="Z203" s="260"/>
      <c r="AA203" s="260"/>
    </row>
    <row r="204" spans="1:36" x14ac:dyDescent="0.3">
      <c r="A204" s="261" t="s">
        <v>830</v>
      </c>
      <c r="B204" s="261" t="s">
        <v>26</v>
      </c>
      <c r="C204" s="195">
        <v>50</v>
      </c>
      <c r="D204" s="268">
        <v>5.3</v>
      </c>
      <c r="E204" s="268">
        <v>4.5999999999999996</v>
      </c>
      <c r="F204" s="195" t="s">
        <v>113</v>
      </c>
      <c r="G204" s="195" t="s">
        <v>831</v>
      </c>
      <c r="H204" s="195" t="s">
        <v>641</v>
      </c>
      <c r="J204" s="260">
        <v>250000</v>
      </c>
      <c r="K204" s="260" t="s">
        <v>823</v>
      </c>
      <c r="N204" s="98" t="s">
        <v>99</v>
      </c>
      <c r="O204" s="260">
        <v>13000</v>
      </c>
      <c r="P204" t="s">
        <v>99</v>
      </c>
      <c r="Q204" s="12"/>
      <c r="R204" s="297" t="s">
        <v>986</v>
      </c>
      <c r="S204" s="297">
        <f t="shared" si="6"/>
        <v>13</v>
      </c>
      <c r="U204" s="310">
        <f t="shared" si="7"/>
        <v>86</v>
      </c>
      <c r="V204" s="310">
        <f t="shared" si="8"/>
        <v>57.000000000000007</v>
      </c>
      <c r="Z204" s="260"/>
      <c r="AA204" s="260"/>
    </row>
    <row r="205" spans="1:36" x14ac:dyDescent="0.3">
      <c r="A205" s="261" t="s">
        <v>828</v>
      </c>
      <c r="B205" s="261" t="s">
        <v>26</v>
      </c>
      <c r="C205" s="195">
        <v>57</v>
      </c>
      <c r="D205" s="268">
        <v>6.6140350877192979</v>
      </c>
      <c r="E205" s="268">
        <v>4.3859649122807021</v>
      </c>
      <c r="F205" s="195" t="s">
        <v>113</v>
      </c>
      <c r="G205" s="195" t="s">
        <v>1070</v>
      </c>
      <c r="H205" s="195" t="s">
        <v>641</v>
      </c>
      <c r="J205" s="260">
        <v>50000</v>
      </c>
      <c r="K205" s="260" t="s">
        <v>830</v>
      </c>
      <c r="N205" s="305" t="s">
        <v>113</v>
      </c>
      <c r="O205" s="260">
        <v>50000</v>
      </c>
      <c r="P205" t="s">
        <v>113</v>
      </c>
      <c r="Q205" s="12"/>
      <c r="R205" s="297" t="s">
        <v>990</v>
      </c>
      <c r="S205" s="297">
        <f t="shared" si="6"/>
        <v>50</v>
      </c>
      <c r="U205" s="310">
        <f t="shared" si="7"/>
        <v>265</v>
      </c>
      <c r="V205" s="310">
        <f t="shared" si="8"/>
        <v>229.99999999999997</v>
      </c>
      <c r="Z205" s="260"/>
      <c r="AA205" s="260"/>
    </row>
    <row r="206" spans="1:36" x14ac:dyDescent="0.3">
      <c r="A206" s="261" t="s">
        <v>280</v>
      </c>
      <c r="B206" s="261" t="s">
        <v>26</v>
      </c>
      <c r="C206" s="195">
        <v>150</v>
      </c>
      <c r="D206" s="268">
        <v>17.066666666666666</v>
      </c>
      <c r="E206" s="268">
        <v>9.4</v>
      </c>
      <c r="F206" s="195" t="s">
        <v>99</v>
      </c>
      <c r="G206" s="195" t="s">
        <v>342</v>
      </c>
      <c r="H206" s="195" t="s">
        <v>641</v>
      </c>
      <c r="J206" s="260">
        <v>57000</v>
      </c>
      <c r="K206" s="260" t="s">
        <v>828</v>
      </c>
      <c r="N206" s="98" t="s">
        <v>113</v>
      </c>
      <c r="O206" s="260">
        <v>57000</v>
      </c>
      <c r="P206" t="s">
        <v>113</v>
      </c>
      <c r="Q206" s="12"/>
      <c r="R206" s="297" t="s">
        <v>990</v>
      </c>
      <c r="S206" s="297">
        <f t="shared" si="6"/>
        <v>57</v>
      </c>
      <c r="U206" s="310">
        <f t="shared" si="7"/>
        <v>377</v>
      </c>
      <c r="V206" s="310">
        <f t="shared" si="8"/>
        <v>250.00000000000003</v>
      </c>
      <c r="Z206" s="260"/>
      <c r="AA206" s="260"/>
    </row>
    <row r="207" spans="1:36" x14ac:dyDescent="0.3">
      <c r="A207" s="261" t="s">
        <v>792</v>
      </c>
      <c r="B207" s="261" t="s">
        <v>26</v>
      </c>
      <c r="C207" s="195">
        <v>250</v>
      </c>
      <c r="D207" s="268">
        <v>7.06</v>
      </c>
      <c r="E207" s="268" t="s">
        <v>28</v>
      </c>
      <c r="F207" s="195" t="s">
        <v>113</v>
      </c>
      <c r="G207" s="195" t="s">
        <v>342</v>
      </c>
      <c r="H207" s="195" t="s">
        <v>352</v>
      </c>
      <c r="J207" s="260">
        <v>250000</v>
      </c>
      <c r="K207" s="260" t="s">
        <v>821</v>
      </c>
      <c r="N207" s="98" t="s">
        <v>99</v>
      </c>
      <c r="O207" s="260">
        <v>150000</v>
      </c>
      <c r="P207" t="s">
        <v>99</v>
      </c>
      <c r="Q207" s="12"/>
      <c r="R207" s="297" t="s">
        <v>990</v>
      </c>
      <c r="S207" s="297">
        <f t="shared" si="6"/>
        <v>150</v>
      </c>
      <c r="U207" s="310">
        <f t="shared" si="7"/>
        <v>2560</v>
      </c>
      <c r="V207" s="310">
        <f t="shared" si="8"/>
        <v>1410</v>
      </c>
      <c r="Z207" s="260"/>
      <c r="AA207" s="260"/>
    </row>
    <row r="208" spans="1:36" x14ac:dyDescent="0.3">
      <c r="A208" s="261" t="s">
        <v>270</v>
      </c>
      <c r="B208" s="261" t="s">
        <v>26</v>
      </c>
      <c r="C208" s="195">
        <v>250</v>
      </c>
      <c r="D208" s="268">
        <v>18.559999999999999</v>
      </c>
      <c r="E208" s="268">
        <v>7.2</v>
      </c>
      <c r="F208" s="195" t="s">
        <v>113</v>
      </c>
      <c r="G208" s="195" t="s">
        <v>342</v>
      </c>
      <c r="H208" s="195" t="s">
        <v>641</v>
      </c>
      <c r="J208" s="260">
        <v>250000</v>
      </c>
      <c r="K208" s="260" t="s">
        <v>792</v>
      </c>
      <c r="N208" s="98" t="s">
        <v>113</v>
      </c>
      <c r="O208" s="260">
        <v>250000</v>
      </c>
      <c r="P208" t="s">
        <v>113</v>
      </c>
      <c r="Q208" s="12"/>
      <c r="R208" s="297" t="s">
        <v>990</v>
      </c>
      <c r="S208" s="297">
        <f t="shared" si="6"/>
        <v>250</v>
      </c>
      <c r="U208" s="310">
        <f t="shared" si="7"/>
        <v>1765</v>
      </c>
      <c r="V208" s="310" t="str">
        <f t="shared" si="8"/>
        <v/>
      </c>
      <c r="Z208" s="260"/>
      <c r="AA208" s="260"/>
    </row>
    <row r="209" spans="1:27" x14ac:dyDescent="0.3">
      <c r="A209" s="261" t="s">
        <v>823</v>
      </c>
      <c r="B209" s="261" t="s">
        <v>26</v>
      </c>
      <c r="C209" s="195">
        <v>250</v>
      </c>
      <c r="D209" s="268">
        <v>6.56</v>
      </c>
      <c r="E209" s="268">
        <v>6.2380000000000004</v>
      </c>
      <c r="F209" s="195" t="s">
        <v>99</v>
      </c>
      <c r="G209" s="195" t="s">
        <v>1070</v>
      </c>
      <c r="H209" s="195" t="s">
        <v>641</v>
      </c>
      <c r="J209" s="260">
        <v>250000</v>
      </c>
      <c r="K209" s="260" t="s">
        <v>270</v>
      </c>
      <c r="N209" s="98" t="s">
        <v>113</v>
      </c>
      <c r="O209" s="260">
        <v>250000</v>
      </c>
      <c r="P209" t="s">
        <v>113</v>
      </c>
      <c r="Q209" s="12"/>
      <c r="R209" s="297" t="s">
        <v>990</v>
      </c>
      <c r="S209" s="297">
        <f t="shared" si="6"/>
        <v>250</v>
      </c>
      <c r="U209" s="310">
        <f t="shared" si="7"/>
        <v>4640</v>
      </c>
      <c r="V209" s="310">
        <f t="shared" si="8"/>
        <v>1800</v>
      </c>
      <c r="Z209" s="260"/>
      <c r="AA209" s="260"/>
    </row>
    <row r="210" spans="1:27" x14ac:dyDescent="0.3">
      <c r="A210" s="261" t="s">
        <v>824</v>
      </c>
      <c r="B210" s="261" t="s">
        <v>26</v>
      </c>
      <c r="C210" s="195">
        <v>250</v>
      </c>
      <c r="D210" s="268">
        <v>6.56</v>
      </c>
      <c r="E210" s="268">
        <v>6.2380000000000004</v>
      </c>
      <c r="F210" s="195" t="s">
        <v>99</v>
      </c>
      <c r="G210" s="195" t="s">
        <v>1070</v>
      </c>
      <c r="H210" s="195" t="s">
        <v>641</v>
      </c>
      <c r="J210" s="260">
        <v>100000</v>
      </c>
      <c r="K210" s="260" t="s">
        <v>838</v>
      </c>
      <c r="N210" s="98" t="s">
        <v>99</v>
      </c>
      <c r="O210" s="260">
        <v>250000</v>
      </c>
      <c r="P210" t="s">
        <v>99</v>
      </c>
      <c r="Q210" s="12"/>
      <c r="R210" s="297" t="s">
        <v>990</v>
      </c>
      <c r="S210" s="297">
        <f t="shared" si="6"/>
        <v>250</v>
      </c>
      <c r="U210" s="310">
        <f t="shared" si="7"/>
        <v>1640</v>
      </c>
      <c r="V210" s="310">
        <f t="shared" si="8"/>
        <v>1559.5</v>
      </c>
      <c r="Z210" s="260"/>
      <c r="AA210" s="260"/>
    </row>
    <row r="211" spans="1:27" x14ac:dyDescent="0.3">
      <c r="A211" s="261" t="s">
        <v>820</v>
      </c>
      <c r="B211" s="261" t="s">
        <v>26</v>
      </c>
      <c r="C211" s="195">
        <v>250</v>
      </c>
      <c r="D211" s="268">
        <v>7.666666666666667</v>
      </c>
      <c r="E211" s="268" t="s">
        <v>28</v>
      </c>
      <c r="F211" s="195" t="s">
        <v>99</v>
      </c>
      <c r="G211" s="195" t="s">
        <v>1070</v>
      </c>
      <c r="H211" s="195" t="s">
        <v>641</v>
      </c>
      <c r="J211" s="260">
        <v>150000</v>
      </c>
      <c r="K211" s="260" t="s">
        <v>836</v>
      </c>
      <c r="N211" s="98" t="s">
        <v>99</v>
      </c>
      <c r="O211" s="260">
        <v>250000</v>
      </c>
      <c r="P211" t="s">
        <v>99</v>
      </c>
      <c r="Q211" s="12"/>
      <c r="R211" s="297" t="s">
        <v>990</v>
      </c>
      <c r="S211" s="297">
        <f t="shared" si="6"/>
        <v>250</v>
      </c>
      <c r="U211" s="310">
        <f t="shared" si="7"/>
        <v>1640</v>
      </c>
      <c r="V211" s="310">
        <f t="shared" si="8"/>
        <v>1559.5</v>
      </c>
      <c r="Z211" s="260"/>
      <c r="AA211" s="260"/>
    </row>
    <row r="212" spans="1:27" x14ac:dyDescent="0.3">
      <c r="A212" s="261" t="s">
        <v>821</v>
      </c>
      <c r="B212" s="261" t="s">
        <v>26</v>
      </c>
      <c r="C212" s="195">
        <v>250</v>
      </c>
      <c r="D212" s="268">
        <v>7.666666666666667</v>
      </c>
      <c r="E212" s="268" t="s">
        <v>28</v>
      </c>
      <c r="F212" s="195" t="s">
        <v>99</v>
      </c>
      <c r="G212" s="195" t="s">
        <v>1070</v>
      </c>
      <c r="H212" s="195" t="s">
        <v>641</v>
      </c>
      <c r="J212" s="260">
        <v>110000</v>
      </c>
      <c r="K212" s="260" t="s">
        <v>275</v>
      </c>
      <c r="N212" s="98" t="s">
        <v>99</v>
      </c>
      <c r="O212" s="260">
        <v>250000</v>
      </c>
      <c r="P212" t="s">
        <v>99</v>
      </c>
      <c r="Q212" s="12"/>
      <c r="R212" s="297" t="s">
        <v>990</v>
      </c>
      <c r="S212" s="297">
        <f t="shared" si="6"/>
        <v>250</v>
      </c>
      <c r="U212" s="310">
        <f t="shared" si="7"/>
        <v>1916.6666666666667</v>
      </c>
      <c r="V212" s="310" t="str">
        <f t="shared" si="8"/>
        <v/>
      </c>
      <c r="Z212" s="260"/>
      <c r="AA212" s="260"/>
    </row>
    <row r="213" spans="1:27" x14ac:dyDescent="0.3">
      <c r="A213" s="261" t="s">
        <v>822</v>
      </c>
      <c r="B213" s="261" t="s">
        <v>26</v>
      </c>
      <c r="C213" s="195">
        <v>250</v>
      </c>
      <c r="D213" s="268">
        <v>7.666666666666667</v>
      </c>
      <c r="E213" s="268" t="s">
        <v>28</v>
      </c>
      <c r="F213" s="195" t="s">
        <v>99</v>
      </c>
      <c r="G213" s="195" t="s">
        <v>1070</v>
      </c>
      <c r="H213" s="195" t="s">
        <v>641</v>
      </c>
      <c r="J213" s="260">
        <v>200000</v>
      </c>
      <c r="K213" s="260" t="s">
        <v>811</v>
      </c>
      <c r="N213" s="98" t="s">
        <v>99</v>
      </c>
      <c r="O213" s="260">
        <v>250000</v>
      </c>
      <c r="P213" t="s">
        <v>99</v>
      </c>
      <c r="Q213" s="12"/>
      <c r="R213" s="297" t="s">
        <v>990</v>
      </c>
      <c r="S213" s="297">
        <f t="shared" si="6"/>
        <v>250</v>
      </c>
      <c r="U213" s="310">
        <f t="shared" si="7"/>
        <v>1916.6666666666667</v>
      </c>
      <c r="V213" s="310" t="str">
        <f t="shared" si="8"/>
        <v/>
      </c>
      <c r="Z213" s="260"/>
      <c r="AA213" s="260"/>
    </row>
    <row r="214" spans="1:27" x14ac:dyDescent="0.3">
      <c r="A214" s="261" t="s">
        <v>27</v>
      </c>
      <c r="B214" s="261" t="s">
        <v>26</v>
      </c>
      <c r="C214" s="195">
        <v>354</v>
      </c>
      <c r="D214" s="268">
        <v>5.8107344632768365</v>
      </c>
      <c r="E214" s="268">
        <v>5.8107344632768365</v>
      </c>
      <c r="F214" s="195" t="s">
        <v>113</v>
      </c>
      <c r="G214" s="195" t="s">
        <v>964</v>
      </c>
      <c r="H214" s="195" t="s">
        <v>352</v>
      </c>
      <c r="J214" s="260">
        <v>5000</v>
      </c>
      <c r="K214" s="260" t="s">
        <v>266</v>
      </c>
      <c r="N214" s="98" t="s">
        <v>99</v>
      </c>
      <c r="O214" s="260">
        <v>250000</v>
      </c>
      <c r="P214" t="s">
        <v>99</v>
      </c>
      <c r="Q214" s="12"/>
      <c r="R214" s="297" t="s">
        <v>990</v>
      </c>
      <c r="S214" s="297">
        <f t="shared" si="6"/>
        <v>250</v>
      </c>
      <c r="U214" s="310">
        <f t="shared" si="7"/>
        <v>1916.6666666666667</v>
      </c>
      <c r="V214" s="310" t="str">
        <f t="shared" si="8"/>
        <v/>
      </c>
      <c r="Z214" s="260"/>
      <c r="AA214" s="260"/>
    </row>
    <row r="215" spans="1:27" x14ac:dyDescent="0.3">
      <c r="A215" s="261" t="s">
        <v>1074</v>
      </c>
      <c r="B215" s="261" t="s">
        <v>26</v>
      </c>
      <c r="C215" s="195">
        <v>370</v>
      </c>
      <c r="D215" s="268">
        <v>9.5013262599469499</v>
      </c>
      <c r="E215" s="268">
        <v>8.7453580901856771</v>
      </c>
      <c r="F215" s="195" t="s">
        <v>99</v>
      </c>
      <c r="G215" s="195" t="s">
        <v>342</v>
      </c>
      <c r="H215" s="195" t="s">
        <v>641</v>
      </c>
      <c r="J215" s="260">
        <v>354000</v>
      </c>
      <c r="K215" s="260" t="s">
        <v>27</v>
      </c>
      <c r="N215" s="106" t="s">
        <v>112</v>
      </c>
      <c r="O215" s="260">
        <v>354000</v>
      </c>
      <c r="P215" t="s">
        <v>113</v>
      </c>
      <c r="Q215" s="12"/>
      <c r="R215" s="297" t="s">
        <v>986</v>
      </c>
      <c r="S215" s="297">
        <f t="shared" si="6"/>
        <v>354</v>
      </c>
      <c r="U215" s="310">
        <f t="shared" si="7"/>
        <v>2057</v>
      </c>
      <c r="V215" s="310">
        <f t="shared" si="8"/>
        <v>2057</v>
      </c>
      <c r="Z215" s="260"/>
      <c r="AA215" s="260"/>
    </row>
    <row r="216" spans="1:27" x14ac:dyDescent="0.3">
      <c r="A216" s="261" t="s">
        <v>1073</v>
      </c>
      <c r="B216" s="261" t="s">
        <v>3</v>
      </c>
      <c r="C216" s="195">
        <v>200</v>
      </c>
      <c r="D216" s="268">
        <v>15</v>
      </c>
      <c r="E216" s="268">
        <v>13.345000000000001</v>
      </c>
      <c r="F216" s="195" t="s">
        <v>99</v>
      </c>
      <c r="G216" s="195" t="s">
        <v>342</v>
      </c>
      <c r="H216" s="195" t="s">
        <v>641</v>
      </c>
      <c r="J216" s="260">
        <v>13000</v>
      </c>
      <c r="K216" s="260" t="s">
        <v>819</v>
      </c>
      <c r="N216" s="98" t="s">
        <v>99</v>
      </c>
      <c r="O216" s="260">
        <v>370000</v>
      </c>
      <c r="P216" t="s">
        <v>99</v>
      </c>
      <c r="Q216" s="12"/>
      <c r="R216" s="297" t="s">
        <v>990</v>
      </c>
      <c r="S216" s="297">
        <f t="shared" si="6"/>
        <v>370</v>
      </c>
      <c r="U216" s="310">
        <f t="shared" si="7"/>
        <v>3515.4907161803712</v>
      </c>
      <c r="V216" s="310">
        <f t="shared" si="8"/>
        <v>3235.7824933687007</v>
      </c>
      <c r="Z216" s="260"/>
      <c r="AA216" s="260"/>
    </row>
    <row r="217" spans="1:27" x14ac:dyDescent="0.3">
      <c r="A217" s="261" t="s">
        <v>272</v>
      </c>
      <c r="B217" s="261" t="s">
        <v>148</v>
      </c>
      <c r="C217" s="195">
        <v>75</v>
      </c>
      <c r="D217" s="268">
        <v>6.666666666666667</v>
      </c>
      <c r="E217" s="268">
        <v>5.333333333333333</v>
      </c>
      <c r="F217" s="195" t="s">
        <v>113</v>
      </c>
      <c r="G217" s="195" t="s">
        <v>964</v>
      </c>
      <c r="H217" s="195" t="s">
        <v>252</v>
      </c>
      <c r="J217" s="260">
        <v>250000</v>
      </c>
      <c r="K217" s="260" t="s">
        <v>822</v>
      </c>
      <c r="N217" s="98" t="s">
        <v>99</v>
      </c>
      <c r="O217" s="260">
        <v>200000</v>
      </c>
      <c r="P217" t="s">
        <v>99</v>
      </c>
      <c r="Q217" s="12"/>
      <c r="R217" s="297" t="s">
        <v>990</v>
      </c>
      <c r="S217" s="297">
        <f t="shared" si="6"/>
        <v>200</v>
      </c>
      <c r="U217" s="310">
        <f t="shared" si="7"/>
        <v>3000</v>
      </c>
      <c r="V217" s="310">
        <f t="shared" si="8"/>
        <v>2669</v>
      </c>
      <c r="Z217" s="260"/>
      <c r="AA217" s="260"/>
    </row>
    <row r="218" spans="1:27" x14ac:dyDescent="0.3">
      <c r="A218" s="261" t="s">
        <v>276</v>
      </c>
      <c r="B218" s="261" t="s">
        <v>107</v>
      </c>
      <c r="C218" s="195">
        <v>64</v>
      </c>
      <c r="D218" s="268">
        <v>6.25</v>
      </c>
      <c r="E218" s="268">
        <v>4.53125</v>
      </c>
      <c r="F218" s="195" t="s">
        <v>113</v>
      </c>
      <c r="G218" s="195" t="s">
        <v>964</v>
      </c>
      <c r="H218" s="195" t="s">
        <v>352</v>
      </c>
      <c r="J218" s="260">
        <v>75000</v>
      </c>
      <c r="K218" s="260" t="s">
        <v>272</v>
      </c>
      <c r="N218" s="98" t="s">
        <v>113</v>
      </c>
      <c r="O218" s="260">
        <v>75000</v>
      </c>
      <c r="P218" t="s">
        <v>113</v>
      </c>
      <c r="Q218" s="12"/>
      <c r="R218" s="297" t="s">
        <v>986</v>
      </c>
      <c r="S218" s="297">
        <f t="shared" si="6"/>
        <v>75</v>
      </c>
      <c r="U218" s="310">
        <f t="shared" si="7"/>
        <v>500</v>
      </c>
      <c r="V218" s="310">
        <f t="shared" si="8"/>
        <v>400</v>
      </c>
      <c r="Z218" s="260"/>
      <c r="AA218" s="260"/>
    </row>
    <row r="219" spans="1:27" x14ac:dyDescent="0.3">
      <c r="A219" s="261" t="s">
        <v>275</v>
      </c>
      <c r="B219" s="261" t="s">
        <v>107</v>
      </c>
      <c r="C219" s="195">
        <v>110</v>
      </c>
      <c r="D219" s="268">
        <v>14.545454545454545</v>
      </c>
      <c r="E219" s="268">
        <v>13.881818181818181</v>
      </c>
      <c r="F219" s="195" t="s">
        <v>99</v>
      </c>
      <c r="G219" s="195" t="s">
        <v>342</v>
      </c>
      <c r="H219" s="195" t="s">
        <v>252</v>
      </c>
      <c r="J219" s="260">
        <v>64000</v>
      </c>
      <c r="K219" s="260" t="s">
        <v>276</v>
      </c>
      <c r="N219" s="98" t="s">
        <v>113</v>
      </c>
      <c r="O219" s="260">
        <v>64000</v>
      </c>
      <c r="P219" t="s">
        <v>113</v>
      </c>
      <c r="Q219" s="12"/>
      <c r="R219" s="297" t="s">
        <v>986</v>
      </c>
      <c r="S219" s="297">
        <f t="shared" si="6"/>
        <v>64</v>
      </c>
      <c r="U219" s="310">
        <f t="shared" si="7"/>
        <v>400</v>
      </c>
      <c r="V219" s="310">
        <f t="shared" si="8"/>
        <v>290</v>
      </c>
      <c r="Z219" s="260"/>
      <c r="AA219" s="260"/>
    </row>
    <row r="220" spans="1:27" x14ac:dyDescent="0.3">
      <c r="J220" s="260">
        <v>377000</v>
      </c>
      <c r="K220" s="260" t="s">
        <v>825</v>
      </c>
      <c r="N220" s="98" t="s">
        <v>99</v>
      </c>
      <c r="O220" s="260">
        <v>110000</v>
      </c>
      <c r="P220" t="s">
        <v>99</v>
      </c>
      <c r="Q220" s="12"/>
      <c r="R220" s="297" t="s">
        <v>986</v>
      </c>
      <c r="S220" s="297">
        <f t="shared" si="6"/>
        <v>110</v>
      </c>
      <c r="U220" s="310">
        <f t="shared" si="7"/>
        <v>1600</v>
      </c>
      <c r="V220" s="310">
        <f t="shared" si="8"/>
        <v>1527</v>
      </c>
      <c r="Z220" s="260"/>
      <c r="AA220" s="260"/>
    </row>
    <row r="221" spans="1:27" x14ac:dyDescent="0.3">
      <c r="U221" s="309"/>
      <c r="V221" s="309"/>
    </row>
    <row r="222" spans="1:27" x14ac:dyDescent="0.3">
      <c r="A222" s="48" t="s">
        <v>1</v>
      </c>
      <c r="B222" s="48" t="s">
        <v>0</v>
      </c>
      <c r="C222" s="48" t="s">
        <v>263</v>
      </c>
      <c r="D222" s="48" t="s">
        <v>1075</v>
      </c>
      <c r="E222" s="48" t="s">
        <v>1076</v>
      </c>
      <c r="F222" s="48" t="s">
        <v>1078</v>
      </c>
      <c r="G222" s="48" t="s">
        <v>1077</v>
      </c>
    </row>
    <row r="223" spans="1:27" x14ac:dyDescent="0.3">
      <c r="A223" s="261" t="s">
        <v>1072</v>
      </c>
      <c r="B223" s="261" t="s">
        <v>35</v>
      </c>
      <c r="C223" s="195">
        <v>10</v>
      </c>
      <c r="D223" s="268">
        <v>2.2000000000000002</v>
      </c>
      <c r="E223" s="268">
        <v>2.8</v>
      </c>
      <c r="F223" s="266">
        <v>682.76658799999996</v>
      </c>
      <c r="G223" s="266">
        <v>821.67648799999995</v>
      </c>
    </row>
    <row r="224" spans="1:27" x14ac:dyDescent="0.3">
      <c r="A224" s="261" t="s">
        <v>838</v>
      </c>
      <c r="B224" s="261" t="s">
        <v>35</v>
      </c>
      <c r="C224" s="195">
        <v>10</v>
      </c>
      <c r="D224" s="268">
        <v>2.2000000000000002</v>
      </c>
      <c r="E224" s="268">
        <v>2.8</v>
      </c>
      <c r="F224" s="266">
        <v>489.24726399999997</v>
      </c>
      <c r="G224" s="266">
        <v>578.49275899999998</v>
      </c>
      <c r="I224" s="195">
        <v>1</v>
      </c>
    </row>
    <row r="225" spans="1:9" x14ac:dyDescent="0.3">
      <c r="A225" s="261" t="s">
        <v>261</v>
      </c>
      <c r="B225" s="261" t="s">
        <v>35</v>
      </c>
      <c r="C225" s="195">
        <v>0</v>
      </c>
      <c r="D225" s="268">
        <v>1.1000000000000001</v>
      </c>
      <c r="E225" s="268">
        <v>1.4</v>
      </c>
      <c r="F225" s="266">
        <v>2.0407130000000002</v>
      </c>
      <c r="G225" s="266">
        <v>2.4851380000000001</v>
      </c>
      <c r="I225" s="195">
        <v>1.5</v>
      </c>
    </row>
    <row r="226" spans="1:9" x14ac:dyDescent="0.3">
      <c r="A226" s="261" t="s">
        <v>264</v>
      </c>
      <c r="B226" s="261" t="s">
        <v>35</v>
      </c>
      <c r="C226" s="195">
        <v>6</v>
      </c>
      <c r="D226" s="268">
        <v>1.9</v>
      </c>
      <c r="E226" s="268">
        <v>2.4</v>
      </c>
      <c r="F226" s="266">
        <v>991.752295</v>
      </c>
      <c r="G226" s="266">
        <v>1154.91111</v>
      </c>
      <c r="I226" s="195">
        <v>250</v>
      </c>
    </row>
    <row r="227" spans="1:9" x14ac:dyDescent="0.3">
      <c r="A227" s="261" t="s">
        <v>792</v>
      </c>
      <c r="B227" s="261" t="s">
        <v>26</v>
      </c>
      <c r="C227" s="195">
        <v>0</v>
      </c>
      <c r="D227" s="268">
        <v>1.1000000000000001</v>
      </c>
      <c r="E227" s="268">
        <v>1.4</v>
      </c>
      <c r="F227" s="266">
        <v>520.11048600000004</v>
      </c>
      <c r="G227" s="266">
        <v>644.73420099999998</v>
      </c>
      <c r="I227" s="195">
        <v>250</v>
      </c>
    </row>
    <row r="228" spans="1:9" x14ac:dyDescent="0.3">
      <c r="A228" s="261" t="s">
        <v>819</v>
      </c>
      <c r="B228" s="261" t="s">
        <v>26</v>
      </c>
      <c r="C228" s="195">
        <v>0</v>
      </c>
      <c r="D228" s="268">
        <v>1.1000000000000001</v>
      </c>
      <c r="E228" s="268">
        <v>1.4</v>
      </c>
      <c r="F228" s="266">
        <v>8.6701920000000001</v>
      </c>
      <c r="G228" s="266">
        <v>28.237784000000001</v>
      </c>
      <c r="I228" s="195">
        <v>280</v>
      </c>
    </row>
    <row r="229" spans="1:9" x14ac:dyDescent="0.3">
      <c r="A229" s="261" t="s">
        <v>270</v>
      </c>
      <c r="B229" s="261" t="s">
        <v>26</v>
      </c>
      <c r="C229" s="195">
        <v>0</v>
      </c>
      <c r="D229" s="268">
        <v>1.1000000000000001</v>
      </c>
      <c r="E229" s="268">
        <v>1.4</v>
      </c>
      <c r="F229" s="266">
        <v>479.94492500000001</v>
      </c>
      <c r="G229" s="266">
        <v>617.28250800000001</v>
      </c>
      <c r="I229" s="195">
        <v>5</v>
      </c>
    </row>
    <row r="230" spans="1:9" x14ac:dyDescent="0.3">
      <c r="A230" s="261" t="s">
        <v>823</v>
      </c>
      <c r="B230" s="261" t="s">
        <v>26</v>
      </c>
      <c r="C230" s="195">
        <v>0</v>
      </c>
      <c r="D230" s="268">
        <v>1.1000000000000001</v>
      </c>
      <c r="E230" s="268">
        <v>1.4</v>
      </c>
      <c r="F230" s="266">
        <v>544.58057599999995</v>
      </c>
      <c r="G230" s="266">
        <v>655.11825899999997</v>
      </c>
      <c r="I230" s="195">
        <v>7.5</v>
      </c>
    </row>
    <row r="231" spans="1:9" x14ac:dyDescent="0.3">
      <c r="A231" s="261" t="s">
        <v>824</v>
      </c>
      <c r="B231" s="261" t="s">
        <v>26</v>
      </c>
      <c r="C231" s="195">
        <v>0</v>
      </c>
      <c r="D231" s="268">
        <v>1.1000000000000001</v>
      </c>
      <c r="E231" s="268">
        <v>1.4</v>
      </c>
      <c r="F231" s="266">
        <v>544.58057599999995</v>
      </c>
      <c r="G231" s="266">
        <v>655.11825899999997</v>
      </c>
      <c r="I231" s="195">
        <v>10</v>
      </c>
    </row>
    <row r="232" spans="1:9" x14ac:dyDescent="0.3">
      <c r="A232" s="261" t="s">
        <v>1089</v>
      </c>
      <c r="B232" s="261" t="s">
        <v>26</v>
      </c>
      <c r="C232" s="195">
        <v>0</v>
      </c>
      <c r="D232" s="268">
        <v>1.1000000000000001</v>
      </c>
      <c r="E232" s="268">
        <v>1.4</v>
      </c>
      <c r="F232" s="266">
        <v>869.24378400000001</v>
      </c>
      <c r="G232" s="266">
        <v>1023.95835</v>
      </c>
      <c r="I232" s="195">
        <v>13</v>
      </c>
    </row>
    <row r="233" spans="1:9" x14ac:dyDescent="0.3">
      <c r="A233" s="261" t="s">
        <v>354</v>
      </c>
      <c r="B233" s="261" t="s">
        <v>26</v>
      </c>
      <c r="C233" s="195">
        <v>0</v>
      </c>
      <c r="D233" s="268">
        <v>1.1000000000000001</v>
      </c>
      <c r="E233" s="268">
        <v>1.4</v>
      </c>
      <c r="F233" s="266">
        <v>8.7264769999999992</v>
      </c>
      <c r="G233" s="266">
        <v>11.078236</v>
      </c>
      <c r="I233" s="195">
        <v>50</v>
      </c>
    </row>
    <row r="234" spans="1:9" x14ac:dyDescent="0.3">
      <c r="A234" s="261" t="s">
        <v>1088</v>
      </c>
      <c r="B234" s="261" t="s">
        <v>26</v>
      </c>
      <c r="C234" s="195">
        <v>0</v>
      </c>
      <c r="D234" s="268">
        <v>1.1000000000000001</v>
      </c>
      <c r="E234" s="268">
        <v>1.4</v>
      </c>
      <c r="F234" s="266">
        <v>106.89734199999999</v>
      </c>
      <c r="G234" s="266">
        <v>137.50362699999999</v>
      </c>
      <c r="I234" s="195">
        <v>57</v>
      </c>
    </row>
    <row r="235" spans="1:9" x14ac:dyDescent="0.3">
      <c r="A235" s="261" t="s">
        <v>280</v>
      </c>
      <c r="B235" s="261" t="s">
        <v>26</v>
      </c>
      <c r="C235" s="195">
        <v>7</v>
      </c>
      <c r="D235" s="268">
        <v>1.8</v>
      </c>
      <c r="E235" s="268">
        <v>2.2000000000000002</v>
      </c>
      <c r="F235" s="266">
        <v>541.15484800000002</v>
      </c>
      <c r="G235" s="266">
        <v>691.94617600000004</v>
      </c>
      <c r="I235" s="195">
        <v>100</v>
      </c>
    </row>
    <row r="236" spans="1:9" x14ac:dyDescent="0.3">
      <c r="A236" s="261" t="s">
        <v>820</v>
      </c>
      <c r="B236" s="261" t="s">
        <v>26</v>
      </c>
      <c r="C236" s="195">
        <v>0</v>
      </c>
      <c r="D236" s="268">
        <v>1.1000000000000001</v>
      </c>
      <c r="E236" s="268">
        <v>1.4</v>
      </c>
      <c r="F236" s="266">
        <v>528.69193199999995</v>
      </c>
      <c r="G236" s="266">
        <v>659.02125000000001</v>
      </c>
      <c r="I236" s="195">
        <v>110</v>
      </c>
    </row>
    <row r="237" spans="1:9" x14ac:dyDescent="0.3">
      <c r="A237" s="261" t="s">
        <v>821</v>
      </c>
      <c r="B237" s="261" t="s">
        <v>26</v>
      </c>
      <c r="C237" s="195">
        <v>0</v>
      </c>
      <c r="D237" s="268">
        <v>1.1000000000000001</v>
      </c>
      <c r="E237" s="268">
        <v>1.4</v>
      </c>
      <c r="F237" s="266">
        <v>528.69193199999995</v>
      </c>
      <c r="G237" s="266">
        <v>659.02125000000001</v>
      </c>
      <c r="I237" s="195">
        <v>150</v>
      </c>
    </row>
    <row r="238" spans="1:9" x14ac:dyDescent="0.3">
      <c r="A238" s="261" t="s">
        <v>822</v>
      </c>
      <c r="B238" s="261" t="s">
        <v>26</v>
      </c>
      <c r="C238" s="195">
        <v>0</v>
      </c>
      <c r="D238" s="268">
        <v>1.1000000000000001</v>
      </c>
      <c r="E238" s="268">
        <v>1.4</v>
      </c>
      <c r="F238" s="266">
        <v>528.69193199999995</v>
      </c>
      <c r="G238" s="266">
        <v>659.02125000000001</v>
      </c>
      <c r="I238" s="195">
        <v>150</v>
      </c>
    </row>
    <row r="239" spans="1:9" x14ac:dyDescent="0.3">
      <c r="A239" s="261" t="s">
        <v>27</v>
      </c>
      <c r="B239" s="261" t="s">
        <v>26</v>
      </c>
      <c r="C239" s="195">
        <v>0</v>
      </c>
      <c r="D239" s="268">
        <v>1.1000000000000001</v>
      </c>
      <c r="E239" s="268">
        <v>1.4</v>
      </c>
      <c r="F239" s="266">
        <v>725.32184500000005</v>
      </c>
      <c r="G239" s="266">
        <v>887.57513600000004</v>
      </c>
      <c r="I239" s="195">
        <v>200</v>
      </c>
    </row>
    <row r="240" spans="1:9" x14ac:dyDescent="0.3">
      <c r="A240" s="261" t="s">
        <v>98</v>
      </c>
      <c r="B240" s="261" t="s">
        <v>26</v>
      </c>
      <c r="C240" s="195">
        <v>3</v>
      </c>
      <c r="D240" s="268">
        <v>1.3</v>
      </c>
      <c r="E240" s="268">
        <v>1.7</v>
      </c>
      <c r="F240" s="266">
        <v>20.071522000000002</v>
      </c>
      <c r="G240" s="266">
        <v>30.339209</v>
      </c>
      <c r="I240" s="195">
        <v>250</v>
      </c>
    </row>
    <row r="241" spans="1:9" x14ac:dyDescent="0.3">
      <c r="A241" s="261" t="s">
        <v>830</v>
      </c>
      <c r="B241" s="261" t="s">
        <v>26</v>
      </c>
      <c r="C241" s="195">
        <v>0</v>
      </c>
      <c r="D241" s="268">
        <v>1.1000000000000001</v>
      </c>
      <c r="E241" s="268">
        <v>1.4</v>
      </c>
      <c r="F241" s="266">
        <v>101.00235000000001</v>
      </c>
      <c r="G241" s="266">
        <v>125.483807</v>
      </c>
      <c r="I241" s="195">
        <v>250</v>
      </c>
    </row>
    <row r="242" spans="1:9" x14ac:dyDescent="0.3">
      <c r="A242" s="261" t="s">
        <v>1073</v>
      </c>
      <c r="B242" s="261" t="s">
        <v>3</v>
      </c>
      <c r="C242" s="195">
        <v>15</v>
      </c>
      <c r="D242" s="268">
        <v>2.6</v>
      </c>
      <c r="E242" s="268">
        <v>3.2</v>
      </c>
      <c r="F242" s="266">
        <v>1072.6984480000001</v>
      </c>
      <c r="G242" s="266">
        <v>1215.503614</v>
      </c>
      <c r="I242" s="195">
        <v>250</v>
      </c>
    </row>
    <row r="243" spans="1:9" x14ac:dyDescent="0.3">
      <c r="A243" s="261" t="s">
        <v>272</v>
      </c>
      <c r="B243" s="261" t="s">
        <v>148</v>
      </c>
      <c r="C243" s="195">
        <v>0</v>
      </c>
      <c r="D243" s="268">
        <v>1.1000000000000001</v>
      </c>
      <c r="E243" s="268">
        <v>1.4</v>
      </c>
      <c r="F243" s="266">
        <v>71.480500000000006</v>
      </c>
      <c r="G243" s="266">
        <v>104.77205600000001</v>
      </c>
      <c r="I243" s="195">
        <v>354</v>
      </c>
    </row>
    <row r="244" spans="1:9" x14ac:dyDescent="0.3">
      <c r="A244" s="261" t="s">
        <v>276</v>
      </c>
      <c r="B244" s="261" t="s">
        <v>107</v>
      </c>
      <c r="C244" s="195">
        <v>0.5</v>
      </c>
      <c r="D244" s="268">
        <v>1.1499999999999999</v>
      </c>
      <c r="E244" s="268">
        <v>1.45</v>
      </c>
      <c r="F244" s="266">
        <v>113.780537</v>
      </c>
      <c r="G244" s="266">
        <v>143.94184899999999</v>
      </c>
      <c r="I244" s="195">
        <v>370</v>
      </c>
    </row>
    <row r="245" spans="1:9" x14ac:dyDescent="0.3">
      <c r="A245" s="261" t="s">
        <v>275</v>
      </c>
      <c r="B245" s="261" t="s">
        <v>107</v>
      </c>
      <c r="C245" s="195">
        <v>10</v>
      </c>
      <c r="D245" s="268">
        <v>2.2000000000000002</v>
      </c>
      <c r="E245" s="268">
        <v>2.8</v>
      </c>
      <c r="F245" s="266">
        <v>524.99334499999998</v>
      </c>
      <c r="G245" s="266">
        <v>590.13051099999996</v>
      </c>
      <c r="I245" s="195">
        <v>250</v>
      </c>
    </row>
    <row r="246" spans="1:9" x14ac:dyDescent="0.3">
      <c r="I246" s="195">
        <v>75</v>
      </c>
    </row>
    <row r="247" spans="1:9" x14ac:dyDescent="0.3">
      <c r="I247" s="195">
        <v>64</v>
      </c>
    </row>
    <row r="248" spans="1:9" x14ac:dyDescent="0.3">
      <c r="I248" s="195">
        <v>250</v>
      </c>
    </row>
  </sheetData>
  <sortState ref="A224:G248">
    <sortCondition ref="B224:B248"/>
    <sortCondition ref="A224:A248"/>
  </sortState>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X154"/>
  <sheetViews>
    <sheetView topLeftCell="A7" zoomScale="70" zoomScaleNormal="70" workbookViewId="0">
      <selection activeCell="AO153" sqref="AO153"/>
    </sheetView>
  </sheetViews>
  <sheetFormatPr defaultRowHeight="14.4" x14ac:dyDescent="0.3"/>
  <cols>
    <col min="1" max="2" width="12.109375" customWidth="1"/>
    <col min="3" max="3" width="9.44140625" customWidth="1"/>
    <col min="5" max="5" width="11.33203125" customWidth="1"/>
    <col min="6" max="6" width="10" bestFit="1" customWidth="1"/>
    <col min="10" max="10" width="10" bestFit="1" customWidth="1"/>
    <col min="14" max="14" width="13.44140625" customWidth="1"/>
    <col min="15" max="15" width="15" customWidth="1"/>
    <col min="16" max="16" width="14" customWidth="1"/>
    <col min="29" max="29" width="9.33203125" customWidth="1"/>
    <col min="30" max="30" width="18.6640625" customWidth="1"/>
  </cols>
  <sheetData>
    <row r="1" spans="1:27" ht="15" x14ac:dyDescent="0.25">
      <c r="A1" t="s">
        <v>295</v>
      </c>
      <c r="C1" t="s">
        <v>215</v>
      </c>
      <c r="F1" t="s">
        <v>57</v>
      </c>
      <c r="I1" t="s">
        <v>243</v>
      </c>
      <c r="L1" t="s">
        <v>245</v>
      </c>
      <c r="P1" t="s">
        <v>751</v>
      </c>
      <c r="S1" t="s">
        <v>59</v>
      </c>
      <c r="V1" t="s">
        <v>752</v>
      </c>
      <c r="Y1" t="s">
        <v>245</v>
      </c>
    </row>
    <row r="2" spans="1:27" ht="15" x14ac:dyDescent="0.25">
      <c r="B2" t="s">
        <v>214</v>
      </c>
      <c r="C2" t="s">
        <v>55</v>
      </c>
      <c r="D2" t="s">
        <v>56</v>
      </c>
      <c r="E2" t="s">
        <v>133</v>
      </c>
      <c r="F2" t="s">
        <v>55</v>
      </c>
      <c r="G2" t="s">
        <v>56</v>
      </c>
      <c r="H2" t="s">
        <v>133</v>
      </c>
      <c r="I2" t="s">
        <v>55</v>
      </c>
      <c r="J2" t="s">
        <v>56</v>
      </c>
      <c r="K2" t="s">
        <v>133</v>
      </c>
      <c r="L2" t="s">
        <v>55</v>
      </c>
      <c r="M2" t="s">
        <v>56</v>
      </c>
      <c r="N2" t="s">
        <v>133</v>
      </c>
      <c r="P2" t="s">
        <v>55</v>
      </c>
      <c r="Q2" t="s">
        <v>119</v>
      </c>
      <c r="R2" t="s">
        <v>133</v>
      </c>
      <c r="S2" t="s">
        <v>55</v>
      </c>
      <c r="T2" t="s">
        <v>119</v>
      </c>
      <c r="U2" t="s">
        <v>133</v>
      </c>
      <c r="V2" t="s">
        <v>55</v>
      </c>
      <c r="W2" t="s">
        <v>119</v>
      </c>
      <c r="X2" t="s">
        <v>133</v>
      </c>
      <c r="Y2" t="s">
        <v>55</v>
      </c>
      <c r="Z2" t="s">
        <v>56</v>
      </c>
      <c r="AA2" t="s">
        <v>133</v>
      </c>
    </row>
    <row r="3" spans="1:27" ht="15" x14ac:dyDescent="0.25">
      <c r="A3" s="12" t="str">
        <f>"&lt;"&amp;B3</f>
        <v>&lt;1</v>
      </c>
      <c r="B3" s="32">
        <v>1</v>
      </c>
      <c r="C3" s="124">
        <f t="array" ref="C3">SUM(IF(((Data!$M$3:$M$128&lt;B3)*(Data!$M$3:$M$128&gt;0)*(Data!$Y$3:$Y$128="fixed")),Data!$E$3:$E$128/1000,0))</f>
        <v>0</v>
      </c>
      <c r="D3">
        <f t="array" ref="D3">SUM(IF((Data!$M$3:$M$129&lt;=$B3)*(Data!$Y$3:$Y$129="fixed"),Data!$AI$3:$AI$129,0))</f>
        <v>0</v>
      </c>
      <c r="E3" s="23">
        <f>C3/SUM($C$3:$C$11)</f>
        <v>0</v>
      </c>
      <c r="F3" s="124">
        <f t="array" ref="F3">SUM(IF(((Data!$M$3:$M$128&lt;$B3)*(Data!$M$3:$M$128&gt;0)*(Data!$Y$3:$Y$128="1 axis")),Data!$E$3:$E$128/1000,0))</f>
        <v>0</v>
      </c>
      <c r="G3">
        <f t="array" ref="G3">SUM(IF((Data!$M$3:$M$129&lt;$B3)*(Data!$M$3:$M$129&gt;0)*(Data!$Y$3:$Y$129="1 axis"),Data!$AI$3:$AI$129,0))</f>
        <v>0</v>
      </c>
      <c r="H3" s="23" t="e">
        <f t="array" ref="H3">F3/SUM($F$3:$F$11)</f>
        <v>#DIV/0!</v>
      </c>
      <c r="I3" s="124">
        <f t="array" ref="I3">SUM(IF((Data!$M$3:$M$129&lt;$B3)*(Data!$M$3:$M$129&gt;0)*(Data!$Y$3:$Y$129="2 axis"),Data!$E$3:$E$129/1000,0))</f>
        <v>0</v>
      </c>
      <c r="J3">
        <f t="array" ref="J3">SUM(IF((Data!$M$3:$M$129&lt;=$B3)*(Data!$Y$3:$Y$129="2 axis"),Data!$AI$3:$AI$129,0))</f>
        <v>0</v>
      </c>
      <c r="K3" s="15">
        <f t="array" ref="K3">I3/SUM($I$3:$I$11)</f>
        <v>0</v>
      </c>
      <c r="L3" s="124">
        <f t="array" ref="L3">SUM(IF((Data!$M$3:$M$129&lt;$B3)*(Data!$M$3:$M$129&gt;0)*(Data!$Y$3:$Y$129="unknown"),Data!$E$3:$E$129/1000,0))</f>
        <v>0</v>
      </c>
      <c r="M3">
        <f t="array" ref="M3">SUM(IF((Data!$M$3:$M$129&lt;=$B3)*(Data!$Y$3:$Y$129="unknown"),Data!$AI$3:$AI$129,0))</f>
        <v>0</v>
      </c>
      <c r="N3" s="15">
        <f>L3/SUM($L$3:$L$11)</f>
        <v>0</v>
      </c>
      <c r="P3" s="124">
        <f t="array" ref="P3">SUM(IF(((Data!$R$3:$R$128&lt;$B3)*(Data!$R$3:$R$128&gt;0)*(Data!$Y$3:$Y$128="fixed")),Data!$E$3:$E$128/1000,0))</f>
        <v>0</v>
      </c>
      <c r="Q3">
        <f t="array" ref="Q3">SUM(IF((Data!$R$3:$R$129&lt;$B3)*(Data!$R$3:$R$129&gt;0)*(Data!$Y$3:$Y$129="fixed"),Data!$AI$3:$AI$129,0))</f>
        <v>0</v>
      </c>
      <c r="R3" s="15">
        <f t="shared" ref="R3:R11" si="0">P3/SUM($P$3:$P$11)</f>
        <v>0</v>
      </c>
      <c r="S3" s="124">
        <f t="array" ref="S3">SUM(IF(((Data!$R$3:$R$128&lt;$B3)*(Data!$R$3:$R$128&gt;0)*(Data!$Y$3:$Y$128="1 axis")),Data!$E$3:$E$128/1000,0))</f>
        <v>0</v>
      </c>
      <c r="T3">
        <f t="array" ref="T3">SUM(IF((Data!$R$3:$R$129&lt;$B3)*(Data!$R$3:$R$129&gt;0)*(Data!$Y$3:$Y$129="1 axis"),Data!$AI$3:$AI$129,0))</f>
        <v>0</v>
      </c>
      <c r="U3" s="15">
        <f t="array" ref="U3">S3/SUM($S$3:$S$11)</f>
        <v>0</v>
      </c>
      <c r="V3" s="124">
        <f t="array" ref="V3">SUM(IF(((Data!$R$3:$R$128&lt;$B3)*(Data!$R$3:$R$128&gt;0)*(Data!$Y$3:$Y$128="2 axis")),Data!$E$3:$E$128/1000,0))</f>
        <v>0</v>
      </c>
      <c r="W3">
        <f t="array" ref="W3">SUM(IF((Data!$R$3:$R$129&lt;B3)*(Data!$Y$3:$Y$129="2 axis"),Data!$AI$3:$AI$129,0))</f>
        <v>0</v>
      </c>
      <c r="X3" s="15">
        <f t="array" ref="X3">V3/SUM($V$3:$V$11)</f>
        <v>0</v>
      </c>
      <c r="Y3" s="124">
        <f t="array" ref="Y3">SUM(IF((Data!$R$3:$R$129&lt;$B3)*(Data!$R$3:$R$129 &gt;0)*(Data!$Y$3:$Y$129="unknown"),Data!$E$3:$E$129/1000,0))</f>
        <v>0</v>
      </c>
      <c r="Z3">
        <f t="array" ref="Z3">SUM(IF((Data!$R$3:$R$129&lt;=$B3)*(Data!$R$3:$R$129&gt;0)*(Data!$Y$3:$Y$129="unknown"),Data!$AI$3:$AI$129,0))</f>
        <v>0</v>
      </c>
      <c r="AA3" s="15">
        <f>Y3/SUM($L$3:$L$11)</f>
        <v>0</v>
      </c>
    </row>
    <row r="4" spans="1:27" x14ac:dyDescent="0.3">
      <c r="A4" s="12">
        <f t="shared" ref="A4:A10" si="1">B4</f>
        <v>1.5</v>
      </c>
      <c r="B4" s="32">
        <v>1.5</v>
      </c>
      <c r="C4" s="125">
        <f t="array" ref="C4">SUM(IF(((Data!$M$3:$M$128&gt;B3)*(Data!$M$3:$M$128&lt;B4)*(Data!$Y$3:$Y$128="fixed")),Data!$E$3:$E$128/1000,0))</f>
        <v>0</v>
      </c>
      <c r="D4">
        <f t="array" ref="D4">SUM(IF((Data!$M$3:$M$129&lt;=$B4)*(Data!$M$3:$M$129&gt;$B3)*(Data!$Y$3:$Y$129="fixed"),Data!$AI$3:$AI$129,0))</f>
        <v>0</v>
      </c>
      <c r="E4" s="23">
        <f t="shared" ref="E4:E11" si="2">C4/SUM($C$3:$C$11)</f>
        <v>0</v>
      </c>
      <c r="F4" s="125">
        <f t="array" ref="F4">SUM(IF(((Data!$M$3:$M$128&lt;=$B4)*(Data!$M$3:$M$128&gt;$B3)*(Data!$Y$3:$Y$128="1 axis")),Data!$E$3:$E$128/1000,0))</f>
        <v>0</v>
      </c>
      <c r="G4">
        <f t="array" ref="G4">SUM(IF((Data!$M$3:$M$129&gt;=$B3)*(Data!$M$3:$M$129&lt;$B4)*(Data!$Y$3:$Y$129="1 axis"),Data!$AI$3:$AI$129,0))</f>
        <v>0</v>
      </c>
      <c r="H4" s="23" t="e">
        <f t="array" ref="H4">F4/SUM($F$3:$F$11)</f>
        <v>#DIV/0!</v>
      </c>
      <c r="I4" s="125">
        <f t="array" ref="I4">SUM(IF((Data!$M$3:$M$129&lt;=$B4)*(Data!$M$3:$M$129&gt;$B3)*(Data!$Y$3:$Y$129="2 axis"),Data!$E$3:$E$129/1000,0))</f>
        <v>0</v>
      </c>
      <c r="J4">
        <f t="array" ref="J4">SUM(IF((Data!$M$3:$M$129&lt;=$B4)*(Data!$M$3:$M$129&gt;$B3)*(Data!$Y$3:$Y$129="2 axis"),Data!$AI$3:$AI$129,0))</f>
        <v>0</v>
      </c>
      <c r="K4" s="15">
        <f t="array" ref="K4">I4/SUM($I$3:$I$11)</f>
        <v>0</v>
      </c>
      <c r="L4" s="125">
        <f t="array" ref="L4">SUM(IF((Data!$M$3:$M$129&lt;=$B4)*(Data!$M$3:$M$129&gt;$B3)*(Data!$Y$3:$Y$129="unknown"),Data!$E$3:$E$129/1000,0))</f>
        <v>0</v>
      </c>
      <c r="M4">
        <f t="array" ref="M4">SUM(IF((Data!$M$3:$M$129&lt;=$B4)*(Data!$M$3:$M$129&gt;$B3)*(Data!$Y$3:$Y$129="unknown"),Data!$AI$3:$AI$129,0))</f>
        <v>0</v>
      </c>
      <c r="N4" s="15">
        <f t="shared" ref="N4:N11" si="3">L4/SUM($L$3:$L$11)</f>
        <v>0</v>
      </c>
      <c r="P4" s="125">
        <f t="array" ref="P4">SUM(IF(((Data!$R$3:$R$128&gt;$B3)*(Data!$R$3:$R$128&lt;$B4)*(Data!$Y$3:$Y$128="fixed")),Data!$E$3:$E$128/1000,0))</f>
        <v>0</v>
      </c>
      <c r="Q4">
        <f t="array" ref="Q4">SUM(IF((Data!$R$3:$R$129&gt;=$B3)*(Data!$R$3:$R$129&lt;$B4)*(Data!$Y$3:$Y$129="fixed"),Data!$AI$3:$AI$129,0))</f>
        <v>0</v>
      </c>
      <c r="R4" s="15">
        <f t="shared" si="0"/>
        <v>0</v>
      </c>
      <c r="S4" s="125">
        <f t="array" ref="S4">SUM(IF(((Data!$R$3:$R$128&gt;$B3)*(Data!$R$3:$R$128&lt;$B4)*(Data!$Y$3:$Y$128="1 axis")),Data!$E$3:$E$128/1000,0))</f>
        <v>0</v>
      </c>
      <c r="T4">
        <f t="array" ref="T4">SUM(IF((Data!$R$3:$R$129&gt;=$B3)*(Data!$R$3:$R$129&lt;$B4)*(Data!$Y$3:$Y$129="1 axis"),Data!$AI$3:$AI$129,0))</f>
        <v>0</v>
      </c>
      <c r="U4" s="15">
        <f t="shared" ref="U4:U11" si="4">S4/SUM($S$3:$S$11)</f>
        <v>0</v>
      </c>
      <c r="V4" s="125">
        <f t="array" ref="V4">SUM(IF(((Data!$R$3:$R$128&gt;$B3)*(Data!$R$3:$R$128&lt;$B4)*(Data!$Y$3:$Y$128="2 axis")),Data!$E$3:$E$128/1000,0))</f>
        <v>0</v>
      </c>
      <c r="W4">
        <f t="array" ref="W4">SUM(IF((Data!$R$3:$R$129&gt;=$B3)*(Data!$R$3:$R$129&lt;$B4)*(Data!$Y$3:$Y$129="2 axis"),Data!$AI$3:$AI$129,0))</f>
        <v>0</v>
      </c>
      <c r="X4" s="15">
        <f t="shared" ref="X4:X11" si="5">V4/SUM($S$3:$S$11)</f>
        <v>0</v>
      </c>
      <c r="Y4" s="125">
        <f t="array" ref="Y4">SUM(IF((Data!$R$3:$R$129&lt;=$B4)*(Data!$R$3:$R$129&gt;$B3)*(Data!$Y$3:$Y$129="unknown"),Data!$E$3:$E$129/1000,0))</f>
        <v>0</v>
      </c>
      <c r="Z4">
        <f t="array" ref="Z4">SUM(IF((Data!$R$3:$R$129&lt;=$B4)*(Data!$R$3:$R$129&gt;$B3)*(Data!$Y$3:$Y$129="unknown"),Data!$AI$3:$AI$129,0))</f>
        <v>0</v>
      </c>
      <c r="AA4" s="15">
        <f t="shared" ref="AA4:AA11" si="6">Y4/SUM($L$3:$L$11)</f>
        <v>0</v>
      </c>
    </row>
    <row r="5" spans="1:27" x14ac:dyDescent="0.3">
      <c r="A5" s="12">
        <f t="shared" si="1"/>
        <v>2</v>
      </c>
      <c r="B5" s="32">
        <v>2</v>
      </c>
      <c r="C5" s="125">
        <f t="array" ref="C5">SUM(IF(((Data!$M$3:$M$128&gt;B4)*(Data!$M$3:$M$128&lt;B5)*(Data!$Y$3:$Y$128="fixed")),Data!$E$3:$E$128/1000,0))</f>
        <v>0</v>
      </c>
      <c r="D5">
        <f t="array" ref="D5">SUM(IF((Data!$M$3:$M$129&lt;=$B5)*(Data!$M$3:$M$129&gt;$B4)*(Data!$Y$3:$Y$129="fixed"),Data!$AI$3:$AI$129,0))</f>
        <v>0</v>
      </c>
      <c r="E5" s="23">
        <f t="shared" si="2"/>
        <v>0</v>
      </c>
      <c r="F5" s="125">
        <f t="array" ref="F5">SUM(IF(((Data!$M$3:$M$128&lt;=$B5)*(Data!$M$3:$M$128&gt;$B4)*(Data!$Y$3:$Y$128="1 axis")),Data!$E$3:$E$128/1000,0))</f>
        <v>0</v>
      </c>
      <c r="G5">
        <f t="array" ref="G5">SUM(IF((Data!$M$3:$M$129&gt;=$B4)*(Data!$M$3:$M$129&lt;$B5)*(Data!$Y$3:$Y$129="1 axis"),Data!$AI$3:$AI$129,0))</f>
        <v>0</v>
      </c>
      <c r="H5" s="23" t="e">
        <f t="array" ref="H5">F5/SUM($F$3:$F$11)</f>
        <v>#DIV/0!</v>
      </c>
      <c r="I5" s="125">
        <f t="array" ref="I5">SUM(IF((Data!$M$3:$M$129&lt;=$B5)*(Data!$M$3:$M$129&gt;$B4)*(Data!$Y$3:$Y$129="2 axis"),Data!$E$3:$E$129/1000,0))</f>
        <v>0</v>
      </c>
      <c r="J5">
        <f t="array" ref="J5">SUM(IF((Data!$M$3:$M$129&lt;=$B5)*(Data!$M$3:$M$129&gt;$B4)*(Data!$Y$3:$Y$129="2 axis"),Data!$AI$3:$AI$129,0))</f>
        <v>0</v>
      </c>
      <c r="K5" s="15">
        <f t="array" ref="K5">I5/SUM($I$3:$I$11)</f>
        <v>0</v>
      </c>
      <c r="L5" s="125">
        <f t="array" ref="L5">SUM(IF((Data!$M$3:$M$129&lt;=$B5)*(Data!$M$3:$M$129&gt;$B4)*(Data!$Y$3:$Y$129="unknown"),Data!$E$3:$E$129/1000,0))</f>
        <v>0</v>
      </c>
      <c r="M5">
        <f t="array" ref="M5">SUM(IF((Data!$M$3:$M$129&lt;=$B5)*(Data!$M$3:$M$129&gt;$B4)*(Data!$Y$3:$Y$129="unknown"),Data!$AI$3:$AI$129,0))</f>
        <v>0</v>
      </c>
      <c r="N5" s="15">
        <f t="shared" si="3"/>
        <v>0</v>
      </c>
      <c r="P5" s="125">
        <f t="array" ref="P5">SUM(IF(((Data!$R$3:$R$128&gt;$B4)*(Data!$R$3:$R$128&lt;$B5)*(Data!$Y$3:$Y$128="fixed")),Data!$E$3:$E$128/1000,0))</f>
        <v>0</v>
      </c>
      <c r="Q5">
        <f t="array" ref="Q5">SUM(IF((Data!$R$3:$R$129&gt;=$B4)*(Data!$R$3:$R$129&lt;$B5)*(Data!$Y$3:$Y$129="fixed"),Data!$AI$3:$AI$129,0))</f>
        <v>0</v>
      </c>
      <c r="R5" s="15">
        <f t="shared" si="0"/>
        <v>0</v>
      </c>
      <c r="S5" s="125">
        <f t="array" ref="S5">SUM(IF(((Data!$R$3:$R$128&gt;$B4)*(Data!$R$3:$R$128&lt;$B5)*(Data!$Y$3:$Y$128="1 axis")),Data!$E$3:$E$128/1000,0))</f>
        <v>0</v>
      </c>
      <c r="T5">
        <f t="array" ref="T5">SUM(IF((Data!$R$3:$R$129&gt;=$B4)*(Data!$R$3:$R$129&lt;$B5)*(Data!$Y$3:$Y$129="1 axis"),Data!$AI$3:$AI$129,0))</f>
        <v>0</v>
      </c>
      <c r="U5" s="15">
        <f t="shared" si="4"/>
        <v>0</v>
      </c>
      <c r="V5" s="125">
        <f t="array" ref="V5">SUM(IF(((Data!$R$3:$R$128&gt;$B4)*(Data!$R$3:$R$128&lt;$B5)*(Data!$Y$3:$Y$128="2 axis")),Data!$E$3:$E$128/1000,0))</f>
        <v>0</v>
      </c>
      <c r="W5">
        <f t="array" ref="W5">SUM(IF((Data!$R$3:$R$129&gt;=$B4)*(Data!$R$3:$R$129&lt;$B5)*(Data!$Y$3:$Y$129="2 axis"),Data!$AI$3:$AI$129,0))</f>
        <v>0</v>
      </c>
      <c r="X5" s="15">
        <f t="shared" si="5"/>
        <v>0</v>
      </c>
      <c r="Y5" s="125">
        <f t="array" ref="Y5">SUM(IF((Data!$R$3:$R$129&lt;=$B5)*(Data!$R$3:$R$129&gt;$B4)*(Data!$Y$3:$Y$129="unknown"),Data!$E$3:$E$129/1000,0))</f>
        <v>0</v>
      </c>
      <c r="Z5">
        <f t="array" ref="Z5">SUM(IF((Data!$R$3:$R$129&lt;=$B5)*(Data!$R$3:$R$129&gt;$B4)*(Data!$Y$3:$Y$129="unknown"),Data!$AI$3:$AI$129,0))</f>
        <v>0</v>
      </c>
      <c r="AA5" s="15">
        <f t="shared" si="6"/>
        <v>0</v>
      </c>
    </row>
    <row r="6" spans="1:27" x14ac:dyDescent="0.3">
      <c r="A6" s="12">
        <f t="shared" si="1"/>
        <v>2.5</v>
      </c>
      <c r="B6" s="32">
        <v>2.5</v>
      </c>
      <c r="C6" s="125">
        <f t="array" ref="C6">SUM(IF(((Data!$M$3:$M$128&gt;B5)*(Data!$M$3:$M$128&lt;B6)*(Data!$Y$3:$Y$128="fixed")),Data!$E$3:$E$128/1000,0))</f>
        <v>0</v>
      </c>
      <c r="D6">
        <f t="array" ref="D6">SUM(IF((Data!$M$3:$M$129&lt;=$B6)*(Data!$M$3:$M$129&gt;$B5)*(Data!$Y$3:$Y$129="fixed"),Data!$AI$3:$AI$129,0))</f>
        <v>0</v>
      </c>
      <c r="E6" s="23">
        <f t="shared" si="2"/>
        <v>0</v>
      </c>
      <c r="F6" s="125">
        <f t="array" ref="F6">SUM(IF(((Data!$M$3:$M$128&lt;=$B6)*(Data!$M$3:$M$128&gt;$B5)*(Data!$Y$3:$Y$128="1 axis")),Data!$E$3:$E$128/1000,0))</f>
        <v>0</v>
      </c>
      <c r="G6">
        <f t="array" ref="G6">SUM(IF((Data!$M$3:$M$129&gt;=$B5)*(Data!$M$3:$M$129&lt;$B6)*(Data!$Y$3:$Y$129="1 axis"),Data!$AI$3:$AI$129,0))</f>
        <v>0</v>
      </c>
      <c r="H6" s="23" t="e">
        <f t="array" ref="H6">F6/SUM($F$3:$F$11)</f>
        <v>#DIV/0!</v>
      </c>
      <c r="I6" s="125">
        <f t="array" ref="I6">SUM(IF((Data!$M$3:$M$129&lt;=$B6)*(Data!$M$3:$M$129&gt;$B5)*(Data!$Y$3:$Y$129="2 axis"),Data!$E$3:$E$129/1000,0))</f>
        <v>0</v>
      </c>
      <c r="J6">
        <f t="array" ref="J6">SUM(IF((Data!$M$3:$M$129&lt;=$B6)*(Data!$M$3:$M$129&gt;$B5)*(Data!$Y$3:$Y$129="2 axis"),Data!$AI$3:$AI$129,0))</f>
        <v>0</v>
      </c>
      <c r="K6" s="15">
        <f t="array" ref="K6">I6/SUM($I$3:$I$11)</f>
        <v>0</v>
      </c>
      <c r="L6" s="125">
        <f t="array" ref="L6">SUM(IF((Data!$M$3:$M$129&lt;=$B6)*(Data!$M$3:$M$129&gt;$B5)*(Data!$Y$3:$Y$129="unknown"),Data!$E$3:$E$129/1000,0))</f>
        <v>0</v>
      </c>
      <c r="M6">
        <f t="array" ref="M6">SUM(IF((Data!$M$3:$M$129&lt;=$B6)*(Data!$M$3:$M$129&gt;$B5)*(Data!$Y$3:$Y$129="unknown"),Data!$AI$3:$AI$129,0))</f>
        <v>0</v>
      </c>
      <c r="N6" s="15">
        <f t="shared" si="3"/>
        <v>0</v>
      </c>
      <c r="P6" s="125">
        <f t="array" ref="P6">SUM(IF(((Data!$R$3:$R$128&gt;$B5)*(Data!$R$3:$R$128&lt;$B6)*(Data!$Y$3:$Y$128="fixed")),Data!$E$3:$E$128/1000,0))</f>
        <v>5</v>
      </c>
      <c r="Q6">
        <f t="array" ref="Q6">SUM(IF((Data!$R$3:$R$129&gt;=$B5)*(Data!$R$3:$R$129&lt;$B6)*(Data!$Y$3:$Y$129="fixed"),Data!$AI$3:$AI$129,0))</f>
        <v>1</v>
      </c>
      <c r="R6" s="15">
        <f t="shared" si="0"/>
        <v>2.6661682810062086E-2</v>
      </c>
      <c r="S6" s="125">
        <f t="array" ref="S6">SUM(IF(((Data!$R$3:$R$128&gt;$B5)*(Data!$R$3:$R$128&lt;$B6)*(Data!$Y$3:$Y$128="1 axis")),Data!$E$3:$E$128/1000,0))</f>
        <v>0</v>
      </c>
      <c r="T6">
        <f t="array" ref="T6">SUM(IF((Data!$R$3:$R$129&gt;=$B5)*(Data!$R$3:$R$129&lt;$B6)*(Data!$Y$3:$Y$129="1 axis"),Data!$AI$3:$AI$129,0))</f>
        <v>0</v>
      </c>
      <c r="U6" s="15">
        <f t="shared" si="4"/>
        <v>0</v>
      </c>
      <c r="V6" s="125">
        <f t="array" ref="V6">SUM(IF(((Data!$R$3:$R$128&gt;$B5)*(Data!$R$3:$R$128&lt;$B6)*(Data!$Y$3:$Y$128="2 axis")),Data!$E$3:$E$128/1000,0))</f>
        <v>0</v>
      </c>
      <c r="W6">
        <f t="array" ref="W6">SUM(IF((Data!$R$3:$R$129&gt;=$B5)*(Data!$R$3:$R$129&lt;$B6)*(Data!$Y$3:$Y$129="2 axis"),Data!$AI$3:$AI$129,0))</f>
        <v>0</v>
      </c>
      <c r="X6" s="15">
        <f t="shared" si="5"/>
        <v>0</v>
      </c>
      <c r="Y6" s="125">
        <f t="array" ref="Y6">SUM(IF((Data!$R$3:$R$129&lt;=$B6)*(Data!$R$3:$R$129&gt;$B5)*(Data!$Y$3:$Y$129="unknown"),Data!$E$3:$E$129/1000,0))</f>
        <v>0</v>
      </c>
      <c r="Z6">
        <f t="array" ref="Z6">SUM(IF((Data!$R$3:$R$129&lt;=$B6)*(Data!$R$3:$R$129&gt;$B5)*(Data!$Y$3:$Y$129="unknown"),Data!$AI$3:$AI$129,0))</f>
        <v>0</v>
      </c>
      <c r="AA6" s="15">
        <f t="shared" si="6"/>
        <v>0</v>
      </c>
    </row>
    <row r="7" spans="1:27" x14ac:dyDescent="0.3">
      <c r="A7" s="12">
        <f t="shared" si="1"/>
        <v>3</v>
      </c>
      <c r="B7" s="32">
        <v>3</v>
      </c>
      <c r="C7" s="125">
        <f t="array" ref="C7">SUM(IF(((Data!$M$3:$M$128&gt;B6)*(Data!$M$3:$M$128&lt;B7)*(Data!$Y$3:$Y$128="fixed")),Data!$E$3:$E$128/1000,0))</f>
        <v>0</v>
      </c>
      <c r="D7">
        <f t="array" ref="D7">SUM(IF((Data!$M$3:$M$129&lt;=$B7)*(Data!$M$3:$M$129&gt;$B6)*(Data!$Y$3:$Y$129="fixed"),Data!$AI$3:$AI$129,0))</f>
        <v>1</v>
      </c>
      <c r="E7" s="23">
        <f t="shared" si="2"/>
        <v>0</v>
      </c>
      <c r="F7" s="125">
        <f t="array" ref="F7">SUM(IF(((Data!$M$3:$M$128&lt;=$B7)*(Data!$M$3:$M$128&gt;$B6)*(Data!$Y$3:$Y$128="1 axis")),Data!$E$3:$E$128/1000,0))</f>
        <v>0</v>
      </c>
      <c r="G7">
        <f t="array" ref="G7">SUM(IF((Data!$M$3:$M$129&gt;=$B6)*(Data!$M$3:$M$129&lt;$B7)*(Data!$Y$3:$Y$129="1 axis"),Data!$AI$3:$AI$129,0))</f>
        <v>0</v>
      </c>
      <c r="H7" s="23" t="e">
        <f t="array" ref="H7">F7/SUM($F$3:$F$11)</f>
        <v>#DIV/0!</v>
      </c>
      <c r="I7" s="125">
        <f t="array" ref="I7">SUM(IF((Data!$M$3:$M$129&lt;=$B7)*(Data!$M$3:$M$129&gt;$B6)*(Data!$Y$3:$Y$129="2 axis"),Data!$E$3:$E$129/1000,0))</f>
        <v>0</v>
      </c>
      <c r="J7">
        <f t="array" ref="J7">SUM(IF((Data!$M$3:$M$129&lt;=$B7)*(Data!$M$3:$M$129&gt;$B6)*(Data!$Y$3:$Y$129="2 axis"),Data!$AI$3:$AI$129,0))</f>
        <v>0</v>
      </c>
      <c r="K7" s="15">
        <f t="array" ref="K7">I7/SUM($I$3:$I$11)</f>
        <v>0</v>
      </c>
      <c r="L7" s="125">
        <f t="array" ref="L7">SUM(IF((Data!$M$3:$M$129&lt;=$B7)*(Data!$M$3:$M$129&gt;$B6)*(Data!$Y$3:$Y$129="unknown"),Data!$E$3:$E$129/1000,0))</f>
        <v>0</v>
      </c>
      <c r="M7">
        <f t="array" ref="M7">SUM(IF((Data!$M$3:$M$129&lt;=$B7)*(Data!$M$3:$M$129&gt;$B6)*(Data!$Y$3:$Y$129="unknown"),Data!$AI$3:$AI$129,0))</f>
        <v>0</v>
      </c>
      <c r="N7" s="15">
        <f t="shared" si="3"/>
        <v>0</v>
      </c>
      <c r="P7" s="125">
        <f t="array" ref="P7">SUM(IF(((Data!$R$3:$R$128&gt;$B6)*(Data!$R$3:$R$128&lt;$B7)*(Data!$Y$3:$Y$128="fixed")),Data!$E$3:$E$128/1000,0))</f>
        <v>1.9046610968617501</v>
      </c>
      <c r="Q7">
        <f t="array" ref="Q7">SUM(IF((Data!$R$3:$R$129&gt;=$B6)*(Data!$R$3:$R$129&lt;$B7)*(Data!$Y$3:$Y$129="fixed"),Data!$AI$3:$AI$129,0))</f>
        <v>2</v>
      </c>
      <c r="R7" s="15">
        <f t="shared" si="0"/>
        <v>1.0156294005038584E-2</v>
      </c>
      <c r="S7" s="125">
        <f t="array" ref="S7">SUM(IF(((Data!$R$3:$R$128&gt;$B6)*(Data!$R$3:$R$128&lt;$B7)*(Data!$Y$3:$Y$128="1 axis")),Data!$E$3:$E$128/1000,0))</f>
        <v>0</v>
      </c>
      <c r="T7">
        <f t="array" ref="T7">SUM(IF((Data!$R$3:$R$129&gt;=$B6)*(Data!$R$3:$R$129&lt;$B7)*(Data!$Y$3:$Y$129="1 axis"),Data!$AI$3:$AI$129,0))</f>
        <v>0</v>
      </c>
      <c r="U7" s="15">
        <f t="shared" si="4"/>
        <v>0</v>
      </c>
      <c r="V7" s="125">
        <f t="array" ref="V7">SUM(IF(((Data!$R$3:$R$128&gt;$B6)*(Data!$R$3:$R$128&lt;$B7)*(Data!$Y$3:$Y$128="2 axis")),Data!$E$3:$E$128/1000,0))</f>
        <v>0</v>
      </c>
      <c r="W7">
        <f t="array" ref="W7">SUM(IF((Data!$R$3:$R$129&gt;=$B6)*(Data!$R$3:$R$129&lt;$B7)*(Data!$Y$3:$Y$129="2 axis"),Data!$AI$3:$AI$129,0))</f>
        <v>0</v>
      </c>
      <c r="X7" s="15">
        <f t="shared" si="5"/>
        <v>0</v>
      </c>
      <c r="Y7" s="125">
        <f t="array" ref="Y7">SUM(IF((Data!$R$3:$R$129&lt;=$B7)*(Data!$R$3:$R$129&gt;$B6)*(Data!$Y$3:$Y$129="unknown"),Data!$E$3:$E$129/1000,0))</f>
        <v>0</v>
      </c>
      <c r="Z7">
        <f t="array" ref="Z7">SUM(IF((Data!$R$3:$R$129&lt;=$B7)*(Data!$R$3:$R$129&gt;$B6)*(Data!$Y$3:$Y$129="unknown"),Data!$AI$3:$AI$129,0))</f>
        <v>0</v>
      </c>
      <c r="AA7" s="15">
        <f t="shared" si="6"/>
        <v>0</v>
      </c>
    </row>
    <row r="8" spans="1:27" x14ac:dyDescent="0.3">
      <c r="A8" s="12">
        <f t="shared" si="1"/>
        <v>3.5</v>
      </c>
      <c r="B8" s="32">
        <v>3.5</v>
      </c>
      <c r="C8" s="125">
        <f t="array" ref="C8">SUM(IF(((Data!$M$3:$M$128&gt;B7)*(Data!$M$3:$M$128&lt;B8)*(Data!$Y$3:$Y$128="fixed")),Data!$E$3:$E$128/1000,0))</f>
        <v>4.257038546024364</v>
      </c>
      <c r="D8">
        <f t="array" ref="D8">SUM(IF((Data!$M$3:$M$129&lt;=$B8)*(Data!$M$3:$M$129&gt;$B7)*(Data!$Y$3:$Y$129="fixed"),Data!$AI$3:$AI$129,0))</f>
        <v>1</v>
      </c>
      <c r="E8" s="23">
        <f t="shared" si="2"/>
        <v>1.8972246443830932E-2</v>
      </c>
      <c r="F8" s="125">
        <f t="array" ref="F8">SUM(IF(((Data!$M$3:$M$128&lt;=$B8)*(Data!$M$3:$M$128&gt;$B7)*(Data!$Y$3:$Y$128="1 axis")),Data!$E$3:$E$128/1000,0))</f>
        <v>0</v>
      </c>
      <c r="G8">
        <f t="array" ref="G8">SUM(IF((Data!$M$3:$M$129&gt;=$B7)*(Data!$M$3:$M$129&lt;$B8)*(Data!$Y$3:$Y$129="1 axis"),Data!$AI$3:$AI$129,0))</f>
        <v>0</v>
      </c>
      <c r="H8" s="23" t="e">
        <f t="array" ref="H8">F8/SUM($F$3:$F$11)</f>
        <v>#DIV/0!</v>
      </c>
      <c r="I8" s="125">
        <f t="array" ref="I8">SUM(IF((Data!$M$3:$M$129&lt;=$B8)*(Data!$M$3:$M$129&gt;$B7)*(Data!$Y$3:$Y$129="2 axis"),Data!$E$3:$E$129/1000,0))</f>
        <v>0</v>
      </c>
      <c r="J8">
        <f t="array" ref="J8">SUM(IF((Data!$M$3:$M$129&lt;=$B8)*(Data!$M$3:$M$129&gt;$B7)*(Data!$Y$3:$Y$129="2 axis"),Data!$AI$3:$AI$129,0))</f>
        <v>0</v>
      </c>
      <c r="K8" s="15">
        <f t="array" ref="K8">I8/SUM($I$3:$I$11)</f>
        <v>0</v>
      </c>
      <c r="L8" s="125">
        <f t="array" ref="L8">SUM(IF((Data!$M$3:$M$129&lt;=$B8)*(Data!$M$3:$M$129&gt;$B7)*(Data!$Y$3:$Y$129="unknown"),Data!$E$3:$E$129/1000,0))</f>
        <v>0</v>
      </c>
      <c r="M8">
        <f t="array" ref="M8">SUM(IF((Data!$M$3:$M$129&lt;=$B8)*(Data!$M$3:$M$129&gt;$B7)*(Data!$Y$3:$Y$129="unknown"),Data!$AI$3:$AI$129,0))</f>
        <v>0</v>
      </c>
      <c r="N8" s="15">
        <f t="shared" si="3"/>
        <v>0</v>
      </c>
      <c r="P8" s="125">
        <f t="array" ref="P8">SUM(IF(((Data!$R$3:$R$128&gt;$B7)*(Data!$R$3:$R$128&lt;$B8)*(Data!$Y$3:$Y$128="fixed")),Data!$E$3:$E$128/1000,0))</f>
        <v>8.0202606207099016</v>
      </c>
      <c r="Q8">
        <f t="array" ref="Q8">SUM(IF((Data!$R$3:$R$129&gt;=$B7)*(Data!$R$3:$R$129&lt;$B8)*(Data!$Y$3:$Y$129="fixed"),Data!$AI$3:$AI$129,0))</f>
        <v>5</v>
      </c>
      <c r="R8" s="15">
        <f t="shared" si="0"/>
        <v>4.2766728944679817E-2</v>
      </c>
      <c r="S8" s="125">
        <f t="array" ref="S8">SUM(IF(((Data!$R$3:$R$128&gt;$B7)*(Data!$R$3:$R$128&lt;$B8)*(Data!$Y$3:$Y$128="1 axis")),Data!$E$3:$E$128/1000,0))</f>
        <v>0</v>
      </c>
      <c r="T8">
        <f t="array" ref="T8">SUM(IF((Data!$R$3:$R$129&gt;=$B7)*(Data!$R$3:$R$129&lt;$B8)*(Data!$Y$3:$Y$129="1 axis"),Data!$AI$3:$AI$129,0))</f>
        <v>0</v>
      </c>
      <c r="U8" s="15">
        <f t="shared" si="4"/>
        <v>0</v>
      </c>
      <c r="V8" s="125">
        <f t="array" ref="V8">SUM(IF(((Data!$R$3:$R$128&gt;$B7)*(Data!$R$3:$R$128&lt;$B8)*(Data!$Y$3:$Y$128="2 axis")),Data!$E$3:$E$128/1000,0))</f>
        <v>0</v>
      </c>
      <c r="W8">
        <f t="array" ref="W8">SUM(IF((Data!$R$3:$R$129&gt;=$B7)*(Data!$R$3:$R$129&lt;$B8)*(Data!$Y$3:$Y$129="2 axis"),Data!$AI$3:$AI$129,0))</f>
        <v>0</v>
      </c>
      <c r="X8" s="15">
        <f t="shared" si="5"/>
        <v>0</v>
      </c>
      <c r="Y8" s="125">
        <f t="array" ref="Y8">SUM(IF((Data!$R$3:$R$129&lt;=$B8)*(Data!$R$3:$R$129&gt;$B7)*(Data!$Y$3:$Y$129="unknown"),Data!$E$3:$E$129/1000,0))</f>
        <v>0</v>
      </c>
      <c r="Z8">
        <f t="array" ref="Z8">SUM(IF((Data!$R$3:$R$129&lt;=$B8)*(Data!$R$3:$R$129&gt;$B7)*(Data!$Y$3:$Y$129="unknown"),Data!$AI$3:$AI$129,0))</f>
        <v>0</v>
      </c>
      <c r="AA8" s="15">
        <f t="shared" si="6"/>
        <v>0</v>
      </c>
    </row>
    <row r="9" spans="1:27" x14ac:dyDescent="0.3">
      <c r="A9" s="12">
        <f t="shared" si="1"/>
        <v>4</v>
      </c>
      <c r="B9" s="32">
        <v>4</v>
      </c>
      <c r="C9" s="125">
        <f t="array" ref="C9">SUM(IF(((Data!$M$3:$M$128&gt;B8)*(Data!$M$3:$M$128&lt;B9)*(Data!$Y$3:$Y$128="fixed")),Data!$E$3:$E$128/1000,0))</f>
        <v>1.9582377311712076</v>
      </c>
      <c r="D9">
        <f t="array" ref="D9">SUM(IF((Data!$M$3:$M$129&lt;=$B9)*(Data!$M$3:$M$129&gt;$B8)*(Data!$Y$3:$Y$129="fixed"),Data!$AI$3:$AI$129,0))</f>
        <v>2</v>
      </c>
      <c r="E9" s="23">
        <f t="shared" si="2"/>
        <v>8.7272333641622291E-3</v>
      </c>
      <c r="F9" s="125">
        <f t="array" ref="F9">SUM(IF(((Data!$M$3:$M$128&lt;=$B9)*(Data!$M$3:$M$128&gt;$B8)*(Data!$Y$3:$Y$128="1 axis")),Data!$E$3:$E$128/1000,0))</f>
        <v>0</v>
      </c>
      <c r="G9">
        <f t="array" ref="G9">SUM(IF((Data!$M$3:$M$129&gt;=$B8)*(Data!$M$3:$M$129&lt;$B9)*(Data!$Y$3:$Y$129="1 axis"),Data!$AI$3:$AI$129,0))</f>
        <v>0</v>
      </c>
      <c r="H9" s="23" t="e">
        <f t="array" ref="H9">F9/SUM($F$3:$F$11)</f>
        <v>#DIV/0!</v>
      </c>
      <c r="I9" s="125">
        <f t="array" ref="I9">SUM(IF((Data!$M$3:$M$129&lt;=$B9)*(Data!$M$3:$M$129&gt;$B8)*(Data!$Y$3:$Y$129="2 axis"),Data!$E$3:$E$129/1000,0))</f>
        <v>0</v>
      </c>
      <c r="J9">
        <f t="array" ref="J9">SUM(IF((Data!$M$3:$M$129&lt;=$B9)*(Data!$M$3:$M$129&gt;$B8)*(Data!$Y$3:$Y$129="2 axis"),Data!$AI$3:$AI$129,0))</f>
        <v>0</v>
      </c>
      <c r="K9" s="15">
        <f t="array" ref="K9">I9/SUM($I$3:$I$11)</f>
        <v>0</v>
      </c>
      <c r="L9" s="125">
        <f t="array" ref="L9">SUM(IF((Data!$M$3:$M$129&lt;=$B9)*(Data!$M$3:$M$129&gt;$B8)*(Data!$Y$3:$Y$129="unknown"),Data!$E$3:$E$129/1000,0))</f>
        <v>9.5357663430945756</v>
      </c>
      <c r="M9">
        <f t="array" ref="M9">SUM(IF((Data!$M$3:$M$129&lt;=$B9)*(Data!$M$3:$M$129&gt;$B8)*(Data!$Y$3:$Y$129="unknown"),Data!$AI$3:$AI$129,0))</f>
        <v>2</v>
      </c>
      <c r="N9" s="15">
        <f t="shared" si="3"/>
        <v>0.1012841381805028</v>
      </c>
      <c r="P9" s="125">
        <f t="array" ref="P9">SUM(IF(((Data!$R$3:$R$128&gt;$B8)*(Data!$R$3:$R$128&lt;$B9)*(Data!$Y$3:$Y$128="fixed")),Data!$E$3:$E$128/1000,0))</f>
        <v>6.5212981825304555</v>
      </c>
      <c r="Q9">
        <f t="array" ref="Q9">SUM(IF((Data!$R$3:$R$129&gt;=$B8)*(Data!$R$3:$R$129&lt;$B9)*(Data!$Y$3:$Y$129="fixed"),Data!$AI$3:$AI$129,0))</f>
        <v>3</v>
      </c>
      <c r="R9" s="15">
        <f t="shared" si="0"/>
        <v>3.4773756730492274E-2</v>
      </c>
      <c r="S9" s="125">
        <f t="array" ref="S9">SUM(IF(((Data!$R$3:$R$128&gt;$B8)*(Data!$R$3:$R$128&lt;$B9)*(Data!$Y$3:$Y$128="1 axis")),Data!$E$3:$E$128/1000,0))</f>
        <v>12.600834096232118</v>
      </c>
      <c r="T9">
        <f t="array" ref="T9">SUM(IF((Data!$R$3:$R$129&gt;=$B8)*(Data!$R$3:$R$129&lt;$B9)*(Data!$Y$3:$Y$129="1 axis"),Data!$AI$3:$AI$129,0))</f>
        <v>2</v>
      </c>
      <c r="U9" s="15">
        <f t="shared" si="4"/>
        <v>7.6574621529694561E-2</v>
      </c>
      <c r="V9" s="125">
        <f t="array" ref="V9">SUM(IF(((Data!$R$3:$R$128&gt;$B8)*(Data!$R$3:$R$128&lt;$B9)*(Data!$Y$3:$Y$128="2 axis")),Data!$E$3:$E$128/1000,0))</f>
        <v>0</v>
      </c>
      <c r="W9">
        <f t="array" ref="W9">SUM(IF((Data!$R$3:$R$129&gt;=$B8)*(Data!$R$3:$R$129&lt;$B9)*(Data!$Y$3:$Y$129="2 axis"),Data!$AI$3:$AI$129,0))</f>
        <v>0</v>
      </c>
      <c r="X9" s="15">
        <f t="shared" si="5"/>
        <v>0</v>
      </c>
      <c r="Y9" s="125">
        <f t="array" ref="Y9">SUM(IF((Data!$R$3:$R$129&lt;=$B9)*(Data!$R$3:$R$129&gt;$B8)*(Data!$Y$3:$Y$129="unknown"),Data!$E$3:$E$129/1000,0))</f>
        <v>0</v>
      </c>
      <c r="Z9">
        <f t="array" ref="Z9">SUM(IF((Data!$R$3:$R$129&lt;=$B9)*(Data!$R$3:$R$129&gt;$B8)*(Data!$Y$3:$Y$129="unknown"),Data!$AI$3:$AI$129,0))</f>
        <v>0</v>
      </c>
      <c r="AA9" s="15">
        <f t="shared" si="6"/>
        <v>0</v>
      </c>
    </row>
    <row r="10" spans="1:27" x14ac:dyDescent="0.3">
      <c r="A10" s="12">
        <f t="shared" si="1"/>
        <v>4.5</v>
      </c>
      <c r="B10" s="32">
        <v>4.5</v>
      </c>
      <c r="C10" s="125">
        <f t="array" ref="C10">SUM(IF(((Data!$M$3:$M$128&gt;B9)*(Data!$M$3:$M$128&lt;B10)*(Data!$Y$3:$Y$128="fixed")),Data!$E$3:$E$128/1000,0))</f>
        <v>6.5558393608775205</v>
      </c>
      <c r="D10">
        <f t="array" ref="D10">SUM(IF((Data!$M$3:$M$129&lt;=$B10)*(Data!$M$3:$M$129&gt;$B9)*(Data!$Y$3:$Y$129="fixed"),Data!$AI$3:$AI$129,0))</f>
        <v>4</v>
      </c>
      <c r="E10" s="23">
        <f t="shared" si="2"/>
        <v>2.9217259523499631E-2</v>
      </c>
      <c r="F10" s="125">
        <f t="array" ref="F10">SUM(IF(((Data!$M$3:$M$128&lt;=$B10)*(Data!$M$3:$M$128&gt;$B9)*(Data!$Y$3:$Y$128="1 axis")),Data!$E$3:$E$128/1000,0))</f>
        <v>0</v>
      </c>
      <c r="G10">
        <f t="array" ref="G10">SUM(IF((Data!$M$3:$M$129&gt;=$B9)*(Data!$M$3:$M$129&lt;$B10)*(Data!$Y$3:$Y$129="1 axis"),Data!$AI$3:$AI$129,0))</f>
        <v>0</v>
      </c>
      <c r="H10" s="23" t="e">
        <f t="array" ref="H10">F10/SUM($F$3:$F$11)</f>
        <v>#DIV/0!</v>
      </c>
      <c r="I10" s="125">
        <f t="array" ref="I10">SUM(IF((Data!$M$3:$M$129&lt;=$B10)*(Data!$M$3:$M$129&gt;$B9)*(Data!$Y$3:$Y$129="2 axis"),Data!$E$3:$E$129/1000,0))</f>
        <v>0</v>
      </c>
      <c r="J10">
        <f t="array" ref="J10">SUM(IF((Data!$M$3:$M$129&lt;=$B10)*(Data!$M$3:$M$129&gt;$B9)*(Data!$Y$3:$Y$129="2 axis"),Data!$AI$3:$AI$129,0))</f>
        <v>0</v>
      </c>
      <c r="K10" s="15">
        <f t="array" ref="K10">I10/SUM($I$3:$I$11)</f>
        <v>0</v>
      </c>
      <c r="L10" s="125">
        <f t="array" ref="L10">SUM(IF((Data!$M$3:$M$129&lt;=$B10)*(Data!$M$3:$M$129&gt;$B9)*(Data!$Y$3:$Y$129="unknown"),Data!$E$3:$E$129/1000,0))</f>
        <v>0</v>
      </c>
      <c r="M10">
        <f t="array" ref="M10">SUM(IF((Data!$M$3:$M$129&lt;=$B10)*(Data!$M$3:$M$129&gt;$B9)*(Data!$Y$3:$Y$129="unknown"),Data!$AI$3:$AI$129,0))</f>
        <v>0</v>
      </c>
      <c r="N10" s="15">
        <f t="shared" si="3"/>
        <v>0</v>
      </c>
      <c r="P10" s="125">
        <f t="array" ref="P10">SUM(IF(((Data!$R$3:$R$128&gt;$B9)*(Data!$R$3:$R$128&lt;$B10)*(Data!$Y$3:$Y$128="fixed")),Data!$E$3:$E$128/1000,0))</f>
        <v>12.961386197697014</v>
      </c>
      <c r="Q10">
        <f t="array" ref="Q10">SUM(IF((Data!$R$3:$R$129&gt;=$B9)*(Data!$R$3:$R$129&lt;$B10)*(Data!$Y$3:$Y$129="fixed"),Data!$AI$3:$AI$129,0))</f>
        <v>6</v>
      </c>
      <c r="R10" s="15">
        <f t="shared" si="0"/>
        <v>6.9114473516342895E-2</v>
      </c>
      <c r="S10" s="125">
        <f t="array" ref="S10">SUM(IF(((Data!$R$3:$R$128&gt;$B9)*(Data!$R$3:$R$128&lt;$B10)*(Data!$Y$3:$Y$128="1 axis")),Data!$E$3:$E$128/1000,0))</f>
        <v>0</v>
      </c>
      <c r="T10">
        <f t="array" ref="T10">SUM(IF((Data!$R$3:$R$129&gt;=$B9)*(Data!$R$3:$R$129&lt;$B10)*(Data!$Y$3:$Y$129="1 axis"),Data!$AI$3:$AI$129,0))</f>
        <v>0</v>
      </c>
      <c r="U10" s="15">
        <f t="shared" si="4"/>
        <v>0</v>
      </c>
      <c r="V10" s="125">
        <f t="array" ref="V10">SUM(IF(((Data!$R$3:$R$128&gt;$B9)*(Data!$R$3:$R$128&lt;$B10)*(Data!$Y$3:$Y$128="2 axis")),Data!$E$3:$E$128/1000,0))</f>
        <v>0</v>
      </c>
      <c r="W10">
        <f t="array" ref="W10">SUM(IF((Data!$R$3:$R$129&gt;=$B9)*(Data!$R$3:$R$129&lt;$B10)*(Data!$Y$3:$Y$129="2 axis"),Data!$AI$3:$AI$129,0))</f>
        <v>0</v>
      </c>
      <c r="X10" s="15">
        <f t="shared" si="5"/>
        <v>0</v>
      </c>
      <c r="Y10" s="125">
        <f t="array" ref="Y10">SUM(IF((Data!$R$3:$R$129&lt;=$B10)*(Data!$R$3:$R$129&gt;$B9)*(Data!$Y$3:$Y$129="unknown"),Data!$E$3:$E$129/1000,0))</f>
        <v>0</v>
      </c>
      <c r="Z10">
        <f t="array" ref="Z10">SUM(IF((Data!$R$3:$R$129&lt;=$B10)*(Data!$R$3:$R$129&gt;$B9)*(Data!$Y$3:$Y$129="unknown"),Data!$AI$3:$AI$129,0))</f>
        <v>0</v>
      </c>
      <c r="AA10" s="15">
        <f t="shared" si="6"/>
        <v>0</v>
      </c>
    </row>
    <row r="11" spans="1:27" x14ac:dyDescent="0.3">
      <c r="A11" s="12" t="str">
        <f>"&gt;"&amp;B11</f>
        <v>&gt;4.5</v>
      </c>
      <c r="B11" s="32">
        <v>4.5</v>
      </c>
      <c r="C11" s="126">
        <f t="array" ref="C11">SUM(IF(((Data!$M$3:$M$128&gt;B11)*(Data!$Y$3:$Y$128="fixed")),Data!$E$3:$E$128/1000,0))</f>
        <v>211.61130310330873</v>
      </c>
      <c r="D11">
        <f t="array" ref="D11">SUM(IF((Data!$M$3:$M$129&gt;=$B11)*(Data!$Y$3:$Y$129="fixed"),Data!$AI$3:$AI$129,0))</f>
        <v>47</v>
      </c>
      <c r="E11" s="23">
        <f t="shared" si="2"/>
        <v>0.94308326066850723</v>
      </c>
      <c r="F11" s="125">
        <f t="array" ref="F11">SUM(IF(((Data!$M$3:$M$128&lt;=$B11)*(Data!$M$3:$M$128&gt;$B10)*(Data!$Y$3:$Y$128="1 axis")),Data!$E$3:$E$128/1000,0))</f>
        <v>0</v>
      </c>
      <c r="G11">
        <f t="array" ref="G11">SUM(IF((Data!$M$3:$M$129&gt;$B11)*(Data!$Y$3:$Y$129="1 axis"),Data!$AI$3:$AI$129,0))</f>
        <v>54</v>
      </c>
      <c r="H11" s="23" t="e">
        <f t="array" ref="H11">F11/SUM($F$3:$F$11)</f>
        <v>#DIV/0!</v>
      </c>
      <c r="I11" s="126">
        <f t="array" ref="I11">SUM(IF((Data!$M$3:$M$129&gt;$B11)*(Data!$Y$3:$Y$129="2 axis"),Data!$E$3:$E$129/1000,0))</f>
        <v>4.606115706798362</v>
      </c>
      <c r="J11">
        <f t="array" ref="J11">SUM(IF((Data!$M$3:$M$129&gt;=$B11)*(Data!$Y$3:$Y$129="2 axis"),Data!$AI$3:$AI$129,0))</f>
        <v>4</v>
      </c>
      <c r="K11" s="15">
        <f t="array" ref="K11">I11/SUM($I$3:$I$11)</f>
        <v>1</v>
      </c>
      <c r="L11" s="126">
        <f t="array" ref="L11">SUM(IF((Data!$M$3:$M$129&gt;$B11)*(Data!$Y$3:$Y$129="unknown"),Data!$E$3:$E$129/1000,0))</f>
        <v>84.61289814078026</v>
      </c>
      <c r="M11">
        <f t="array" ref="M11">SUM(IF((Data!$M$3:$M$129&gt;=$B11)*(Data!$Y$3:$Y$129="unknown"),Data!$AI$3:$AI$129,0))</f>
        <v>8</v>
      </c>
      <c r="N11" s="15">
        <f t="shared" si="3"/>
        <v>0.89871586181949714</v>
      </c>
      <c r="P11" s="126">
        <f t="array" ref="P11">SUM(IF(((Data!$R$3:$R$128&gt;$B11)*(Data!$Y$3:$Y$128="fixed")),Data!$E$3:$E$128/1000,0))</f>
        <v>153.12744319447609</v>
      </c>
      <c r="Q11">
        <f t="array" ref="Q11">SUM(IF((Data!$R$3:$R$129&gt;$B11)*(Data!$Y$3:$Y$129="fixed"),Data!$AI$3:$AI$129,0))</f>
        <v>27</v>
      </c>
      <c r="R11" s="15">
        <f t="shared" si="0"/>
        <v>0.81652706399338437</v>
      </c>
      <c r="S11" s="126">
        <f t="array" ref="S11">SUM(IF(((Data!$R$3:$R$128&gt;$B11)*(Data!$Y$3:$Y$128="1 axis")),Data!$E$3:$E$128/1000,0))</f>
        <v>151.95543591217651</v>
      </c>
      <c r="T11">
        <f t="array" ref="T11">SUM(IF((Data!$R$3:$R$129&gt;$B11)*(Data!$Y$3:$Y$129="1 axis"),Data!$AI$3:$AI$129,0))</f>
        <v>38</v>
      </c>
      <c r="U11" s="15">
        <f t="shared" si="4"/>
        <v>0.92342537847030548</v>
      </c>
      <c r="V11" s="126">
        <f t="array" ref="V11">SUM(IF(((Data!$R$3:$R$128&gt;$B11)*(Data!$Y$3:$Y$128="2 axis")),Data!$E$3:$E$128/1000,0))</f>
        <v>4.606115706798362</v>
      </c>
      <c r="W11">
        <f t="array" ref="W11">SUM(IF((Data!$R$3:$R$129&gt;$B11)*(Data!$Y$3:$Y$129="2 axis"),Data!$AI$3:$AI$129,0))</f>
        <v>4</v>
      </c>
      <c r="X11" s="15">
        <f t="shared" si="5"/>
        <v>2.7991128545651861E-2</v>
      </c>
      <c r="Y11" s="126">
        <f t="array" ref="Y11">SUM(IF((Data!$R$3:$R$129&gt;$B11)*(Data!$Y$3:$Y$129="unknown"),Data!$E$3:$E$129/1000,0))</f>
        <v>3.5759123786604659</v>
      </c>
      <c r="Z11">
        <f t="array" ref="Z11">SUM(IF((Data!$R$3:$R$129&gt;=$B11)*(Data!$Y$3:$Y$129="unknown"),Data!$AI$3:$AI$129,0))</f>
        <v>1</v>
      </c>
      <c r="AA11" s="15">
        <f t="shared" si="6"/>
        <v>3.7981551817688551E-2</v>
      </c>
    </row>
    <row r="13" spans="1:27" x14ac:dyDescent="0.3">
      <c r="A13" t="s">
        <v>296</v>
      </c>
      <c r="C13" t="s">
        <v>215</v>
      </c>
      <c r="D13" t="s">
        <v>138</v>
      </c>
      <c r="F13" t="s">
        <v>750</v>
      </c>
      <c r="G13" t="s">
        <v>910</v>
      </c>
      <c r="I13" t="s">
        <v>911</v>
      </c>
      <c r="L13" t="s">
        <v>245</v>
      </c>
      <c r="P13" t="s">
        <v>754</v>
      </c>
      <c r="S13" t="s">
        <v>753</v>
      </c>
      <c r="V13" t="s">
        <v>139</v>
      </c>
      <c r="Y13" t="s">
        <v>245</v>
      </c>
    </row>
    <row r="14" spans="1:27" x14ac:dyDescent="0.3">
      <c r="B14" t="s">
        <v>214</v>
      </c>
      <c r="C14" t="s">
        <v>55</v>
      </c>
      <c r="D14" t="s">
        <v>56</v>
      </c>
      <c r="E14" t="s">
        <v>133</v>
      </c>
      <c r="F14" t="s">
        <v>55</v>
      </c>
      <c r="G14" t="s">
        <v>56</v>
      </c>
      <c r="H14" t="s">
        <v>133</v>
      </c>
      <c r="I14" t="s">
        <v>55</v>
      </c>
      <c r="J14" t="s">
        <v>56</v>
      </c>
      <c r="K14" t="s">
        <v>133</v>
      </c>
      <c r="L14" t="s">
        <v>55</v>
      </c>
      <c r="M14" t="s">
        <v>56</v>
      </c>
      <c r="N14" t="s">
        <v>133</v>
      </c>
      <c r="O14" t="s">
        <v>214</v>
      </c>
      <c r="P14" t="s">
        <v>55</v>
      </c>
      <c r="Q14" t="s">
        <v>56</v>
      </c>
      <c r="R14" t="s">
        <v>133</v>
      </c>
      <c r="S14" t="s">
        <v>55</v>
      </c>
      <c r="T14" t="s">
        <v>56</v>
      </c>
      <c r="U14" t="s">
        <v>133</v>
      </c>
      <c r="V14" t="s">
        <v>55</v>
      </c>
      <c r="W14" t="s">
        <v>56</v>
      </c>
      <c r="X14" t="s">
        <v>133</v>
      </c>
      <c r="Y14" t="s">
        <v>55</v>
      </c>
      <c r="Z14" t="s">
        <v>56</v>
      </c>
      <c r="AA14" t="s">
        <v>133</v>
      </c>
    </row>
    <row r="15" spans="1:27" x14ac:dyDescent="0.3">
      <c r="A15" s="12" t="str">
        <f>"&lt;"&amp;B15</f>
        <v>&lt;1</v>
      </c>
      <c r="B15" s="32">
        <v>1</v>
      </c>
      <c r="C15" s="124">
        <f t="array" ref="C15">SUM(IF((Data!$M$178:$M$242&lt;B15)*(Data!$Y$178:$Y$242="fixed"),Data!$E$178:$E$242/1000,0))</f>
        <v>0</v>
      </c>
      <c r="D15">
        <f t="array" ref="D15">SUM(IF((Data!$M$178:$M$242&lt;$B15)*(Data!$Y$178:$Y$242="fixed"),Data!$AI$178:$AI$242,0))</f>
        <v>0</v>
      </c>
      <c r="E15" s="23">
        <f>C15/SUM($C$15:$C$25)</f>
        <v>0</v>
      </c>
      <c r="F15" s="124">
        <f t="array" ref="F15">SUM(IF((Data!$M$178:$M$242&lt;$B15)*(Data!$Y$178:$Y$242="1 axis"),Data!$E$178:$E$242/1000,0))</f>
        <v>0</v>
      </c>
      <c r="G15">
        <f t="array" ref="G15">SUM(IF((Data!$M$178:$M$242&lt;$B15)*(Data!$Y$178:$Y$242="1 axis"),Data!$AI$178:$AI$242,0))</f>
        <v>0</v>
      </c>
      <c r="H15" s="23">
        <f t="array" ref="H15">F15/SUM($F$15:$F$25)</f>
        <v>0</v>
      </c>
      <c r="I15" s="124">
        <f t="array" ref="I15">SUM(IF((Data!$M$178:$M$242&lt;$B15)*(Data!$Y$178:$Y$242="2 axis"),Data!$E$178:$E$242/1000,0))</f>
        <v>0</v>
      </c>
      <c r="J15">
        <f t="array" ref="J15">SUM(IF((Data!$M$178:$M$242&lt;B15)*(Data!$Y$178:$Y$242="2 axis"),Data!$AI$178:$AI$242,0))</f>
        <v>0</v>
      </c>
      <c r="K15" s="23">
        <f t="array" ref="K15">I15/SUM($I$15:$I$25)</f>
        <v>0</v>
      </c>
      <c r="L15" s="124">
        <f t="array" ref="L15">SUM(IF((Data!$M$178:$M$242&lt;$B15)*(Data!$Y$178:$Y$242="unknown"),Data!$E$178:$E$242/1000,0))</f>
        <v>0</v>
      </c>
      <c r="M15">
        <f t="array" ref="M15">SUM(IF((Data!$M$178:$M$242&lt;$B15)*(Data!$Y$178:$Y$242="unknown"),Data!$AI$178:$AI$242,0))</f>
        <v>0</v>
      </c>
      <c r="N15" s="23">
        <f>L15/SUM($L$15:$L$25)</f>
        <v>0</v>
      </c>
      <c r="P15" s="124">
        <f t="array" ref="P15">SUM(IF((Data!$R$178:$R$242&lt;$B15)*(Data!$R$178:$R$242&gt;0)*(Data!$Y$178:$Y$242="fixed"),Data!$E$178:$E$242/1000,0))</f>
        <v>0</v>
      </c>
      <c r="Q15">
        <f t="array" ref="Q15">SUM(IF((Data!$R$178:$R$242&lt;$B15)*(Data!$R$178:$R$242&gt;0)*(Data!$Y$178:$Y$242="fixed"),Data!$AI$178:$AI$242,0))</f>
        <v>0</v>
      </c>
      <c r="R15" s="23">
        <f>P15/SUM($P$15:$P$25)</f>
        <v>0</v>
      </c>
      <c r="S15" s="124">
        <f t="array" ref="S15">SUM(IF((Data!$R$178:$R$242&lt;$B15)*(Data!$R$178:$R$242&gt;0)*(Data!$Y$178:$Y$242="1 axis"),Data!$E$178:$E$242/1000,0))</f>
        <v>0</v>
      </c>
      <c r="T15">
        <f t="array" ref="T15">SUM(IF((Data!$R$178:$R$242&lt;$B15)*(Data!$R$178:$R$242&gt;0)*(Data!$Y$178:$Y$242="1 axis"),Data!$AI$178:$AI$242,0))</f>
        <v>0</v>
      </c>
      <c r="U15" s="23">
        <f t="array" ref="U15">S15/SUM($F$15:$F$25)</f>
        <v>0</v>
      </c>
      <c r="V15" s="124">
        <f t="array" ref="V15">SUM(IF((Data!$M$178:$M$242&lt;$B15)*(Data!$R$178:$R$242&gt;0)*(Data!$Y$178:$Y$242="2 axis"),Data!$E$178:$E$242/1000,0))</f>
        <v>0</v>
      </c>
      <c r="W15">
        <f t="array" ref="W15">SUM(IF((Data!$M$178:$M$242&lt;O15)*(Data!$R$178:$R$242&gt;0)*(Data!$Y$178:$Y$242="2 axis"),Data!$AI$178:$AI$242,0))</f>
        <v>0</v>
      </c>
      <c r="X15" s="23">
        <f t="array" ref="X15">V15/SUM($I$15:$I$25)</f>
        <v>0</v>
      </c>
      <c r="Y15" s="124">
        <f t="array" ref="Y15">SUM(IF((Data!$M$178:$M$242&lt;$B15)*(Data!$R$178:$R$242&gt;0)*(Data!$Y$178:$Y$242="unknown"),Data!$E$178:$E$242/1000,0))</f>
        <v>0</v>
      </c>
      <c r="Z15">
        <f t="array" ref="Z15">SUM(IF((Data!$M$178:$M$242&lt;$B15)*(Data!$R$178:$R$242&gt;0)*(Data!$Y$178:$Y$242="unknown"),Data!$AI$178:$AI$242,0))</f>
        <v>0</v>
      </c>
      <c r="AA15" s="23">
        <f>Y15/SUM($L$15:$L$25)</f>
        <v>0</v>
      </c>
    </row>
    <row r="16" spans="1:27" x14ac:dyDescent="0.3">
      <c r="A16" s="12">
        <f>B16</f>
        <v>1.5</v>
      </c>
      <c r="B16" s="32">
        <v>1.5</v>
      </c>
      <c r="C16" s="125">
        <f t="array" ref="C16">SUM(IF((Data!$M$178:$M$242&lt;B16)*(Data!$M$178:$M$242&gt;B15)*(Data!$Y$178:$Y$242="fixed"),Data!$E$178:$E$242/1000,0))</f>
        <v>0</v>
      </c>
      <c r="D16">
        <f t="array" ref="D16">SUM(IF((Data!$M$178:$M$242&lt;$B16)*(Data!$M$178:$M$242&gt;$B15)*(Data!$Y$178:$Y$242="fixed"),Data!$AI$178:$AI$242,0))</f>
        <v>0</v>
      </c>
      <c r="E16" s="23">
        <f t="shared" ref="E16:E25" si="7">C16/SUM($C$15:$C$25)</f>
        <v>0</v>
      </c>
      <c r="F16" s="125">
        <f t="array" ref="F16">SUM(IF((Data!$M$178:$M$242&lt;$B16)*(Data!$M$178:$M$242&gt;B15)*(Data!$Y$178:$Y$242="1 axis"),Data!$E$178:$E$242/1000,0))</f>
        <v>0</v>
      </c>
      <c r="G16">
        <f t="array" ref="G16">SUM(IF((Data!$M$178:$M$242&lt;$B16)*(Data!$M$178:$M$242&gt;$B15)*(Data!$Y$178:$Y$242="1 axis"),Data!$AI$178:$AI$242,0))</f>
        <v>0</v>
      </c>
      <c r="H16" s="23">
        <f t="shared" ref="H16:H25" si="8">F16/SUM($F$15:$F$25)</f>
        <v>0</v>
      </c>
      <c r="I16" s="125">
        <f t="array" ref="I16">SUM(IF((Data!$M$178:$M$242&lt;$B16)*(Data!$M$178:$M$242&gt;$B15)*(Data!$Y$178:$Y$242="2 axis"),Data!$E$178:$E$242/1000,0))</f>
        <v>0</v>
      </c>
      <c r="J16">
        <f t="array" ref="J16">SUM(IF((Data!$M$178:$M$242&lt;$B16)*(Data!$M$178:$M$242&gt;$B15)*(Data!$Y$178:$Y$242="2 axis"),Data!$AI$178:$AI$242,0))</f>
        <v>0</v>
      </c>
      <c r="K16" s="23">
        <f t="array" ref="K16">I16/SUM($I$15:$I$25)</f>
        <v>0</v>
      </c>
      <c r="L16" s="125">
        <f t="array" ref="L16">SUM(IF((Data!$M$178:$M$242&lt;$B16)*(Data!$M$178:$M$242&gt;$B15)*(Data!$Y$178:$Y$242="unknown"),Data!$E$178:$E$242/1000,0))</f>
        <v>0</v>
      </c>
      <c r="M16">
        <f t="array" ref="M16">SUM(IF((Data!$M$178:$M$242&lt;$B16)*(Data!$M$178:$M$242&gt;$B15)*(Data!$Y$178:$Y$242="unknown"),Data!$AI$178:$AI$242,0))</f>
        <v>0</v>
      </c>
      <c r="N16" s="23">
        <f t="shared" ref="N16:N25" si="9">L16/SUM($L$15:$L$25)</f>
        <v>0</v>
      </c>
      <c r="P16" s="125">
        <f t="array" ref="P16">SUM(IF((Data!$R$178:$R$242&lt;$B16)*(Data!$R$178:$R$242&gt;$B15)*(Data!$Y$178:$Y$242="fixed"),Data!$E$178:$E$242/1000,0))</f>
        <v>0</v>
      </c>
      <c r="Q16">
        <f t="array" ref="Q16">SUM(IF((Data!$R$178:$R$242&lt;$B16)*(Data!$R$178:$R$242&gt;$B15)*(Data!$Y$178:$Y$242="fixed"),Data!$AI$178:$AI$242,0))</f>
        <v>0</v>
      </c>
      <c r="R16" s="23">
        <f t="shared" ref="R16:R25" si="10">P16/SUM($P$15:$P$25)</f>
        <v>0</v>
      </c>
      <c r="S16" s="125">
        <f t="array" ref="S16">SUM(IF((Data!$R$178:$R$242&lt;$B16)*(Data!$R$178:$R$242&gt;$B15)*(Data!$Y$178:$Y$242="1 axis"),Data!$E$178:$E$242/1000,0))</f>
        <v>0</v>
      </c>
      <c r="T16">
        <f t="array" ref="T16">SUM(IF((Data!$R$178:$R$242&lt;$B16)*(Data!$R$178:$R$242&gt;$B15)*(Data!$Y$178:$Y$242="1 axis"),Data!$AI$178:$AI$242,0))</f>
        <v>0</v>
      </c>
      <c r="U16" s="23">
        <f t="shared" ref="U16:U25" si="11">S16/SUM($F$15:$F$25)</f>
        <v>0</v>
      </c>
      <c r="V16" s="125">
        <f t="array" ref="V16">SUM(IF((Data!$M$178:$M$242&lt;$B16)*(Data!$M$178:$M$242&gt;$B15)*(Data!$Y$178:$Y$242="2 axis"),Data!$E$178:$E$242/1000,0))</f>
        <v>0</v>
      </c>
      <c r="W16">
        <f t="array" ref="W16">SUM(IF((Data!$M$178:$M$242&lt;$B16)*(Data!$M$178:$M$242&gt;$B15)*(Data!$Y$178:$Y$242="2 axis"),Data!$AI$178:$AI$242,0))</f>
        <v>0</v>
      </c>
      <c r="X16" s="23">
        <f t="array" ref="X16">V16/SUM($I$15:$I$25)</f>
        <v>0</v>
      </c>
      <c r="Y16" s="125">
        <f t="array" ref="Y16">SUM(IF((Data!$M$178:$M$242&lt;$B16)*(Data!$M$178:$M$242&gt;$B15)*(Data!$Y$178:$Y$242="unknown"),Data!$E$178:$E$242/1000,0))</f>
        <v>0</v>
      </c>
      <c r="Z16">
        <f t="array" ref="Z16">SUM(IF((Data!$M$178:$M$242&lt;$B16)*(Data!$M$178:$M$242&gt;$B15)*(Data!$Y$178:$Y$242="unknown"),Data!$AI$178:$AI$242,0))</f>
        <v>0</v>
      </c>
      <c r="AA16" s="23">
        <f t="shared" ref="AA16:AA25" si="12">Y16/SUM($L$15:$L$25)</f>
        <v>0</v>
      </c>
    </row>
    <row r="17" spans="1:27" x14ac:dyDescent="0.3">
      <c r="A17" s="12" t="s">
        <v>913</v>
      </c>
      <c r="B17" s="32">
        <v>2</v>
      </c>
      <c r="C17" s="125">
        <f t="array" ref="C17">SUM(IF((Data!$M$178:$M$242&lt;B17)*(Data!$M$178:$M$242&gt;B16)*(Data!$Y$178:$Y$242="fixed"),Data!$E$178:$E$242/1000,0))</f>
        <v>0</v>
      </c>
      <c r="D17">
        <f t="array" ref="D17">SUM(IF((Data!$M$178:$M$242&lt;$B17)*(Data!$M$178:$M$242&gt;$B16)*(Data!$Y$178:$Y$242="fixed"),Data!$AI$178:$AI$242,0))</f>
        <v>0</v>
      </c>
      <c r="E17" s="23">
        <f t="shared" si="7"/>
        <v>0</v>
      </c>
      <c r="F17" s="125">
        <f t="array" ref="F17">SUM(IF((Data!$M$178:$M$242&lt;$B17)*(Data!$M$178:$M$242&gt;B16)*(Data!$Y$178:$Y$242="1 axis"),Data!$E$178:$E$242/1000,0))</f>
        <v>0</v>
      </c>
      <c r="G17">
        <f t="array" ref="G17">SUM(IF((Data!$M$178:$M$242&lt;$B17)*(Data!$M$178:$M$242&gt;$B16)*(Data!$Y$178:$Y$242="1 axis"),Data!$AI$178:$AI$242,0))</f>
        <v>0</v>
      </c>
      <c r="H17" s="23">
        <f t="shared" si="8"/>
        <v>0</v>
      </c>
      <c r="I17" s="125">
        <f t="array" ref="I17">SUM(IF((Data!$M$178:$M$242&lt;$B17)*(Data!$M$178:$M$242&gt;$B16)*(Data!$Y$178:$Y$242="2 axis"),Data!$E$178:$E$242/1000,0))</f>
        <v>0</v>
      </c>
      <c r="J17">
        <f t="array" ref="J17">SUM(IF((Data!$M$178:$M$242&lt;$B17)*(Data!$M$178:$M$242&gt;$B16)*(Data!$Y$178:$Y$242="2 axis"),Data!$AI$178:$AI$242,0))</f>
        <v>0</v>
      </c>
      <c r="K17" s="23">
        <f t="array" ref="K17">I17/SUM($I$15:$I$25)</f>
        <v>0</v>
      </c>
      <c r="L17" s="125">
        <f t="array" ref="L17">SUM(IF((Data!$M$178:$M$242&lt;$B17)*(Data!$M$178:$M$242&gt;$B16)*(Data!$Y$178:$Y$242="unknown"),Data!$E$178:$E$242/1000,0))</f>
        <v>0</v>
      </c>
      <c r="M17">
        <f t="array" ref="M17">SUM(IF((Data!$M$178:$M$242&lt;$B17)*(Data!$M$178:$M$242&gt;$B16)*(Data!$Y$178:$Y$242="unknown"),Data!$AI$178:$AI$242,0))</f>
        <v>0</v>
      </c>
      <c r="N17" s="23">
        <f t="shared" si="9"/>
        <v>0</v>
      </c>
      <c r="P17" s="125">
        <f t="array" ref="P17">SUM(IF((Data!$R$178:$R$242&lt;$B17)*(Data!$R$178:$R$242&gt;$B16)*(Data!$Y$178:$Y$242="fixed"),Data!$E$178:$E$242/1000,0))</f>
        <v>0</v>
      </c>
      <c r="Q17">
        <f t="array" ref="Q17">SUM(IF((Data!$R$178:$R$242&lt;$B17)*(Data!$R$178:$R$242&gt;$B16)*(Data!$Y$178:$Y$242="fixed"),Data!$AI$178:$AI$242,0))</f>
        <v>0</v>
      </c>
      <c r="R17" s="23">
        <f t="shared" si="10"/>
        <v>0</v>
      </c>
      <c r="S17" s="125">
        <f t="array" ref="S17">SUM(IF((Data!$R$178:$R$242&lt;$B17)*(Data!$R$178:$R$242&gt;$B16)*(Data!$Y$178:$Y$242="1 axis"),Data!$E$178:$E$242/1000,0))</f>
        <v>0</v>
      </c>
      <c r="T17">
        <f t="array" ref="T17">SUM(IF((Data!$R$178:$R$242&lt;$B17)*(Data!$R$178:$R$242&gt;$B16)*(Data!$Y$178:$Y$242="1 axis"),Data!$AI$178:$AI$242,0))</f>
        <v>0</v>
      </c>
      <c r="U17" s="23">
        <f t="shared" si="11"/>
        <v>0</v>
      </c>
      <c r="V17" s="125">
        <f t="array" ref="V17">SUM(IF((Data!$M$178:$M$242&lt;$B17)*(Data!$M$178:$M$242&gt;$B16)*(Data!$Y$178:$Y$242="2 axis"),Data!$E$178:$E$242/1000,0))</f>
        <v>0</v>
      </c>
      <c r="W17">
        <f t="array" ref="W17">SUM(IF((Data!$M$178:$M$242&lt;$B17)*(Data!$M$178:$M$242&gt;$B16)*(Data!$Y$178:$Y$242="2 axis"),Data!$AI$178:$AI$242,0))</f>
        <v>0</v>
      </c>
      <c r="X17" s="23">
        <f t="array" ref="X17">V17/SUM($I$15:$I$25)</f>
        <v>0</v>
      </c>
      <c r="Y17" s="125">
        <f t="array" ref="Y17">SUM(IF((Data!$M$178:$M$242&lt;$B17)*(Data!$M$178:$M$242&gt;$B16)*(Data!$Y$178:$Y$242="unknown"),Data!$E$178:$E$242/1000,0))</f>
        <v>0</v>
      </c>
      <c r="Z17">
        <f t="array" ref="Z17">SUM(IF((Data!$M$178:$M$242&lt;$B17)*(Data!$M$178:$M$242&gt;$B16)*(Data!$Y$178:$Y$242="unknown"),Data!$AI$178:$AI$242,0))</f>
        <v>0</v>
      </c>
      <c r="AA17" s="23">
        <f t="shared" si="12"/>
        <v>0</v>
      </c>
    </row>
    <row r="18" spans="1:27" x14ac:dyDescent="0.3">
      <c r="A18" s="12">
        <f t="shared" ref="A18:A23" si="13">B18</f>
        <v>2.5</v>
      </c>
      <c r="B18" s="32">
        <v>2.5</v>
      </c>
      <c r="C18" s="125">
        <f t="array" ref="C18">SUM(IF((Data!$M$178:$M$242&lt;B18)*(Data!$M$178:$M$242&gt;B17)*(Data!$Y$178:$Y$242="fixed"),Data!$E$178:$E$242/1000,0))</f>
        <v>0</v>
      </c>
      <c r="D18">
        <f t="array" ref="D18">SUM(IF((Data!$M$178:$M$242&lt;$B18)*(Data!$M$178:$M$242&gt;$B17)*(Data!$Y$178:$Y$242="fixed"),Data!$AI$178:$AI$242,0))</f>
        <v>0</v>
      </c>
      <c r="E18" s="23">
        <f t="shared" si="7"/>
        <v>0</v>
      </c>
      <c r="F18" s="125">
        <f t="array" ref="F18">SUM(IF((Data!$M$178:$M$242&lt;$B18)*(Data!$M$178:$M$242&gt;B17)*(Data!$Y$178:$Y$242="1 axis"),Data!$E$178:$E$242/1000,0))</f>
        <v>0</v>
      </c>
      <c r="G18">
        <f t="array" ref="G18">SUM(IF((Data!$M$178:$M$242&lt;$B18)*(Data!$M$178:$M$242&gt;$B17)*(Data!$Y$178:$Y$242="1 axis"),Data!$AI$178:$AI$242,0))</f>
        <v>0</v>
      </c>
      <c r="H18" s="23">
        <f t="shared" si="8"/>
        <v>0</v>
      </c>
      <c r="I18" s="125">
        <f t="array" ref="I18">SUM(IF((Data!$M$178:$M$242&lt;$B18)*(Data!$M$178:$M$242&gt;$B17)*(Data!$Y$178:$Y$242="2 axis"),Data!$E$178:$E$242/1000,0))</f>
        <v>0</v>
      </c>
      <c r="J18">
        <f t="array" ref="J18">SUM(IF((Data!$M$178:$M$242&lt;$B18)*(Data!$M$178:$M$242&gt;$B17)*(Data!$Y$178:$Y$242="2 axis"),Data!$AI$178:$AI$242,0))</f>
        <v>0</v>
      </c>
      <c r="K18" s="23">
        <f t="array" ref="K18">I18/SUM($I$15:$I$25)</f>
        <v>0</v>
      </c>
      <c r="L18" s="125">
        <f t="array" ref="L18">SUM(IF((Data!$M$178:$M$242&lt;$B18)*(Data!$M$178:$M$242&gt;$B17)*(Data!$Y$178:$Y$242="unknown"),Data!$E$178:$E$242/1000,0))</f>
        <v>0</v>
      </c>
      <c r="M18">
        <f t="array" ref="M18">SUM(IF((Data!$M$178:$M$242&lt;$B18)*(Data!$M$178:$M$242&gt;$B17)*(Data!$Y$178:$Y$242="unknown"),Data!$AI$178:$AI$242,0))</f>
        <v>0</v>
      </c>
      <c r="N18" s="23">
        <f t="shared" si="9"/>
        <v>0</v>
      </c>
      <c r="P18" s="125">
        <f t="array" ref="P18">SUM(IF((Data!$R$178:$R$242&lt;$B18)*(Data!$R$178:$R$242&gt;$B17)*(Data!$Y$178:$Y$242="fixed"),Data!$E$178:$E$242/1000,0))</f>
        <v>0</v>
      </c>
      <c r="Q18">
        <f t="array" ref="Q18">SUM(IF((Data!$R$178:$R$242&lt;$B18)*(Data!$R$178:$R$242&gt;$B17)*(Data!$Y$178:$Y$242="fixed"),Data!$AI$178:$AI$242,0))</f>
        <v>0</v>
      </c>
      <c r="R18" s="23">
        <f t="shared" si="10"/>
        <v>0</v>
      </c>
      <c r="S18" s="125">
        <f t="array" ref="S18">SUM(IF((Data!$R$178:$R$242&lt;$B18)*(Data!$R$178:$R$242&gt;$B17)*(Data!$Y$178:$Y$242="1 axis"),Data!$E$178:$E$242/1000,0))</f>
        <v>0</v>
      </c>
      <c r="T18">
        <f t="array" ref="T18">SUM(IF((Data!$R$178:$R$242&lt;$B18)*(Data!$R$178:$R$242&gt;$B17)*(Data!$Y$178:$Y$242="1 axis"),Data!$AI$178:$AI$242,0))</f>
        <v>0</v>
      </c>
      <c r="U18" s="23">
        <f t="shared" si="11"/>
        <v>0</v>
      </c>
      <c r="V18" s="125">
        <f t="array" ref="V18">SUM(IF((Data!$M$178:$M$242&lt;$B18)*(Data!$M$178:$M$242&gt;$B17)*(Data!$Y$178:$Y$242="2 axis"),Data!$E$178:$E$242/1000,0))</f>
        <v>0</v>
      </c>
      <c r="W18">
        <f t="array" ref="W18">SUM(IF((Data!$M$178:$M$242&lt;$B18)*(Data!$M$178:$M$242&gt;$B17)*(Data!$Y$178:$Y$242="2 axis"),Data!$AI$178:$AI$242,0))</f>
        <v>0</v>
      </c>
      <c r="X18" s="23">
        <f t="array" ref="X18">V18/SUM($I$15:$I$25)</f>
        <v>0</v>
      </c>
      <c r="Y18" s="125">
        <f t="array" ref="Y18">SUM(IF((Data!$M$178:$M$242&lt;$B18)*(Data!$M$178:$M$242&gt;$B17)*(Data!$Y$178:$Y$242="unknown"),Data!$E$178:$E$242/1000,0))</f>
        <v>0</v>
      </c>
      <c r="Z18">
        <f t="array" ref="Z18">SUM(IF((Data!$M$178:$M$242&lt;$B18)*(Data!$M$178:$M$242&gt;$B17)*(Data!$Y$178:$Y$242="unknown"),Data!$AI$178:$AI$242,0))</f>
        <v>0</v>
      </c>
      <c r="AA18" s="23">
        <f t="shared" si="12"/>
        <v>0</v>
      </c>
    </row>
    <row r="19" spans="1:27" x14ac:dyDescent="0.3">
      <c r="A19" s="12">
        <f t="shared" si="13"/>
        <v>3</v>
      </c>
      <c r="B19" s="32">
        <v>3</v>
      </c>
      <c r="C19" s="125">
        <f t="array" ref="C19">SUM(IF((Data!$M$178:$M$242&lt;B19)*(Data!$M$178:$M$242&gt;B18)*(Data!$Y$178:$Y$242="fixed"),Data!$E$178:$E$242/1000,0))</f>
        <v>0</v>
      </c>
      <c r="D19">
        <f t="array" ref="D19">SUM(IF((Data!$M$178:$M$242&lt;$B19)*(Data!$M$178:$M$242&gt;$B18)*(Data!$Y$178:$Y$242="fixed"),Data!$AI$178:$AI$242,0))</f>
        <v>0</v>
      </c>
      <c r="E19" s="23">
        <f t="shared" si="7"/>
        <v>0</v>
      </c>
      <c r="F19" s="125">
        <f t="array" ref="F19">SUM(IF((Data!$M$178:$M$242&lt;$B19)*(Data!$M$178:$M$242&gt;B18)*(Data!$Y$178:$Y$242="1 axis"),Data!$E$178:$E$242/1000,0))</f>
        <v>0</v>
      </c>
      <c r="G19">
        <f t="array" ref="G19">SUM(IF((Data!$M$178:$M$242&lt;$B19)*(Data!$M$178:$M$242&gt;$B18)*(Data!$Y$178:$Y$242="1 axis"),Data!$AI$178:$AI$242,0))</f>
        <v>0</v>
      </c>
      <c r="H19" s="23">
        <f t="shared" si="8"/>
        <v>0</v>
      </c>
      <c r="I19" s="125">
        <f t="array" ref="I19">SUM(IF((Data!$M$178:$M$242&lt;$B19)*(Data!$M$178:$M$242&gt;$B18)*(Data!$Y$178:$Y$242="2 axis"),Data!$E$178:$E$242/1000,0))</f>
        <v>0</v>
      </c>
      <c r="J19">
        <f t="array" ref="J19">SUM(IF((Data!$M$178:$M$242&lt;$B19)*(Data!$M$178:$M$242&gt;$B18)*(Data!$Y$178:$Y$242="2 axis"),Data!$AI$178:$AI$242,0))</f>
        <v>0</v>
      </c>
      <c r="K19" s="23">
        <f t="array" ref="K19">I19/SUM($I$15:$I$25)</f>
        <v>0</v>
      </c>
      <c r="L19" s="125">
        <f t="array" ref="L19">SUM(IF((Data!$M$178:$M$242&lt;$B19)*(Data!$M$178:$M$242&gt;$B18)*(Data!$Y$178:$Y$242="unknown"),Data!$E$178:$E$242/1000,0))</f>
        <v>0</v>
      </c>
      <c r="M19">
        <f t="array" ref="M19">SUM(IF((Data!$M$178:$M$242&lt;$B19)*(Data!$M$178:$M$242&gt;$B18)*(Data!$Y$178:$Y$242="unknown"),Data!$AI$178:$AI$242,0))</f>
        <v>0</v>
      </c>
      <c r="N19" s="23">
        <f t="shared" si="9"/>
        <v>0</v>
      </c>
      <c r="P19" s="125">
        <f t="array" ref="P19">SUM(IF((Data!$R$178:$R$242&lt;$B19)*(Data!$R$178:$R$242&gt;$B18)*(Data!$Y$178:$Y$242="fixed"),Data!$E$178:$E$242/1000,0))</f>
        <v>0</v>
      </c>
      <c r="Q19">
        <f t="array" ref="Q19">SUM(IF((Data!$R$178:$R$242&lt;$B19)*(Data!$R$178:$R$242&gt;$B18)*(Data!$Y$178:$Y$242="fixed"),Data!$AI$178:$AI$242,0))</f>
        <v>0</v>
      </c>
      <c r="R19" s="23">
        <f t="shared" si="10"/>
        <v>0</v>
      </c>
      <c r="S19" s="125">
        <f t="array" ref="S19">SUM(IF((Data!$R$178:$R$242&lt;$B19)*(Data!$R$178:$R$242&gt;$B18)*(Data!$Y$178:$Y$242="1 axis"),Data!$E$178:$E$242/1000,0))</f>
        <v>0</v>
      </c>
      <c r="T19">
        <f t="array" ref="T19">SUM(IF((Data!$R$178:$R$242&lt;$B19)*(Data!$R$178:$R$242&gt;$B18)*(Data!$Y$178:$Y$242="1 axis"),Data!$AI$178:$AI$242,0))</f>
        <v>0</v>
      </c>
      <c r="U19" s="23">
        <f t="shared" si="11"/>
        <v>0</v>
      </c>
      <c r="V19" s="125">
        <f t="array" ref="V19">SUM(IF((Data!$M$178:$M$242&lt;$B19)*(Data!$M$178:$M$242&gt;$B18)*(Data!$Y$178:$Y$242="2 axis"),Data!$E$178:$E$242/1000,0))</f>
        <v>0</v>
      </c>
      <c r="W19">
        <f t="array" ref="W19">SUM(IF((Data!$M$178:$M$242&lt;$B19)*(Data!$M$178:$M$242&gt;$B18)*(Data!$Y$178:$Y$242="2 axis"),Data!$AI$178:$AI$242,0))</f>
        <v>0</v>
      </c>
      <c r="X19" s="23">
        <f t="array" ref="X19">V19/SUM($I$15:$I$25)</f>
        <v>0</v>
      </c>
      <c r="Y19" s="125">
        <f t="array" ref="Y19">SUM(IF((Data!$M$178:$M$242&lt;$B19)*(Data!$M$178:$M$242&gt;$B18)*(Data!$Y$178:$Y$242="unknown"),Data!$E$178:$E$242/1000,0))</f>
        <v>0</v>
      </c>
      <c r="Z19">
        <f t="array" ref="Z19">SUM(IF((Data!$M$178:$M$242&lt;$B19)*(Data!$M$178:$M$242&gt;$B18)*(Data!$Y$178:$Y$242="unknown"),Data!$AI$178:$AI$242,0))</f>
        <v>0</v>
      </c>
      <c r="AA19" s="23">
        <f t="shared" si="12"/>
        <v>0</v>
      </c>
    </row>
    <row r="20" spans="1:27" x14ac:dyDescent="0.3">
      <c r="A20" s="12">
        <f t="shared" si="13"/>
        <v>3.5</v>
      </c>
      <c r="B20" s="32">
        <v>3.5</v>
      </c>
      <c r="C20" s="125">
        <f t="array" ref="C20">SUM(IF((Data!$M$178:$M$242&lt;B20)*(Data!$M$178:$M$242&gt;B19)*(Data!$Y$178:$Y$242="fixed"),Data!$E$178:$E$242/1000,0))</f>
        <v>0</v>
      </c>
      <c r="D20">
        <f t="array" ref="D20">SUM(IF((Data!$M$178:$M$242&lt;$B20)*(Data!$M$178:$M$242&gt;$B19)*(Data!$Y$178:$Y$242="fixed"),Data!$AI$178:$AI$242,0))</f>
        <v>0</v>
      </c>
      <c r="E20" s="23">
        <f t="shared" si="7"/>
        <v>0</v>
      </c>
      <c r="F20" s="125">
        <f t="array" ref="F20">SUM(IF((Data!$M$178:$M$242&lt;$B20)*(Data!$M$178:$M$242&gt;B19)*(Data!$Y$178:$Y$242="1 axis"),Data!$E$178:$E$242/1000,0))</f>
        <v>0</v>
      </c>
      <c r="G20">
        <f t="array" ref="G20">SUM(IF((Data!$M$178:$M$242&lt;$B20)*(Data!$M$178:$M$242&gt;$B19)*(Data!$Y$178:$Y$242="1 axis"),Data!$AI$178:$AI$242,0))</f>
        <v>0</v>
      </c>
      <c r="H20" s="23">
        <f t="shared" si="8"/>
        <v>0</v>
      </c>
      <c r="I20" s="125">
        <f t="array" ref="I20">SUM(IF((Data!$M$178:$M$242&lt;$B20)*(Data!$M$178:$M$242&gt;$B19)*(Data!$Y$178:$Y$242="2 axis"),Data!$E$178:$E$242/1000,0))</f>
        <v>0</v>
      </c>
      <c r="J20">
        <f t="array" ref="J20">SUM(IF((Data!$M$178:$M$242&lt;$B20)*(Data!$M$178:$M$242&gt;$B19)*(Data!$Y$178:$Y$242="2 axis"),Data!$AI$178:$AI$242,0))</f>
        <v>0</v>
      </c>
      <c r="K20" s="23">
        <f t="array" ref="K20">I20/SUM($I$15:$I$25)</f>
        <v>0</v>
      </c>
      <c r="L20" s="125">
        <f t="array" ref="L20">SUM(IF((Data!$M$178:$M$242&lt;$B20)*(Data!$M$178:$M$242&gt;$B19)*(Data!$Y$178:$Y$242="unknown"),Data!$E$178:$E$242/1000,0))</f>
        <v>0</v>
      </c>
      <c r="M20">
        <f t="array" ref="M20">SUM(IF((Data!$M$178:$M$242&lt;$B20)*(Data!$M$178:$M$242&gt;$B19)*(Data!$Y$178:$Y$242="unknown"),Data!$AI$178:$AI$242,0))</f>
        <v>0</v>
      </c>
      <c r="N20" s="23">
        <f t="shared" si="9"/>
        <v>0</v>
      </c>
      <c r="P20" s="125">
        <f t="array" ref="P20">SUM(IF((Data!$R$178:$R$242&lt;$B20)*(Data!$R$178:$R$242&gt;$B19)*(Data!$Y$178:$Y$242="fixed"),Data!$E$178:$E$242/1000,0))</f>
        <v>0</v>
      </c>
      <c r="Q20">
        <f t="array" ref="Q20">SUM(IF((Data!$R$178:$R$242&lt;$B20)*(Data!$R$178:$R$242&gt;$B19)*(Data!$Y$178:$Y$242="fixed"),Data!$AI$178:$AI$242,0))</f>
        <v>0</v>
      </c>
      <c r="R20" s="23">
        <f t="shared" si="10"/>
        <v>0</v>
      </c>
      <c r="S20" s="125">
        <f t="array" ref="S20">SUM(IF((Data!$R$178:$R$242&lt;$B20)*(Data!$R$178:$R$242&gt;$B19)*(Data!$Y$178:$Y$242="1 axis"),Data!$E$178:$E$242/1000,0))</f>
        <v>0</v>
      </c>
      <c r="T20">
        <f t="array" ref="T20">SUM(IF((Data!$R$178:$R$242&lt;$B20)*(Data!$R$178:$R$242&gt;$B19)*(Data!$Y$178:$Y$242="1 axis"),Data!$AI$178:$AI$242,0))</f>
        <v>0</v>
      </c>
      <c r="U20" s="23">
        <f t="shared" si="11"/>
        <v>0</v>
      </c>
      <c r="V20" s="125">
        <f t="array" ref="V20">SUM(IF((Data!$M$178:$M$242&lt;$B20)*(Data!$M$178:$M$242&gt;$B19)*(Data!$Y$178:$Y$242="2 axis"),Data!$E$178:$E$242/1000,0))</f>
        <v>0</v>
      </c>
      <c r="W20">
        <f t="array" ref="W20">SUM(IF((Data!$M$178:$M$242&lt;$B20)*(Data!$M$178:$M$242&gt;$B19)*(Data!$Y$178:$Y$242="2 axis"),Data!$AI$178:$AI$242,0))</f>
        <v>0</v>
      </c>
      <c r="X20" s="23">
        <f t="array" ref="X20">V20/SUM($I$15:$I$25)</f>
        <v>0</v>
      </c>
      <c r="Y20" s="125">
        <f t="array" ref="Y20">SUM(IF((Data!$M$178:$M$242&lt;$B20)*(Data!$M$178:$M$242&gt;$B19)*(Data!$Y$178:$Y$242="unknown"),Data!$E$178:$E$242/1000,0))</f>
        <v>0</v>
      </c>
      <c r="Z20">
        <f t="array" ref="Z20">SUM(IF((Data!$M$178:$M$242&lt;$B20)*(Data!$M$178:$M$242&gt;$B19)*(Data!$Y$178:$Y$242="unknown"),Data!$AI$178:$AI$242,0))</f>
        <v>0</v>
      </c>
      <c r="AA20" s="23">
        <f t="shared" si="12"/>
        <v>0</v>
      </c>
    </row>
    <row r="21" spans="1:27" x14ac:dyDescent="0.3">
      <c r="A21" s="12">
        <f t="shared" si="13"/>
        <v>4</v>
      </c>
      <c r="B21" s="32">
        <v>4</v>
      </c>
      <c r="C21" s="125">
        <f t="array" ref="C21">SUM(IF((Data!$M$178:$M$242&lt;B21)*(Data!$M$178:$M$242&gt;B20)*(Data!$Y$178:$Y$242="fixed"),Data!$E$178:$E$242/1000,0))</f>
        <v>0</v>
      </c>
      <c r="D21">
        <f t="array" ref="D21">SUM(IF((Data!$M$178:$M$242&lt;$B21)*(Data!$M$178:$M$242&gt;$B20)*(Data!$Y$178:$Y$242="fixed"),Data!$AI$178:$AI$242,0))</f>
        <v>0</v>
      </c>
      <c r="E21" s="23">
        <f t="shared" si="7"/>
        <v>0</v>
      </c>
      <c r="F21" s="125">
        <f t="array" ref="F21">SUM(IF((Data!$M$178:$M$242&lt;$B21)*(Data!$M$178:$M$242&gt;B20)*(Data!$Y$178:$Y$242="1 axis"),Data!$E$178:$E$242/1000,0))</f>
        <v>0</v>
      </c>
      <c r="G21">
        <f t="array" ref="G21">SUM(IF((Data!$M$178:$M$242&lt;$B21)*(Data!$M$178:$M$242&gt;$B20)*(Data!$Y$178:$Y$242="1 axis"),Data!$AI$178:$AI$242,0))</f>
        <v>0</v>
      </c>
      <c r="H21" s="23">
        <f t="shared" si="8"/>
        <v>0</v>
      </c>
      <c r="I21" s="125">
        <f t="array" ref="I21">SUM(IF((Data!$M$178:$M$242&lt;$B21)*(Data!$M$178:$M$242&gt;$B20)*(Data!$Y$178:$Y$242="2 axis"),Data!$E$178:$E$242/1000,0))</f>
        <v>0</v>
      </c>
      <c r="J21">
        <f t="array" ref="J21">SUM(IF((Data!$M$178:$M$242&lt;$B21)*(Data!$M$178:$M$242&gt;$B20)*(Data!$Y$178:$Y$242="2 axis"),Data!$AI$178:$AI$242,0))</f>
        <v>0</v>
      </c>
      <c r="K21" s="23">
        <f t="array" ref="K21">I21/SUM($I$15:$I$25)</f>
        <v>0</v>
      </c>
      <c r="L21" s="125">
        <f t="array" ref="L21">SUM(IF((Data!$M$178:$M$242&lt;$B21)*(Data!$M$178:$M$242&gt;$B20)*(Data!$Y$178:$Y$242="unknown"),Data!$E$178:$E$242/1000,0))</f>
        <v>42.570385460243642</v>
      </c>
      <c r="M21">
        <f t="array" ref="M21">SUM(IF((Data!$M$178:$M$242&lt;$B21)*(Data!$M$178:$M$242&gt;$B20)*(Data!$Y$178:$Y$242="unknown"),Data!$AI$178:$AI$242,0))</f>
        <v>1</v>
      </c>
      <c r="N21" s="23">
        <f t="shared" si="9"/>
        <v>8.7002183525558153E-3</v>
      </c>
      <c r="P21" s="125">
        <f t="array" ref="P21">SUM(IF((Data!$R$178:$R$242&lt;$B21)*(Data!$R$178:$R$242&gt;$B20)*(Data!$Y$178:$Y$242="fixed"),Data!$E$178:$E$242/1000,0))</f>
        <v>0</v>
      </c>
      <c r="Q21">
        <f t="array" ref="Q21">SUM(IF((Data!$R$178:$R$242&lt;$B21)*(Data!$R$178:$R$242&gt;$B20)*(Data!$Y$178:$Y$242="fixed"),Data!$AI$178:$AI$242,0))</f>
        <v>0</v>
      </c>
      <c r="R21" s="23">
        <f t="shared" si="10"/>
        <v>0</v>
      </c>
      <c r="S21" s="125">
        <f t="array" ref="S21">SUM(IF((Data!$R$178:$R$242&lt;$B21)*(Data!$R$178:$R$242&gt;$B20)*(Data!$Y$178:$Y$242="1 axis"),Data!$E$178:$E$242/1000,0))</f>
        <v>0</v>
      </c>
      <c r="T21">
        <f t="array" ref="T21">SUM(IF((Data!$R$178:$R$242&lt;$B21)*(Data!$R$178:$R$242&gt;$B20)*(Data!$Y$178:$Y$242="1 axis"),Data!$AI$178:$AI$242,0))</f>
        <v>0</v>
      </c>
      <c r="U21" s="23">
        <f t="shared" si="11"/>
        <v>0</v>
      </c>
      <c r="V21" s="125">
        <f t="array" ref="V21">SUM(IF((Data!$M$178:$M$242&lt;$B21)*(Data!$M$178:$M$242&gt;$B20)*(Data!$Y$178:$Y$242="2 axis"),Data!$E$178:$E$242/1000,0))</f>
        <v>0</v>
      </c>
      <c r="W21">
        <f t="array" ref="W21">SUM(IF((Data!$M$178:$M$242&lt;$B21)*(Data!$M$178:$M$242&gt;$B20)*(Data!$Y$178:$Y$242="2 axis"),Data!$AI$178:$AI$242,0))</f>
        <v>0</v>
      </c>
      <c r="X21" s="23">
        <f t="array" ref="X21">V21/SUM($I$15:$I$25)</f>
        <v>0</v>
      </c>
      <c r="Y21" s="125">
        <f t="array" ref="Y21">SUM(IF((Data!$M$178:$M$242&lt;$B21)*(Data!$M$178:$M$242&gt;$B20)*(Data!$Y$178:$Y$242="unknown"),Data!$E$178:$E$242/1000,0))</f>
        <v>42.570385460243642</v>
      </c>
      <c r="Z21">
        <f t="array" ref="Z21">SUM(IF((Data!$M$178:$M$242&lt;$B21)*(Data!$M$178:$M$242&gt;$B20)*(Data!$Y$178:$Y$242="unknown"),Data!$AI$178:$AI$242,0))</f>
        <v>1</v>
      </c>
      <c r="AA21" s="23">
        <f t="shared" si="12"/>
        <v>8.7002183525558153E-3</v>
      </c>
    </row>
    <row r="22" spans="1:27" x14ac:dyDescent="0.3">
      <c r="A22" s="12">
        <f t="shared" si="13"/>
        <v>4.5</v>
      </c>
      <c r="B22" s="32">
        <v>4.5</v>
      </c>
      <c r="C22" s="125">
        <f t="array" ref="C22">SUM(IF((Data!$M$178:$M$242&lt;B22)*(Data!$M$178:$M$242&gt;B21)*(Data!$Y$178:$Y$242="fixed"),Data!$E$178:$E$242/1000,0))</f>
        <v>34.056308368194912</v>
      </c>
      <c r="D22">
        <f t="array" ref="D22">SUM(IF((Data!$M$178:$M$242&lt;$B22)*(Data!$M$178:$M$242&gt;$B21)*(Data!$Y$178:$Y$242="fixed"),Data!$AI$178:$AI$242,0))</f>
        <v>1</v>
      </c>
      <c r="E22" s="23">
        <f t="shared" si="7"/>
        <v>1.9396418827705746E-2</v>
      </c>
      <c r="F22" s="125">
        <f t="array" ref="F22">SUM(IF((Data!$M$178:$M$242&lt;$B22)*(Data!$M$178:$M$242&gt;B21)*(Data!$Y$178:$Y$242="1 axis"),Data!$E$178:$E$242/1000,0))</f>
        <v>0</v>
      </c>
      <c r="G22">
        <f t="array" ref="G22">SUM(IF((Data!$M$178:$M$242&lt;$B22)*(Data!$M$178:$M$242&gt;$B21)*(Data!$Y$178:$Y$242="1 axis"),Data!$AI$178:$AI$242,0))</f>
        <v>0</v>
      </c>
      <c r="H22" s="23">
        <f t="shared" si="8"/>
        <v>0</v>
      </c>
      <c r="I22" s="125">
        <f t="array" ref="I22">SUM(IF((Data!$M$178:$M$242&lt;$B22)*(Data!$M$178:$M$242&gt;$B21)*(Data!$Y$178:$Y$242="2 axis"),Data!$E$178:$E$242/1000,0))</f>
        <v>0</v>
      </c>
      <c r="J22">
        <f t="array" ref="J22">SUM(IF((Data!$M$178:$M$242&lt;$B22)*(Data!$M$178:$M$242&gt;$B21)*(Data!$Y$178:$Y$242="2 axis"),Data!$AI$178:$AI$242,0))</f>
        <v>0</v>
      </c>
      <c r="K22" s="23">
        <f t="array" ref="K22">I22/SUM($I$15:$I$25)</f>
        <v>0</v>
      </c>
      <c r="L22" s="125">
        <f t="array" ref="L22">SUM(IF((Data!$M$178:$M$242&lt;$B22)*(Data!$M$178:$M$242&gt;$B21)*(Data!$Y$178:$Y$242="unknown"),Data!$E$178:$E$242/1000,0))</f>
        <v>70</v>
      </c>
      <c r="M22">
        <f t="array" ref="M22">SUM(IF((Data!$M$178:$M$242&lt;$B22)*(Data!$M$178:$M$242&gt;$B21)*(Data!$Y$178:$Y$242="unknown"),Data!$AI$178:$AI$242,0))</f>
        <v>1</v>
      </c>
      <c r="N22" s="23">
        <f t="shared" si="9"/>
        <v>1.4306078699890199E-2</v>
      </c>
      <c r="P22" s="125">
        <f t="array" ref="P22">SUM(IF((Data!$R$178:$R$242&lt;$B22)*(Data!$R$178:$R$242&gt;$B21)*(Data!$Y$178:$Y$242="fixed"),Data!$E$178:$E$242/1000,0))</f>
        <v>18</v>
      </c>
      <c r="Q22">
        <f t="array" ref="Q22">SUM(IF((Data!$R$178:$R$242&lt;$B22)*(Data!$R$178:$R$242&gt;$B21)*(Data!$Y$178:$Y$242="fixed"),Data!$AI$178:$AI$242,0))</f>
        <v>1</v>
      </c>
      <c r="R22" s="23">
        <f t="shared" si="10"/>
        <v>2.4193548387096774E-2</v>
      </c>
      <c r="S22" s="125">
        <f t="array" ref="S22">SUM(IF((Data!$R$178:$R$242&lt;$B22)*(Data!$R$178:$R$242&gt;$B21)*(Data!$Y$178:$Y$242="1 axis"),Data!$E$178:$E$242/1000,0))</f>
        <v>0</v>
      </c>
      <c r="T22">
        <f t="array" ref="T22">SUM(IF((Data!$R$178:$R$242&lt;$B22)*(Data!$R$178:$R$242&gt;$B21)*(Data!$Y$178:$Y$242="1 axis"),Data!$AI$178:$AI$242,0))</f>
        <v>0</v>
      </c>
      <c r="U22" s="23">
        <f t="shared" si="11"/>
        <v>0</v>
      </c>
      <c r="V22" s="125">
        <f t="array" ref="V22">SUM(IF((Data!$M$178:$M$242&lt;$B22)*(Data!$M$178:$M$242&gt;$B21)*(Data!$Y$178:$Y$242="2 axis"),Data!$E$178:$E$242/1000,0))</f>
        <v>0</v>
      </c>
      <c r="W22">
        <f t="array" ref="W22">SUM(IF((Data!$M$178:$M$242&lt;$B22)*(Data!$M$178:$M$242&gt;$B21)*(Data!$Y$178:$Y$242="2 axis"),Data!$AI$178:$AI$242,0))</f>
        <v>0</v>
      </c>
      <c r="X22" s="23">
        <f t="array" ref="X22">V22/SUM($I$15:$I$25)</f>
        <v>0</v>
      </c>
      <c r="Y22" s="125">
        <f t="array" ref="Y22">SUM(IF((Data!$M$178:$M$242&lt;$B22)*(Data!$M$178:$M$242&gt;$B21)*(Data!$Y$178:$Y$242="unknown"),Data!$E$178:$E$242/1000,0))</f>
        <v>70</v>
      </c>
      <c r="Z22">
        <f t="array" ref="Z22">SUM(IF((Data!$M$178:$M$242&lt;$B22)*(Data!$M$178:$M$242&gt;$B21)*(Data!$Y$178:$Y$242="unknown"),Data!$AI$178:$AI$242,0))</f>
        <v>1</v>
      </c>
      <c r="AA22" s="23">
        <f t="shared" si="12"/>
        <v>1.4306078699890199E-2</v>
      </c>
    </row>
    <row r="23" spans="1:27" x14ac:dyDescent="0.3">
      <c r="A23" s="12">
        <f t="shared" si="13"/>
        <v>5</v>
      </c>
      <c r="B23" s="32">
        <v>5</v>
      </c>
      <c r="C23" s="125">
        <f t="array" ref="C23">SUM(IF((Data!$M$178:$M$242&lt;B23)*(Data!$M$178:$M$242&gt;B22)*(Data!$Y$178:$Y$242="fixed"),Data!$E$178:$E$242/1000,0))</f>
        <v>0</v>
      </c>
      <c r="D23">
        <f t="array" ref="D23">SUM(IF((Data!$M$178:$M$242&lt;$B23)*(Data!$M$178:$M$242&gt;$B22)*(Data!$Y$178:$Y$242="fixed"),Data!$AI$178:$AI$242,0))</f>
        <v>0</v>
      </c>
      <c r="E23" s="23">
        <f t="shared" si="7"/>
        <v>0</v>
      </c>
      <c r="F23" s="125">
        <f t="array" ref="F23">SUM(IF((Data!$M$178:$M$242&lt;$B23)*(Data!$M$178:$M$242&gt;B22)*(Data!$Y$178:$Y$242="1 axis"),Data!$E$178:$E$242/1000,0))</f>
        <v>0</v>
      </c>
      <c r="G23">
        <f t="array" ref="G23">SUM(IF((Data!$M$178:$M$242&lt;$B23)*(Data!$M$178:$M$242&gt;$B22)*(Data!$Y$178:$Y$242="1 axis"),Data!$AI$178:$AI$242,0))</f>
        <v>0</v>
      </c>
      <c r="H23" s="23">
        <f t="shared" si="8"/>
        <v>0</v>
      </c>
      <c r="I23" s="125">
        <f t="array" ref="I23">SUM(IF((Data!$M$178:$M$242&lt;$B23)*(Data!$M$178:$M$242&gt;$B22)*(Data!$Y$178:$Y$242="2 axis"),Data!$E$178:$E$242/1000,0))</f>
        <v>0</v>
      </c>
      <c r="J23">
        <f t="array" ref="J23">SUM(IF((Data!$M$178:$M$242&lt;$B23)*(Data!$M$178:$M$242&gt;$B22)*(Data!$Y$178:$Y$242="2 axis"),Data!$AI$178:$AI$242,0))</f>
        <v>0</v>
      </c>
      <c r="K23" s="23">
        <f t="array" ref="K23">I23/SUM($I$15:$I$25)</f>
        <v>0</v>
      </c>
      <c r="L23" s="125">
        <f t="array" ref="L23">SUM(IF((Data!$M$178:$M$242&lt;$B23)*(Data!$M$178:$M$242&gt;$B22)*(Data!$Y$178:$Y$242="unknown"),Data!$E$178:$E$242/1000,0))</f>
        <v>0</v>
      </c>
      <c r="M23">
        <f t="array" ref="M23">SUM(IF((Data!$M$178:$M$242&lt;$B23)*(Data!$M$178:$M$242&gt;$B22)*(Data!$Y$178:$Y$242="unknown"),Data!$AI$178:$AI$242,0))</f>
        <v>0</v>
      </c>
      <c r="N23" s="23">
        <f t="shared" si="9"/>
        <v>0</v>
      </c>
      <c r="P23" s="125">
        <f t="array" ref="P23">SUM(IF((Data!$R$178:$R$242&lt;$B23)*(Data!$R$178:$R$242&gt;$B22)*(Data!$Y$178:$Y$242="fixed"),Data!$E$178:$E$242/1000,0))</f>
        <v>0</v>
      </c>
      <c r="Q23">
        <f t="array" ref="Q23">SUM(IF((Data!$R$178:$R$242&lt;$B23)*(Data!$R$178:$R$242&gt;$B22)*(Data!$Y$178:$Y$242="fixed"),Data!$AI$178:$AI$242,0))</f>
        <v>0</v>
      </c>
      <c r="R23" s="23">
        <f t="shared" si="10"/>
        <v>0</v>
      </c>
      <c r="S23" s="125">
        <f t="array" ref="S23">SUM(IF((Data!$R$178:$R$242&lt;$B23)*(Data!$R$178:$R$242&gt;$B22)*(Data!$Y$178:$Y$242="1 axis"),Data!$E$178:$E$242/1000,0))</f>
        <v>0</v>
      </c>
      <c r="T23">
        <f t="array" ref="T23">SUM(IF((Data!$R$178:$R$242&lt;$B23)*(Data!$R$178:$R$242&gt;$B22)*(Data!$Y$178:$Y$242="1 axis"),Data!$AI$178:$AI$242,0))</f>
        <v>0</v>
      </c>
      <c r="U23" s="23">
        <f t="shared" si="11"/>
        <v>0</v>
      </c>
      <c r="V23" s="125">
        <f t="array" ref="V23">SUM(IF((Data!$M$178:$M$242&lt;$B23)*(Data!$M$178:$M$242&gt;$B22)*(Data!$Y$178:$Y$242="2 axis"),Data!$E$178:$E$242/1000,0))</f>
        <v>0</v>
      </c>
      <c r="W23">
        <f t="array" ref="W23">SUM(IF((Data!$M$178:$M$242&lt;$B23)*(Data!$M$178:$M$242&gt;$B22)*(Data!$Y$178:$Y$242="2 axis"),Data!$AI$178:$AI$242,0))</f>
        <v>0</v>
      </c>
      <c r="X23" s="23">
        <f t="array" ref="X23">V23/SUM($I$15:$I$25)</f>
        <v>0</v>
      </c>
      <c r="Y23" s="125">
        <f t="array" ref="Y23">SUM(IF((Data!$M$178:$M$242&lt;$B23)*(Data!$M$178:$M$242&gt;$B22)*(Data!$Y$178:$Y$242="unknown"),Data!$E$178:$E$242/1000,0))</f>
        <v>0</v>
      </c>
      <c r="Z23">
        <f t="array" ref="Z23">SUM(IF((Data!$M$178:$M$242&lt;$B23)*(Data!$M$178:$M$242&gt;$B22)*(Data!$Y$178:$Y$242="unknown"),Data!$AI$178:$AI$242,0))</f>
        <v>0</v>
      </c>
      <c r="AA23" s="23">
        <f t="shared" si="12"/>
        <v>0</v>
      </c>
    </row>
    <row r="24" spans="1:27" x14ac:dyDescent="0.3">
      <c r="A24" s="12" t="s">
        <v>912</v>
      </c>
      <c r="B24" s="32">
        <v>5.5</v>
      </c>
      <c r="C24" s="125">
        <f t="array" ref="C24">SUM(IF((Data!$M$178:$M$242&lt;B24)*(Data!$M$178:$M$242&gt;B23)*(Data!$Y$178:$Y$242="fixed"),Data!$E$178:$E$242/1000,0))</f>
        <v>0</v>
      </c>
      <c r="D24">
        <f t="array" ref="D24">SUM(IF((Data!$M$178:$M$242&lt;$B24)*(Data!$M$178:$M$242&gt;$B23)*(Data!$Y$178:$Y$242="fixed"),Data!$AI$178:$AI$242,0))</f>
        <v>0</v>
      </c>
      <c r="E24" s="23">
        <f t="shared" si="7"/>
        <v>0</v>
      </c>
      <c r="F24" s="125">
        <f t="array" ref="F24">SUM(IF((Data!$M$178:$M$242&lt;$B24)*(Data!$M$178:$M$242&gt;B23)*(Data!$Y$178:$Y$242="1 axis"),Data!$E$178:$E$242/1000,0))</f>
        <v>0</v>
      </c>
      <c r="G24">
        <f t="array" ref="G24">SUM(IF((Data!$M$178:$M$242&lt;$B24)*(Data!$M$178:$M$242&gt;$B23)*(Data!$Y$178:$Y$242="1 axis"),Data!$AI$178:$AI$242,0))</f>
        <v>0</v>
      </c>
      <c r="H24" s="23">
        <f t="shared" si="8"/>
        <v>0</v>
      </c>
      <c r="I24" s="125">
        <f t="array" ref="I24">SUM(IF((Data!$M$178:$M$242&lt;$B24)*(Data!$M$178:$M$242&gt;$B23)*(Data!$Y$178:$Y$242="2 axis"),Data!$E$178:$E$242/1000,0))</f>
        <v>0</v>
      </c>
      <c r="J24">
        <f t="array" ref="J24">SUM(IF((Data!$M$178:$M$242&lt;$B24)*(Data!$M$178:$M$242&gt;$B23)*(Data!$Y$178:$Y$242="2 axis"),Data!$AI$178:$AI$242,0))</f>
        <v>0</v>
      </c>
      <c r="K24" s="23">
        <f t="array" ref="K24">I24/SUM($I$15:$I$25)</f>
        <v>0</v>
      </c>
      <c r="L24" s="125">
        <f t="array" ref="L24">SUM(IF((Data!$M$178:$M$242&lt;$B24)*(Data!$M$178:$M$242&gt;$B23)*(Data!$Y$178:$Y$242="unknown"),Data!$E$178:$E$242/1000,0))</f>
        <v>23</v>
      </c>
      <c r="M24">
        <f t="array" ref="M24">SUM(IF((Data!$M$178:$M$242&lt;$B24)*(Data!$M$178:$M$242&gt;$B23)*(Data!$Y$178:$Y$242="unknown"),Data!$AI$178:$AI$242,0))</f>
        <v>1</v>
      </c>
      <c r="N24" s="23">
        <f t="shared" si="9"/>
        <v>4.7005687156782081E-3</v>
      </c>
      <c r="P24" s="125">
        <f t="array" ref="P24">SUM(IF((Data!$R$178:$R$242&lt;$B24)*(Data!$R$178:$R$242&gt;$B23)*(Data!$Y$178:$Y$242="fixed"),Data!$E$178:$E$242/1000,0))</f>
        <v>550</v>
      </c>
      <c r="Q24">
        <f t="array" ref="Q24">SUM(IF((Data!$R$178:$R$242&lt;$B24)*(Data!$R$178:$R$242&gt;$B23)*(Data!$Y$178:$Y$242="fixed"),Data!$AI$178:$AI$242,0))</f>
        <v>1</v>
      </c>
      <c r="R24" s="23">
        <f t="shared" si="10"/>
        <v>0.739247311827957</v>
      </c>
      <c r="S24" s="125">
        <f t="array" ref="S24">SUM(IF((Data!$R$178:$R$242&lt;$B24)*(Data!$R$178:$R$242&gt;$B23)*(Data!$Y$178:$Y$242="1 axis"),Data!$E$178:$E$242/1000,0))</f>
        <v>0</v>
      </c>
      <c r="T24">
        <f t="array" ref="T24">SUM(IF((Data!$R$178:$R$242&lt;$B24)*(Data!$R$178:$R$242&gt;$B23)*(Data!$Y$178:$Y$242="1 axis"),Data!$AI$178:$AI$242,0))</f>
        <v>0</v>
      </c>
      <c r="U24" s="23">
        <f t="shared" si="11"/>
        <v>0</v>
      </c>
      <c r="V24" s="125">
        <f t="array" ref="V24">SUM(IF((Data!$M$178:$M$242&lt;$B24)*(Data!$M$178:$M$242&gt;$B23)*(Data!$Y$178:$Y$242="2 axis"),Data!$E$178:$E$242/1000,0))</f>
        <v>0</v>
      </c>
      <c r="W24">
        <f t="array" ref="W24">SUM(IF((Data!$M$178:$M$242&lt;$B24)*(Data!$M$178:$M$242&gt;$B23)*(Data!$Y$178:$Y$242="2 axis"),Data!$AI$178:$AI$242,0))</f>
        <v>0</v>
      </c>
      <c r="X24" s="23">
        <f t="array" ref="X24">V24/SUM($I$15:$I$25)</f>
        <v>0</v>
      </c>
      <c r="Y24" s="125">
        <f t="array" ref="Y24">SUM(IF((Data!$M$178:$M$242&lt;$B24)*(Data!$M$178:$M$242&gt;$B23)*(Data!$Y$178:$Y$242="unknown"),Data!$E$178:$E$242/1000,0))</f>
        <v>23</v>
      </c>
      <c r="Z24">
        <f t="array" ref="Z24">SUM(IF((Data!$M$178:$M$242&lt;$B24)*(Data!$M$178:$M$242&gt;$B23)*(Data!$Y$178:$Y$242="unknown"),Data!$AI$178:$AI$242,0))</f>
        <v>1</v>
      </c>
      <c r="AA24" s="23">
        <f t="shared" si="12"/>
        <v>4.7005687156782081E-3</v>
      </c>
    </row>
    <row r="25" spans="1:27" x14ac:dyDescent="0.3">
      <c r="A25" s="12" t="str">
        <f>"&gt;"&amp;B25</f>
        <v>&gt;5.5</v>
      </c>
      <c r="B25" s="32">
        <v>5.5</v>
      </c>
      <c r="C25" s="126">
        <f t="array" ref="C25">SUM(IF((Data!$M$178:$M$242&gt;$B25)*(Data!$Y$178:$Y$242="fixed"),Data!$E$178:$E$242/1000,0))</f>
        <v>1721.7476197027463</v>
      </c>
      <c r="D25">
        <f t="array" ref="D25">SUM(IF((Data!$M$178:$M$242&gt;$B25)*(Data!$Y$178:$Y$242="fixed"),Data!$AI$178:$AI$242,0))</f>
        <v>13</v>
      </c>
      <c r="E25" s="23">
        <f t="shared" si="7"/>
        <v>0.98060358117229418</v>
      </c>
      <c r="F25" s="126">
        <f t="array" ref="F25">SUM(IF((Data!$M$178:$M$242&gt;$B25)*(Data!$Y$178:$Y$242="1 axis"),Data!$E$178:$E$242/1000,0))</f>
        <v>1636.6157411609968</v>
      </c>
      <c r="G25">
        <f t="array" ref="G25">SUM(IF((Data!$M$178:$M$242&gt;$B25)*(Data!$Y$178:$Y$242="1 axis"),Data!$AI$178:$AI$242,0))</f>
        <v>16</v>
      </c>
      <c r="H25" s="23">
        <f t="shared" si="8"/>
        <v>1</v>
      </c>
      <c r="I25" s="126">
        <f t="array" ref="I25">SUM(IF((Data!$M$178:$M$242&gt;$B25)*(Data!$Y$178:$Y$242="2 axis"),Data!$E$178:$E$242/1000,0))</f>
        <v>158.43115638073093</v>
      </c>
      <c r="J25">
        <f t="array" ref="J25">SUM(IF((Data!$M$178:$M$242&gt;$B25)*(Data!$Y$178:$Y$242="2 axis"),Data!$AI$178:$AI$242,0))</f>
        <v>2</v>
      </c>
      <c r="K25" s="23">
        <f t="array" ref="K25">I25/SUM($I$15:$I$25)</f>
        <v>1</v>
      </c>
      <c r="L25" s="126">
        <f t="array" ref="L25">SUM(IF((Data!$M$178:$M$242&gt;$B25)*(Data!$Y$178:$Y$242="unknown"),Data!$E$178:$E$242/1000,0))</f>
        <v>4757.4545634754322</v>
      </c>
      <c r="M25">
        <f t="array" ref="M25">SUM(IF((Data!$M$178:$M$242&gt;$B25)*(Data!$Y$178:$Y$242="unknown"),Data!$AI$178:$AI$242,0))</f>
        <v>30</v>
      </c>
      <c r="N25" s="23">
        <f t="shared" si="9"/>
        <v>0.9722931342318758</v>
      </c>
      <c r="P25" s="126">
        <f t="array" ref="P25">SUM(IF((Data!$R$178:$R$242&gt;$B25)*(Data!$Y$178:$Y$242="fixed"),Data!$E$178:$E$242/1000,0))</f>
        <v>176</v>
      </c>
      <c r="Q25">
        <f t="array" ref="Q25">SUM(IF((Data!$R$178:$R$242&gt;$B25)*(Data!$Y$178:$Y$242="fixed"),Data!$AI$178:$AI$242,0))</f>
        <v>5</v>
      </c>
      <c r="R25" s="23">
        <f t="shared" si="10"/>
        <v>0.23655913978494625</v>
      </c>
      <c r="S25" s="126">
        <f t="array" ref="S25">SUM(IF((Data!$R$178:$R$242&gt;$B25)*(Data!$Y$178:$Y$242="1 axis"),Data!$E$178:$E$242/1000,0))</f>
        <v>629.9926982217055</v>
      </c>
      <c r="T25">
        <f t="array" ref="T25">SUM(IF((Data!$R$178:$R$242&gt;$B25)*(Data!$Y$178:$Y$242="1 axis"),Data!$AI$178:$AI$242,0))</f>
        <v>7</v>
      </c>
      <c r="U25" s="23">
        <f t="shared" si="11"/>
        <v>0.38493623296986973</v>
      </c>
      <c r="V25" s="126">
        <f t="array" ref="V25">SUM(IF((Data!$M$178:$M$242&gt;$B25)*(Data!$Y$178:$Y$242="2 axis"),Data!$E$178:$E$242/1000,0))</f>
        <v>158.43115638073093</v>
      </c>
      <c r="W25">
        <f t="array" ref="W25">SUM(IF((Data!$M$178:$M$242&gt;$B25)*(Data!$Y$178:$Y$242="2 axis"),Data!$AI$178:$AI$242,0))</f>
        <v>2</v>
      </c>
      <c r="X25" s="23">
        <f t="array" ref="X25">V25/SUM($I$15:$I$25)</f>
        <v>1</v>
      </c>
      <c r="Y25" s="126">
        <f t="array" ref="Y25">SUM(IF((Data!$M$178:$M$242&gt;$B25)*(Data!$Y$178:$Y$242="unknown"),Data!$E$178:$E$242/1000,0))</f>
        <v>4757.4545634754322</v>
      </c>
      <c r="Z25">
        <f t="array" ref="Z25">SUM(IF((Data!$M$178:$M$242&gt;$B25)*(Data!$Y$178:$Y$242="unknown"),Data!$AI$178:$AI$242,0))</f>
        <v>30</v>
      </c>
      <c r="AA25" s="23">
        <f t="shared" si="12"/>
        <v>0.9722931342318758</v>
      </c>
    </row>
    <row r="26" spans="1:27" x14ac:dyDescent="0.3">
      <c r="A26" s="12"/>
      <c r="B26" s="12"/>
      <c r="D26" s="89"/>
      <c r="I26" s="23"/>
      <c r="J26" s="23"/>
      <c r="L26" s="23"/>
    </row>
    <row r="27" spans="1:27" x14ac:dyDescent="0.3">
      <c r="A27" s="12"/>
      <c r="B27" s="12"/>
      <c r="D27" s="89"/>
    </row>
    <row r="28" spans="1:27" x14ac:dyDescent="0.3">
      <c r="C28" t="s">
        <v>750</v>
      </c>
      <c r="F28" t="s">
        <v>59</v>
      </c>
      <c r="I28" s="23"/>
      <c r="L28" s="23"/>
    </row>
    <row r="29" spans="1:27" x14ac:dyDescent="0.3">
      <c r="A29" t="s">
        <v>54</v>
      </c>
      <c r="B29" t="s">
        <v>54</v>
      </c>
      <c r="C29" t="s">
        <v>55</v>
      </c>
      <c r="D29" t="s">
        <v>61</v>
      </c>
      <c r="F29" t="s">
        <v>55</v>
      </c>
      <c r="G29" t="s">
        <v>61</v>
      </c>
    </row>
    <row r="30" spans="1:27" x14ac:dyDescent="0.3">
      <c r="A30" s="12" t="str">
        <f>"&lt;"&amp;B30</f>
        <v>&lt;20</v>
      </c>
      <c r="B30" s="12">
        <v>20</v>
      </c>
      <c r="C30">
        <f t="array" ref="C30">SUM(IF((Data!$N$3:$N$128&lt;B30)*(Data!$Y$3:$Y$128="1 axis")*(Data!$N$3:$N$128&gt;0),Data!$F$3:$F$128/1000,0))</f>
        <v>18.2</v>
      </c>
      <c r="D30">
        <f t="array" ref="D30">SUM(IF((Data!$N$3:$N$128&lt;B30)*(Data!$N$3:$N$128&gt;0)*(Data!$Y$3:$Y$128="1 axis"),Data!$AI$3:$AI$128,0))</f>
        <v>2</v>
      </c>
      <c r="E30" s="23">
        <f>C30/SUM($C$30:$C$39)</f>
        <v>5.141591313600459E-2</v>
      </c>
      <c r="F30">
        <f t="array" ref="F30">SUM(IF((Data!$S$3:$S$128&lt;B30)*(Data!$Y$3:$Y$128="1 axis")*(Data!$S$3:$S$128&gt;0),Data!$F$3:$F$128/1000,0))</f>
        <v>0</v>
      </c>
      <c r="G30">
        <f t="array" ref="G30">SUM(IF((Data!$S$3:$S$128&lt;B30)*(Data!$S$3:$S$128&gt;0)*(Data!$Y$3:$Y$128="1 axis"),Data!$AI$3:$AI$128,0))</f>
        <v>0</v>
      </c>
      <c r="H30" s="23">
        <f>F30/SUM($F$30:$F$39)</f>
        <v>0</v>
      </c>
    </row>
    <row r="31" spans="1:27" x14ac:dyDescent="0.3">
      <c r="A31" s="12">
        <f t="shared" ref="A31:A38" si="14">B31</f>
        <v>25</v>
      </c>
      <c r="B31" s="12">
        <v>25</v>
      </c>
      <c r="C31">
        <f t="array" ref="C31">SUM(IF((Data!$N$3:$N$128&gt;=B30)*(Data!$Y$3:$Y$128="1 axis"),Data!$F$3:$F$128/1000,0))-SUM(IF((Data!$N$3:$N$128&gt;B31)*(Data!$Y$3:$Y$128="1 axis"),Data!$F$3:$F$128/1000,0))</f>
        <v>88.600974232357117</v>
      </c>
      <c r="D31">
        <f t="array" ref="D31">SUM(IF((Data!$N$3:$N$128&gt;=B30)*(Data!$Y$3:$Y$128="1 axis"),Data!$AI$3:$AI$128,0))-SUM(IF((Data!$N$3:$N$128&gt;B31)*(Data!$Y$3:$Y$128="1 axis"),Data!$AI$3:$AI$128,0))</f>
        <v>14</v>
      </c>
      <c r="E31" s="23">
        <f t="shared" ref="E31:E39" si="15">C31/SUM($C$30:$C$39)</f>
        <v>0.25030219752177224</v>
      </c>
      <c r="F31">
        <f t="array" ref="F31">SUM(IF((Data!$S$3:$S$128&gt;=B30)*(Data!$Y$3:$Y$128="1 axis"),Data!$F$3:$F$128/1000,0))-SUM(IF((Data!$S$3:$S$128&gt;B31)*(Data!$Y$3:$Y$128="1 axis"),Data!$F$3:$F$128/1000,0))</f>
        <v>1</v>
      </c>
      <c r="G31">
        <f t="array" ref="G31">SUM(IF((Data!$S$3:$S$128&gt;=B30)*(Data!$Y$3:$Y$128="1 axis"),Data!$AI$3:$AI$128,0))-SUM(IF((Data!$S$3:$S$128&gt;B31)*(Data!$Y$3:$Y$128="1 axis"),Data!$AI$3:$AI$128,0))</f>
        <v>1</v>
      </c>
      <c r="H31" s="23">
        <f t="array" ref="H31">F31/SUM($F$30:$F$39)</f>
        <v>5.1587338742045616E-3</v>
      </c>
    </row>
    <row r="32" spans="1:27" x14ac:dyDescent="0.3">
      <c r="A32" s="12">
        <f t="shared" si="14"/>
        <v>30</v>
      </c>
      <c r="B32" s="12">
        <v>30</v>
      </c>
      <c r="C32">
        <f t="array" ref="C32">SUM(IF((Data!$N$3:$N$128&gt;=B31)*(Data!$Y$3:$Y$128="1 axis"),Data!$F$3:$F$128/1000,0))-SUM(IF((Data!$N$3:$N$128&gt;B32)*(Data!$Y$3:$Y$128="1 axis"),Data!$F$3:$F$128/1000,0))</f>
        <v>57.020519999999976</v>
      </c>
      <c r="D32">
        <f t="array" ref="D32">SUM(IF((Data!$N$3:$N$128&gt;=B31)*(Data!$Y$3:$Y$128="1 axis"),Data!$AI$3:$AI$128,0))-SUM(IF((Data!$N$3:$N$128&gt;B32)*(Data!$Y$3:$Y$128="1 axis"),Data!$AI$3:$AI$128,0))</f>
        <v>14</v>
      </c>
      <c r="E32" s="23">
        <f t="shared" si="15"/>
        <v>0.16108582985108852</v>
      </c>
      <c r="F32">
        <f t="array" ref="F32">SUM(IF((Data!$S$3:$S$128&gt;=B31)*(Data!$Y$3:$Y$128="1 axis"),Data!$F$3:$F$128/1000,0))-SUM(IF((Data!$S$3:$S$128&gt;B32)*(Data!$Y$3:$Y$128="1 axis"),Data!$F$3:$F$128/1000,0))</f>
        <v>12.395999999999958</v>
      </c>
      <c r="G32">
        <f t="array" ref="G32">SUM(IF((Data!$S$3:$S$128&gt;=B31)*(Data!$Y$3:$Y$128="1 axis"),Data!$AI$3:$AI$128,0))-SUM(IF((Data!$S$3:$S$128&gt;B32)*(Data!$Y$3:$Y$128="1 axis"),Data!$AI$3:$AI$128,0))</f>
        <v>3</v>
      </c>
      <c r="H32" s="23">
        <f t="array" ref="H32">F32/SUM($F$30:$F$39)</f>
        <v>6.3947665104639534E-2</v>
      </c>
    </row>
    <row r="33" spans="1:27" x14ac:dyDescent="0.3">
      <c r="A33" s="12">
        <f t="shared" si="14"/>
        <v>35</v>
      </c>
      <c r="B33" s="12">
        <v>35</v>
      </c>
      <c r="C33">
        <f t="array" ref="C33">SUM(IF((Data!$N$3:$N$128&gt;=B32)*(Data!$Y$3:$Y$128="1 axis"),Data!$F$3:$F$128/1000,0))-SUM(IF((Data!$N$3:$N$128&gt;B33)*(Data!$Y$3:$Y$128="1 axis"),Data!$F$3:$F$128/1000,0))</f>
        <v>135.44452000000001</v>
      </c>
      <c r="D33">
        <f t="array" ref="D33">SUM(IF((Data!$N$3:$N$128&gt;=B32)*(Data!$Y$3:$Y$128="1 axis"),Data!$AI$3:$AI$128,0))-SUM(IF((Data!$N$3:$N$128&gt;B33)*(Data!$Y$3:$Y$128="1 axis"),Data!$AI$3:$AI$128,0))</f>
        <v>15</v>
      </c>
      <c r="E33" s="23">
        <f t="shared" si="15"/>
        <v>0.38263756456416687</v>
      </c>
      <c r="F33">
        <f t="array" ref="F33">SUM(IF((Data!$S$3:$S$128&gt;=B32)*(Data!$Y$3:$Y$128="1 axis"),Data!$F$3:$F$128/1000,0))-SUM(IF((Data!$S$3:$S$128&gt;B33)*(Data!$Y$3:$Y$128="1 axis"),Data!$F$3:$F$128/1000,0))</f>
        <v>57.079800000000006</v>
      </c>
      <c r="G33">
        <f t="array" ref="G33">SUM(IF((Data!$S$3:$S$128&gt;=B32)*(Data!$Y$3:$Y$128="1 axis"),Data!$AI$3:$AI$128,0))-SUM(IF((Data!$S$3:$S$128&gt;B33)*(Data!$Y$3:$Y$128="1 axis"),Data!$AI$3:$AI$128,0))</f>
        <v>11</v>
      </c>
      <c r="H33" s="23">
        <f t="array" ref="H33">F33/SUM($F$30:$F$39)</f>
        <v>0.29445949779282155</v>
      </c>
    </row>
    <row r="34" spans="1:27" x14ac:dyDescent="0.3">
      <c r="A34" s="12">
        <f t="shared" si="14"/>
        <v>40</v>
      </c>
      <c r="B34" s="12">
        <v>40</v>
      </c>
      <c r="C34">
        <f t="array" ref="C34">SUM(IF((Data!$N$3:$N$128&gt;=B33)*(Data!$Y$3:$Y$128="1 axis"),Data!$F$3:$F$128/1000,0))-SUM(IF((Data!$N$3:$N$128&gt;B34)*(Data!$Y$3:$Y$128="1 axis"),Data!$F$3:$F$128/1000,0))</f>
        <v>15.910000000000004</v>
      </c>
      <c r="D34">
        <f t="array" ref="D34">SUM(IF((Data!$N$3:$N$128&gt;=B33)*(Data!$Y$3:$Y$128="1 axis"),Data!$AI$3:$AI$128,0))-SUM(IF((Data!$N$3:$N$128&gt;B34)*(Data!$Y$3:$Y$128="1 axis"),Data!$AI$3:$AI$128,0))</f>
        <v>2</v>
      </c>
      <c r="E34" s="23">
        <f t="shared" si="15"/>
        <v>4.4946548241419408E-2</v>
      </c>
      <c r="F34">
        <f t="array" ref="F34">SUM(IF((Data!$S$3:$S$128&gt;=B33)*(Data!$Y$3:$Y$128="1 axis"),Data!$F$3:$F$128/1000,0))-SUM(IF((Data!$S$3:$S$128&gt;B34)*(Data!$Y$3:$Y$128="1 axis"),Data!$F$3:$F$128/1000,0))</f>
        <v>24.854439999999997</v>
      </c>
      <c r="G34">
        <f t="array" ref="G34">SUM(IF((Data!$S$3:$S$128&gt;=B33)*(Data!$Y$3:$Y$128="1 axis"),Data!$AI$3:$AI$128,0))-SUM(IF((Data!$S$3:$S$128&gt;B34)*(Data!$Y$3:$Y$128="1 axis"),Data!$AI$3:$AI$128,0))</f>
        <v>8</v>
      </c>
      <c r="H34" s="23">
        <f t="array" ref="H34">F34/SUM($F$30:$F$39)</f>
        <v>0.12821744155238479</v>
      </c>
    </row>
    <row r="35" spans="1:27" x14ac:dyDescent="0.3">
      <c r="A35" s="12">
        <f t="shared" si="14"/>
        <v>45</v>
      </c>
      <c r="B35" s="12">
        <v>45</v>
      </c>
      <c r="C35">
        <f t="array" ref="C35">SUM(IF((Data!$N$3:$N$128&gt;=B34)*(Data!$Y$3:$Y$128="1 axis"),Data!$F$3:$F$128/1000,0))-SUM(IF((Data!$N$3:$N$128&gt;B35)*(Data!$Y$3:$Y$128="1 axis"),Data!$F$3:$F$128/1000,0))</f>
        <v>20.799999999999997</v>
      </c>
      <c r="D35">
        <f t="array" ref="D35">SUM(IF((Data!$N$3:$N$128&gt;=B34)*(Data!$Y$3:$Y$128="1 axis"),Data!$AI$3:$AI$128,0))-SUM(IF((Data!$N$3:$N$128&gt;B35)*(Data!$Y$3:$Y$128="1 axis"),Data!$AI$3:$AI$128,0))</f>
        <v>5</v>
      </c>
      <c r="E35" s="23">
        <f t="shared" si="15"/>
        <v>5.8761043584005239E-2</v>
      </c>
      <c r="F35">
        <f t="array" ref="F35">SUM(IF((Data!$S$3:$S$128&gt;=B34)*(Data!$Y$3:$Y$128="1 axis"),Data!$F$3:$F$128/1000,0))-SUM(IF((Data!$S$3:$S$128&gt;B35)*(Data!$Y$3:$Y$128="1 axis"),Data!$F$3:$F$128/1000,0))</f>
        <v>40.839800000000011</v>
      </c>
      <c r="G35">
        <f t="array" ref="G35">SUM(IF((Data!$S$3:$S$128&gt;=B34)*(Data!$Y$3:$Y$128="1 axis"),Data!$AI$3:$AI$128,0))-SUM(IF((Data!$S$3:$S$128&gt;B35)*(Data!$Y$3:$Y$128="1 axis"),Data!$AI$3:$AI$128,0))</f>
        <v>7</v>
      </c>
      <c r="H35" s="23">
        <f t="array" ref="H35">F35/SUM($F$30:$F$39)</f>
        <v>0.21068165967573951</v>
      </c>
      <c r="AA35" t="s">
        <v>896</v>
      </c>
    </row>
    <row r="36" spans="1:27" x14ac:dyDescent="0.3">
      <c r="A36" s="12">
        <f t="shared" si="14"/>
        <v>50</v>
      </c>
      <c r="B36" s="12">
        <v>50</v>
      </c>
      <c r="C36">
        <f t="array" ref="C36">SUM(IF((Data!$N$3:$N$128&gt;=B35)*(Data!$Y$3:$Y$128="1 axis"),Data!$F$3:$F$128/1000,0))-SUM(IF((Data!$N$3:$N$128&gt;B36)*(Data!$Y$3:$Y$128="1 axis"),Data!$F$3:$F$128/1000,0))</f>
        <v>8</v>
      </c>
      <c r="D36">
        <f t="array" ref="D36">SUM(IF((Data!$N$3:$N$128&gt;=B35)*(Data!$Y$3:$Y$128="1 axis"),Data!$AI$3:$AI$128,0))-SUM(IF((Data!$N$3:$N$128&gt;B36)*(Data!$Y$3:$Y$128="1 axis"),Data!$AI$3:$AI$128,0))</f>
        <v>1</v>
      </c>
      <c r="E36" s="23">
        <f t="shared" si="15"/>
        <v>2.2600401378463555E-2</v>
      </c>
      <c r="F36">
        <f t="array" ref="F36">SUM(IF((Data!$S$3:$S$128&gt;=B35)*(Data!$Y$3:$Y$128="1 axis"),Data!$F$3:$F$128/1000,0))-SUM(IF((Data!$S$3:$S$128&gt;B36)*(Data!$Y$3:$Y$128="1 axis"),Data!$F$3:$F$128/1000,0))</f>
        <v>29.845254232357107</v>
      </c>
      <c r="G36">
        <f t="array" ref="G36">SUM(IF((Data!$S$3:$S$128&gt;=B35)*(Data!$Y$3:$Y$128="1 axis"),Data!$AI$3:$AI$128,0))-SUM(IF((Data!$S$3:$S$128&gt;B36)*(Data!$Y$3:$Y$128="1 axis"),Data!$AI$3:$AI$128,0))</f>
        <v>5</v>
      </c>
      <c r="H36" s="23">
        <f t="array" ref="H36">F36/SUM($F$30:$F$39)</f>
        <v>0.15396372399270766</v>
      </c>
      <c r="N36" t="s">
        <v>246</v>
      </c>
    </row>
    <row r="37" spans="1:27" x14ac:dyDescent="0.3">
      <c r="A37" s="12">
        <f t="shared" si="14"/>
        <v>55</v>
      </c>
      <c r="B37" s="12">
        <v>55</v>
      </c>
      <c r="C37">
        <f t="array" ref="C37">SUM(IF((Data!$N$3:$N$128&gt;=B36)*(Data!$Y$3:$Y$128="1 axis"),Data!$F$3:$F$128/1000,0))-SUM(IF((Data!$N$3:$N$128&gt;B37)*(Data!$Y$3:$Y$128="1 axis"),Data!$F$3:$F$128/1000,0))</f>
        <v>10</v>
      </c>
      <c r="D37">
        <f t="array" ref="D37">SUM(IF((Data!$N$3:$N$128&gt;=B36)*(Data!$Y$3:$Y$128="1 axis"),Data!$AI$3:$AI$128,0))-SUM(IF((Data!$N$3:$N$128&gt;B37)*(Data!$Y$3:$Y$128="1 axis"),Data!$AI$3:$AI$128,0))</f>
        <v>1</v>
      </c>
      <c r="E37" s="23">
        <f t="shared" si="15"/>
        <v>2.8250501723079444E-2</v>
      </c>
      <c r="F37">
        <f t="array" ref="F37">SUM(IF((Data!$S$3:$S$128&gt;=B36)*(Data!$Y$3:$Y$128="1 axis"),Data!$F$3:$F$128/1000,0))-SUM(IF((Data!$S$3:$S$128&gt;B37)*(Data!$Y$3:$Y$128="1 axis"),Data!$F$3:$F$128/1000,0))</f>
        <v>13.030719999999999</v>
      </c>
      <c r="G37">
        <f t="array" ref="G37">SUM(IF((Data!$S$3:$S$128&gt;=B36)*(Data!$Y$3:$Y$128="1 axis"),Data!$AI$3:$AI$128,0))-SUM(IF((Data!$S$3:$S$128&gt;B37)*(Data!$Y$3:$Y$128="1 axis"),Data!$AI$3:$AI$128,0))</f>
        <v>3</v>
      </c>
      <c r="H37" s="23">
        <f t="array" ref="H37">F37/SUM($F$30:$F$39)</f>
        <v>6.7222016669274853E-2</v>
      </c>
    </row>
    <row r="38" spans="1:27" x14ac:dyDescent="0.3">
      <c r="A38" s="12">
        <f t="shared" si="14"/>
        <v>60</v>
      </c>
      <c r="B38" s="12">
        <v>60</v>
      </c>
      <c r="C38">
        <f t="array" ref="C38">SUM(IF((Data!$N$3:$N$128&gt;=B37)*(Data!$Y$3:$Y$128="1 axis"),Data!$F$3:$F$128/1000,0))-SUM(IF((Data!$N$3:$N$128&gt;B38)*(Data!$Y$3:$Y$128="1 axis"),Data!$F$3:$F$128/1000,0))</f>
        <v>0</v>
      </c>
      <c r="D38">
        <f t="array" ref="D38">SUM(IF((Data!$N$3:$N$128&gt;=B37)*(Data!$Y$3:$Y$128="1 axis"),Data!$AI$3:$AI$128,0))-SUM(IF((Data!$N$3:$N$128&gt;B38)*(Data!$Y$3:$Y$128="1 axis"),Data!$AI$3:$AI$128,0))</f>
        <v>0</v>
      </c>
      <c r="E38" s="23">
        <f t="shared" si="15"/>
        <v>0</v>
      </c>
      <c r="F38">
        <f t="array" ref="F38">SUM(IF((Data!$S$3:$S$128&gt;=B37)*(Data!$Y$3:$Y$128="1 axis"),Data!$F$3:$F$128/1000,0))-SUM(IF((Data!$S$3:$S$128&gt;B38)*(Data!$Y$3:$Y$128="1 axis"),Data!$F$3:$F$128/1000,0))</f>
        <v>0</v>
      </c>
      <c r="G38">
        <f t="array" ref="G38">SUM(IF((Data!$S$3:$S$128&gt;=B37)*(Data!$Y$3:$Y$128="1 axis"),Data!$AI$3:$AI$128,0))-SUM(IF((Data!$S$3:$S$128&gt;B38)*(Data!$Y$3:$Y$128="1 axis"),Data!$AI$3:$AI$128,0))</f>
        <v>0</v>
      </c>
      <c r="H38" s="23">
        <f t="array" ref="H38">F38/SUM($F$30:$F$39)</f>
        <v>0</v>
      </c>
    </row>
    <row r="39" spans="1:27" x14ac:dyDescent="0.3">
      <c r="A39" s="12" t="str">
        <f>"&gt;"&amp;B39</f>
        <v>&gt;60</v>
      </c>
      <c r="B39" s="12">
        <v>60</v>
      </c>
      <c r="C39">
        <f t="array" ref="C39">SUM(IF((Data!$N$3:$N$128&gt;B39)*(Data!$Y$3:$Y$128="1 axis"),Data!$F$3:$F$128/1000,0))</f>
        <v>0</v>
      </c>
      <c r="D39">
        <f t="array" ref="D39">SUM(IF((Data!$N$3:$N$128&gt;B39)*(Data!$Y$3:$Y$128="1 axis"),Data!$AI$3:$AI$128,0))</f>
        <v>0</v>
      </c>
      <c r="E39" s="23">
        <f t="shared" si="15"/>
        <v>0</v>
      </c>
      <c r="F39">
        <f t="array" ref="F39">SUM(IF((Data!$S$3:$S$128&gt;B39)*(Data!$Y$3:$Y$128="1 axis"),Data!$F$3:$F$128/1000,0))</f>
        <v>14.8</v>
      </c>
      <c r="G39">
        <f t="array" ref="G39">SUM(IF((Data!$S$3:$S$128&gt;B39)*(Data!$Y$3:$Y$128="1 axis"),Data!$AI$3:$AI$128,0))</f>
        <v>2</v>
      </c>
      <c r="H39" s="23">
        <f>F39/SUM($F$30:$F$39)</f>
        <v>7.6349261338227517E-2</v>
      </c>
    </row>
    <row r="41" spans="1:27" x14ac:dyDescent="0.3">
      <c r="B41" t="s">
        <v>84</v>
      </c>
    </row>
    <row r="42" spans="1:27" x14ac:dyDescent="0.3">
      <c r="B42" t="s">
        <v>54</v>
      </c>
      <c r="C42" t="s">
        <v>55</v>
      </c>
      <c r="D42" t="s">
        <v>56</v>
      </c>
    </row>
    <row r="43" spans="1:27" x14ac:dyDescent="0.3">
      <c r="A43" s="12" t="str">
        <f>"&lt;"&amp;B43</f>
        <v>&lt;25</v>
      </c>
      <c r="B43" s="12">
        <v>25</v>
      </c>
      <c r="C43">
        <f t="array" ref="C43">SUM(IF((Data!$N$3:$N$128&lt;B43)*(Data!$N$3:$N$128&gt;0)*(Data!$Y$3:$Y$128="fixed"),Data!$F$3:$F$128/1000,0))</f>
        <v>40.475799313513079</v>
      </c>
      <c r="D43">
        <f t="array" ref="D43">SUM(IF((Data!$N$3:$N$128&lt;B43)*(Data!$Y$3:$Y$128="fixed"),Data!$AI$3:$AI$128,0))</f>
        <v>7</v>
      </c>
      <c r="E43" s="23">
        <f t="shared" ref="E43:E48" si="16">C43/SUM($C$43:$C$48)</f>
        <v>0.14286135009589374</v>
      </c>
    </row>
    <row r="44" spans="1:27" x14ac:dyDescent="0.3">
      <c r="A44" s="12">
        <f>B44</f>
        <v>30</v>
      </c>
      <c r="B44" s="12">
        <v>30</v>
      </c>
      <c r="C44">
        <f t="array" ref="C44">SUM(IF((Data!$N$3:$N$128&gt;=B43)*(Data!$Y$3:$Y$128="fixed"),Data!$F$3:$F$128/1000,0))-SUM(IF((Data!$N$3:$N$128&gt;B44)*(Data!$Y$3:$Y$128="fixed"),Data!$F$3:$F$128/1000,0))</f>
        <v>43.257000000000033</v>
      </c>
      <c r="D44">
        <f t="array" ref="D44">SUM(IF((Data!$N$3:$N$128&gt;=B43)*(Data!$Y$3:$Y$128="fixed"),Data!$AI$3:$AI$128,0))-SUM(IF((Data!$N$3:$N$128&gt;B44)*(Data!$Y$3:$Y$128="fixed"),Data!$AI$3:$AI$128,0))</f>
        <v>7</v>
      </c>
      <c r="E44" s="23">
        <f t="shared" si="16"/>
        <v>0.1526777364723946</v>
      </c>
    </row>
    <row r="45" spans="1:27" x14ac:dyDescent="0.3">
      <c r="A45" s="12">
        <f>B45</f>
        <v>35</v>
      </c>
      <c r="B45" s="12">
        <v>35</v>
      </c>
      <c r="C45">
        <f t="array" ref="C45">SUM(IF((Data!$N$3:$N$128&gt;=B44)*(Data!$Y$3:$Y$128="fixed"),Data!$F$3:$F$128/1000,0))-SUM(IF((Data!$N$3:$N$128&gt;B45)*(Data!$Y$3:$Y$128="fixed"),Data!$F$3:$F$128/1000,0))</f>
        <v>91.052557618242759</v>
      </c>
      <c r="D45">
        <f t="array" ref="D45">SUM(IF((Data!$N$3:$N$128&gt;=B44)*(Data!$Y$3:$Y$128="fixed"),Data!$AI$3:$AI$128,0))-SUM(IF((Data!$N$3:$N$128&gt;B45)*(Data!$Y$3:$Y$128="fixed"),Data!$AI$3:$AI$128,0))</f>
        <v>11</v>
      </c>
      <c r="E45" s="23">
        <f t="shared" si="16"/>
        <v>0.32137453815973327</v>
      </c>
    </row>
    <row r="46" spans="1:27" x14ac:dyDescent="0.3">
      <c r="A46" s="12">
        <f>B46</f>
        <v>40</v>
      </c>
      <c r="B46" s="12">
        <v>40</v>
      </c>
      <c r="C46">
        <f t="array" ref="C46">SUM(IF((Data!$N$3:$N$128&gt;=B45)*(Data!$Y$3:$Y$128="fixed"),Data!$F$3:$F$128/1000,0))-SUM(IF((Data!$N$3:$N$128&gt;B46)*(Data!$Y$3:$Y$128="fixed"),Data!$F$3:$F$128/1000,0))</f>
        <v>23.931639999999987</v>
      </c>
      <c r="D46">
        <f t="array" ref="D46">SUM(IF((Data!$N$3:$N$128&gt;=B45)*(Data!$Y$3:$Y$128="fixed"),Data!$AI$3:$AI$128,0))-SUM(IF((Data!$N$3:$N$128&gt;B46)*(Data!$Y$3:$Y$128="fixed"),Data!$AI$3:$AI$128,0))</f>
        <v>8</v>
      </c>
      <c r="E46" s="23">
        <f t="shared" si="16"/>
        <v>8.446791560376847E-2</v>
      </c>
    </row>
    <row r="47" spans="1:27" x14ac:dyDescent="0.3">
      <c r="A47" s="12">
        <f>B47</f>
        <v>45</v>
      </c>
      <c r="B47" s="12">
        <v>45</v>
      </c>
      <c r="C47">
        <f t="array" ref="C47">SUM(IF((Data!$N$3:$N$128&gt;=B46)*(Data!$Y$3:$Y$128="fixed"),Data!$F$3:$F$128/1000,0))-SUM(IF((Data!$N$3:$N$128&gt;B47)*(Data!$Y$3:$Y$128="fixed"),Data!$F$3:$F$128/1000,0))</f>
        <v>38.018000000000008</v>
      </c>
      <c r="D47">
        <f t="array" ref="D47">SUM(IF((Data!$N$3:$N$128&gt;=B46)*(Data!$Y$3:$Y$128="fixed"),Data!$AI$3:$AI$128,0))-SUM(IF((Data!$N$3:$N$128&gt;B47)*(Data!$Y$3:$Y$128="fixed"),Data!$AI$3:$AI$128,0))</f>
        <v>8</v>
      </c>
      <c r="E47" s="23">
        <f t="shared" si="16"/>
        <v>0.13418642497647768</v>
      </c>
    </row>
    <row r="48" spans="1:27" x14ac:dyDescent="0.3">
      <c r="A48" s="12" t="str">
        <f>"&gt;"&amp;B48</f>
        <v>&gt;45</v>
      </c>
      <c r="B48" s="12">
        <v>45</v>
      </c>
      <c r="C48">
        <f t="array" ref="C48">SUM(IF((Data!$N$3:$N$128&gt;B48)*(Data!$Y$3:$Y$128="fixed"),Data!$F$3:$F$128/1000,0))</f>
        <v>46.587254232357104</v>
      </c>
      <c r="D48">
        <f t="array" ref="D48">SUM(IF((Data!$N$3:$N$128&gt;B48)*(Data!$Y$3:$Y$128="fixed"),Data!$AI$3:$AI$128,0))</f>
        <v>13</v>
      </c>
      <c r="E48" s="23">
        <f t="shared" si="16"/>
        <v>0.16443203469173226</v>
      </c>
    </row>
    <row r="50" spans="1:4" x14ac:dyDescent="0.3">
      <c r="B50" t="s">
        <v>85</v>
      </c>
    </row>
    <row r="51" spans="1:4" x14ac:dyDescent="0.3">
      <c r="B51" t="s">
        <v>54</v>
      </c>
      <c r="C51" t="s">
        <v>55</v>
      </c>
      <c r="D51" t="s">
        <v>61</v>
      </c>
    </row>
    <row r="52" spans="1:4" x14ac:dyDescent="0.3">
      <c r="A52" s="12" t="str">
        <f>"&lt;"&amp;B52</f>
        <v>&lt;40</v>
      </c>
      <c r="B52" s="12">
        <v>40</v>
      </c>
      <c r="C52">
        <f t="array" ref="C52">SUM(IF((Data!$S$3:$S$128&lt;B52)*(Data!$Y$3:$Y$128="fixed"),Data!$F$3:$F$128/1000,0))</f>
        <v>110.28279931351307</v>
      </c>
      <c r="D52">
        <f t="array" ref="D52">SUM(IF((Data!$S$3:$S$128&lt;B52)*(Data!$S$3:$S$128&gt;0)*(Data!$Y$3:$Y$128="fixed"),Data!$AI$3:$AI$128,0))</f>
        <v>10</v>
      </c>
    </row>
    <row r="53" spans="1:4" x14ac:dyDescent="0.3">
      <c r="A53" s="12">
        <f>B53</f>
        <v>50</v>
      </c>
      <c r="B53" s="12">
        <v>50</v>
      </c>
      <c r="C53">
        <f t="array" ref="C53">SUM(IF((Data!$S$3:$S$128&gt;=B52)*(Data!$Y$3:$Y$128="fixed"),Data!$F$3:$F$128/1000,0))-SUM(IF((Data!$S$3:$S$128&gt;B53)*(Data!$Y$3:$Y$128="fixed"),Data!$F$3:$F$128/1000,0))</f>
        <v>110.0820976182428</v>
      </c>
      <c r="D53">
        <f t="array" ref="D53">SUM(IF((Data!$S$3:$S$128&gt;=B52)*(Data!$Y$3:$Y$128="fixed"),Data!$AI$3:$AI$128,0))-SUM(IF((Data!$S$3:$S$128&gt;B53)*(Data!$Y$3:$Y$128="fixed"),Data!$AI$3:$AI$128,0))</f>
        <v>14</v>
      </c>
    </row>
    <row r="54" spans="1:4" x14ac:dyDescent="0.3">
      <c r="A54" s="12">
        <f>B54</f>
        <v>60</v>
      </c>
      <c r="B54" s="12">
        <v>60</v>
      </c>
      <c r="C54">
        <f t="array" ref="C54">SUM(IF((Data!$S$3:$S$128&gt;=B53)*(Data!$Y$3:$Y$128="fixed"),Data!$F$3:$F$128/1000,0))-SUM(IF((Data!$S$3:$S$128&gt;B54)*(Data!$Y$3:$Y$128="fixed"),Data!$F$3:$F$128/1000,0))</f>
        <v>24.920099999999998</v>
      </c>
      <c r="D54">
        <f t="array" ref="D54">SUM(IF((Data!$S$3:$S$128&gt;=B53)*(Data!$Y$3:$Y$128="fixed"),Data!$AI$3:$AI$128,0))-SUM(IF((Data!$S$3:$S$128&gt;B54)*(Data!$Y$3:$Y$128="fixed"),Data!$AI$3:$AI$128,0))</f>
        <v>8</v>
      </c>
    </row>
    <row r="55" spans="1:4" x14ac:dyDescent="0.3">
      <c r="A55" s="12">
        <f>B55</f>
        <v>70</v>
      </c>
      <c r="B55" s="12">
        <v>70</v>
      </c>
      <c r="C55">
        <f t="array" ref="C55">SUM(IF((Data!$S$3:$S$128&gt;=B54)*(Data!$Y$3:$Y$128="fixed"),Data!$F$3:$F$128/1000,0))-SUM(IF((Data!$S$3:$S$128&gt;B55)*(Data!$Y$3:$Y$128="fixed"),Data!$F$3:$F$128/1000,0))</f>
        <v>8.9500000000000028</v>
      </c>
      <c r="D55">
        <f t="array" ref="D55">SUM(IF((Data!$S$3:$S$128&gt;=B54)*(Data!$Y$3:$Y$128="fixed"),Data!$AI$3:$AI$128,0))-SUM(IF((Data!$S$3:$S$128&gt;B55)*(Data!$Y$3:$Y$128="fixed"),Data!$AI$3:$AI$128,0))</f>
        <v>4</v>
      </c>
    </row>
    <row r="56" spans="1:4" x14ac:dyDescent="0.3">
      <c r="A56" s="12" t="str">
        <f>"&gt;"&amp;B56</f>
        <v>&gt;80</v>
      </c>
      <c r="B56" s="12">
        <v>80</v>
      </c>
      <c r="C56">
        <f t="array" ref="C56">SUM(IF((Data!$S$3:$S$128&gt;B56)*(Data!$Y$3:$Y$128="fixed"),Data!$F$3:$F$128/1000,0))</f>
        <v>24.667254232357106</v>
      </c>
      <c r="D56">
        <f>SUM(IF((Data!$S$3:$S$128&gt;B56)*(Data!$Y$3:$Y$128="fixed"),Data!$AI$3:$AI$128,0))</f>
        <v>0</v>
      </c>
    </row>
    <row r="66" ht="22.5" customHeight="1" x14ac:dyDescent="0.3"/>
    <row r="82" spans="17:50" x14ac:dyDescent="0.3">
      <c r="AX82">
        <v>0</v>
      </c>
    </row>
    <row r="87" spans="17:50" ht="15" thickBot="1" x14ac:dyDescent="0.35"/>
    <row r="88" spans="17:50" ht="15" thickBot="1" x14ac:dyDescent="0.35">
      <c r="Q88" s="313"/>
      <c r="R88" s="436" t="s">
        <v>1092</v>
      </c>
      <c r="S88" s="437"/>
      <c r="T88" s="434" t="s">
        <v>1093</v>
      </c>
      <c r="U88" s="436" t="s">
        <v>1094</v>
      </c>
      <c r="V88" s="437"/>
      <c r="W88" s="434" t="s">
        <v>1095</v>
      </c>
      <c r="Y88" s="313"/>
      <c r="Z88" s="436" t="s">
        <v>1092</v>
      </c>
      <c r="AA88" s="437"/>
      <c r="AB88" s="434" t="s">
        <v>1093</v>
      </c>
      <c r="AC88" s="436" t="s">
        <v>1094</v>
      </c>
      <c r="AD88" s="437"/>
      <c r="AE88" s="434" t="s">
        <v>1095</v>
      </c>
    </row>
    <row r="89" spans="17:50" ht="15" thickBot="1" x14ac:dyDescent="0.35">
      <c r="Q89" s="315" t="s">
        <v>312</v>
      </c>
      <c r="R89" s="317" t="s">
        <v>138</v>
      </c>
      <c r="S89" s="317" t="s">
        <v>910</v>
      </c>
      <c r="T89" s="435"/>
      <c r="U89" s="317" t="s">
        <v>138</v>
      </c>
      <c r="V89" s="317" t="s">
        <v>910</v>
      </c>
      <c r="W89" s="435"/>
      <c r="Y89" s="315" t="s">
        <v>312</v>
      </c>
      <c r="Z89" s="317" t="s">
        <v>138</v>
      </c>
      <c r="AA89" s="317" t="s">
        <v>911</v>
      </c>
      <c r="AB89" s="435"/>
      <c r="AC89" s="317" t="s">
        <v>138</v>
      </c>
      <c r="AD89" s="317" t="s">
        <v>911</v>
      </c>
      <c r="AE89" s="435"/>
    </row>
    <row r="90" spans="17:50" ht="15" thickBot="1" x14ac:dyDescent="0.35">
      <c r="Q90" s="314" t="s">
        <v>1096</v>
      </c>
      <c r="R90" s="316">
        <v>1551</v>
      </c>
      <c r="S90" s="316">
        <v>1828</v>
      </c>
      <c r="T90" s="319">
        <f>S90/R90-1</f>
        <v>0.1785944551901999</v>
      </c>
      <c r="U90" s="286">
        <v>4.9400000000000004</v>
      </c>
      <c r="V90" s="286">
        <v>4.72</v>
      </c>
      <c r="W90" s="318">
        <v>-4.3999999999999997E-2</v>
      </c>
      <c r="Y90" s="314" t="s">
        <v>1096</v>
      </c>
      <c r="Z90" s="316">
        <v>1551</v>
      </c>
      <c r="AA90" s="316">
        <v>1951</v>
      </c>
      <c r="AB90" s="319">
        <f>AA90/Z90-1</f>
        <v>0.25789813023855568</v>
      </c>
      <c r="AC90" s="286">
        <v>4.9400000000000004</v>
      </c>
      <c r="AD90" s="286">
        <v>5.44</v>
      </c>
      <c r="AE90" s="318">
        <v>9.2999999999999999E-2</v>
      </c>
    </row>
    <row r="91" spans="17:50" ht="15" thickBot="1" x14ac:dyDescent="0.35">
      <c r="Q91" s="314" t="s">
        <v>1097</v>
      </c>
      <c r="R91" s="316">
        <v>1607</v>
      </c>
      <c r="S91" s="316">
        <v>1864</v>
      </c>
      <c r="T91" s="319">
        <f t="shared" ref="T91:T96" si="17">S91/R91-1</f>
        <v>0.15992532669570636</v>
      </c>
      <c r="U91" s="286">
        <v>4.7699999999999996</v>
      </c>
      <c r="V91" s="286">
        <v>4.6500000000000004</v>
      </c>
      <c r="W91" s="318">
        <v>-2.7E-2</v>
      </c>
      <c r="Y91" s="314" t="s">
        <v>1097</v>
      </c>
      <c r="Z91" s="316">
        <v>1607</v>
      </c>
      <c r="AA91" s="316">
        <v>1974</v>
      </c>
      <c r="AB91" s="319">
        <f t="shared" ref="AB91:AB96" si="18">AA91/Z91-1</f>
        <v>0.22837585563161178</v>
      </c>
      <c r="AC91" s="286">
        <v>4.7699999999999996</v>
      </c>
      <c r="AD91" s="286">
        <v>5.39</v>
      </c>
      <c r="AE91" s="318">
        <v>0.114</v>
      </c>
    </row>
    <row r="92" spans="17:50" ht="15" thickBot="1" x14ac:dyDescent="0.35">
      <c r="Q92" s="314" t="s">
        <v>1098</v>
      </c>
      <c r="R92" s="316">
        <v>1813</v>
      </c>
      <c r="S92" s="316">
        <v>2200</v>
      </c>
      <c r="T92" s="319">
        <f t="shared" si="17"/>
        <v>0.21345835631549925</v>
      </c>
      <c r="U92" s="286">
        <v>4.2300000000000004</v>
      </c>
      <c r="V92" s="286">
        <v>3.93</v>
      </c>
      <c r="W92" s="318">
        <v>-7.4999999999999997E-2</v>
      </c>
      <c r="Y92" s="314" t="s">
        <v>1098</v>
      </c>
      <c r="Z92" s="316">
        <v>1813</v>
      </c>
      <c r="AA92" s="316">
        <v>2606</v>
      </c>
      <c r="AB92" s="319">
        <f t="shared" si="18"/>
        <v>0.43739658025372319</v>
      </c>
      <c r="AC92" s="286">
        <v>4.2300000000000004</v>
      </c>
      <c r="AD92" s="286">
        <v>4.08</v>
      </c>
      <c r="AE92" s="318">
        <v>-3.5999999999999997E-2</v>
      </c>
    </row>
    <row r="93" spans="17:50" ht="15" thickBot="1" x14ac:dyDescent="0.35">
      <c r="Q93" s="314" t="s">
        <v>1099</v>
      </c>
      <c r="R93" s="316">
        <v>1733</v>
      </c>
      <c r="S93" s="316">
        <v>2113</v>
      </c>
      <c r="T93" s="319">
        <f t="shared" si="17"/>
        <v>0.2192729371032891</v>
      </c>
      <c r="U93" s="286">
        <v>4.42</v>
      </c>
      <c r="V93" s="286">
        <v>4.0999999999999996</v>
      </c>
      <c r="W93" s="318">
        <v>-0.08</v>
      </c>
      <c r="Y93" s="314" t="s">
        <v>1099</v>
      </c>
      <c r="Z93" s="316">
        <v>1733</v>
      </c>
      <c r="AA93" s="316">
        <v>2419</v>
      </c>
      <c r="AB93" s="319">
        <f t="shared" si="18"/>
        <v>0.39584535487593775</v>
      </c>
      <c r="AC93" s="286">
        <v>4.42</v>
      </c>
      <c r="AD93" s="286">
        <v>4.4000000000000004</v>
      </c>
      <c r="AE93" s="318">
        <v>-6.0000000000000001E-3</v>
      </c>
    </row>
    <row r="94" spans="17:50" ht="15" thickBot="1" x14ac:dyDescent="0.35">
      <c r="Q94" s="314" t="s">
        <v>1100</v>
      </c>
      <c r="R94" s="316">
        <v>1380</v>
      </c>
      <c r="S94" s="316">
        <v>1634</v>
      </c>
      <c r="T94" s="319">
        <f t="shared" si="17"/>
        <v>0.18405797101449273</v>
      </c>
      <c r="U94" s="286">
        <v>5.56</v>
      </c>
      <c r="V94" s="286">
        <v>5.29</v>
      </c>
      <c r="W94" s="318">
        <v>-4.9000000000000002E-2</v>
      </c>
      <c r="Y94" s="314" t="s">
        <v>1100</v>
      </c>
      <c r="Z94" s="316">
        <v>1380</v>
      </c>
      <c r="AA94" s="316">
        <v>1504</v>
      </c>
      <c r="AB94" s="319">
        <f t="shared" si="18"/>
        <v>8.9855072463768115E-2</v>
      </c>
      <c r="AC94" s="286">
        <v>5.56</v>
      </c>
      <c r="AD94" s="286">
        <v>7.07</v>
      </c>
      <c r="AE94" s="318">
        <v>0.214</v>
      </c>
    </row>
    <row r="95" spans="17:50" ht="15" thickBot="1" x14ac:dyDescent="0.35">
      <c r="Q95" s="314" t="s">
        <v>1101</v>
      </c>
      <c r="R95" s="316">
        <v>1268</v>
      </c>
      <c r="S95" s="316">
        <v>1422</v>
      </c>
      <c r="T95" s="319">
        <f t="shared" si="17"/>
        <v>0.12145110410094628</v>
      </c>
      <c r="U95" s="286">
        <v>6.03</v>
      </c>
      <c r="V95" s="286">
        <v>6.08</v>
      </c>
      <c r="W95" s="318">
        <v>7.0000000000000001E-3</v>
      </c>
      <c r="Y95" s="314" t="s">
        <v>1101</v>
      </c>
      <c r="Z95" s="316">
        <v>1268</v>
      </c>
      <c r="AA95" s="316">
        <v>1321</v>
      </c>
      <c r="AB95" s="319">
        <f t="shared" si="18"/>
        <v>4.1798107255520467E-2</v>
      </c>
      <c r="AC95" s="286">
        <v>6.03</v>
      </c>
      <c r="AD95" s="286">
        <v>8.06</v>
      </c>
      <c r="AE95" s="318">
        <v>0.249</v>
      </c>
    </row>
    <row r="96" spans="17:50" ht="15" thickBot="1" x14ac:dyDescent="0.35">
      <c r="Q96" s="314" t="s">
        <v>1102</v>
      </c>
      <c r="R96" s="316">
        <v>1100</v>
      </c>
      <c r="S96" s="316">
        <v>1249</v>
      </c>
      <c r="T96" s="319">
        <f t="shared" si="17"/>
        <v>0.13545454545454549</v>
      </c>
      <c r="U96" s="286">
        <v>6.97</v>
      </c>
      <c r="V96" s="286">
        <v>6.92</v>
      </c>
      <c r="W96" s="318">
        <v>-6.0000000000000001E-3</v>
      </c>
      <c r="Y96" s="314" t="s">
        <v>1102</v>
      </c>
      <c r="Z96" s="316">
        <v>1100</v>
      </c>
      <c r="AA96" s="316">
        <v>1136</v>
      </c>
      <c r="AB96" s="319">
        <f t="shared" si="18"/>
        <v>3.2727272727272716E-2</v>
      </c>
      <c r="AC96" s="286">
        <v>6.97</v>
      </c>
      <c r="AD96" s="286">
        <v>9.3699999999999992</v>
      </c>
      <c r="AE96" s="318">
        <v>0.255</v>
      </c>
    </row>
    <row r="100" spans="2:43" x14ac:dyDescent="0.3">
      <c r="Q100" s="8"/>
      <c r="R100" s="8" t="s">
        <v>325</v>
      </c>
      <c r="S100" s="8"/>
      <c r="T100" s="8"/>
      <c r="AE100" s="8"/>
      <c r="AF100" s="8" t="s">
        <v>337</v>
      </c>
      <c r="AG100" s="8"/>
      <c r="AH100" s="8"/>
    </row>
    <row r="101" spans="2:43" x14ac:dyDescent="0.3">
      <c r="B101" t="s">
        <v>220</v>
      </c>
      <c r="K101" t="s">
        <v>219</v>
      </c>
      <c r="Q101" s="8"/>
      <c r="R101" s="8" t="s">
        <v>324</v>
      </c>
      <c r="S101" s="8"/>
      <c r="T101" s="8"/>
      <c r="V101" t="s">
        <v>316</v>
      </c>
      <c r="AE101" s="8"/>
      <c r="AF101" s="8" t="s">
        <v>324</v>
      </c>
      <c r="AG101" s="8"/>
      <c r="AH101" s="8"/>
      <c r="AJ101" t="s">
        <v>316</v>
      </c>
    </row>
    <row r="102" spans="2:43" x14ac:dyDescent="0.3">
      <c r="B102" s="8"/>
      <c r="C102" s="8" t="s">
        <v>120</v>
      </c>
      <c r="D102" s="8" t="s">
        <v>121</v>
      </c>
      <c r="E102" s="8" t="s">
        <v>122</v>
      </c>
      <c r="F102" s="30"/>
      <c r="G102" s="30"/>
      <c r="H102" s="30"/>
      <c r="K102" s="8"/>
      <c r="L102" s="8" t="s">
        <v>120</v>
      </c>
      <c r="M102" s="8" t="s">
        <v>121</v>
      </c>
      <c r="N102" s="8" t="s">
        <v>122</v>
      </c>
      <c r="Q102" s="8" t="s">
        <v>312</v>
      </c>
      <c r="R102" s="8" t="s">
        <v>326</v>
      </c>
      <c r="S102" s="8" t="s">
        <v>327</v>
      </c>
      <c r="T102" s="8" t="s">
        <v>328</v>
      </c>
      <c r="V102" t="s">
        <v>312</v>
      </c>
      <c r="W102" t="s">
        <v>138</v>
      </c>
      <c r="X102" t="s">
        <v>242</v>
      </c>
      <c r="Y102" t="s">
        <v>243</v>
      </c>
      <c r="AA102" t="s">
        <v>323</v>
      </c>
      <c r="AE102" s="8" t="s">
        <v>312</v>
      </c>
      <c r="AF102" s="8" t="s">
        <v>326</v>
      </c>
      <c r="AG102" s="8" t="s">
        <v>327</v>
      </c>
      <c r="AH102" s="8" t="s">
        <v>328</v>
      </c>
      <c r="AJ102" t="s">
        <v>312</v>
      </c>
      <c r="AK102" t="s">
        <v>138</v>
      </c>
      <c r="AL102" t="s">
        <v>242</v>
      </c>
      <c r="AM102" t="s">
        <v>243</v>
      </c>
      <c r="AO102" t="s">
        <v>323</v>
      </c>
    </row>
    <row r="103" spans="2:43" x14ac:dyDescent="0.3">
      <c r="B103" s="8" t="s">
        <v>119</v>
      </c>
      <c r="C103" s="21">
        <f>COUNTIF(Data!$J$3:$J$52,"&gt;0")-3</f>
        <v>47</v>
      </c>
      <c r="D103" s="21">
        <f>COUNTIF(Data!$J$128:$J$207,"&gt;0")</f>
        <v>51</v>
      </c>
      <c r="E103" s="21">
        <f>COUNT(CSP!AF3:AF41)</f>
        <v>32</v>
      </c>
      <c r="F103" s="31"/>
      <c r="G103" s="31"/>
      <c r="H103" s="31"/>
      <c r="K103" s="8" t="s">
        <v>119</v>
      </c>
      <c r="L103" s="21">
        <f>COUNTIF(Data!$O$3:$O$52,"&gt;0")-3</f>
        <v>35</v>
      </c>
      <c r="M103" s="21">
        <f>COUNTIF(Data!$O$128:$O$207,"&gt;0")</f>
        <v>34</v>
      </c>
      <c r="N103" s="21">
        <f>COUNTIF(CSP!$N$3:$N$41,"&gt;0")</f>
        <v>23</v>
      </c>
      <c r="Q103" s="8" t="s">
        <v>313</v>
      </c>
      <c r="R103" s="64">
        <f t="shared" ref="R103:S108" si="19">AB103/AA103-1</f>
        <v>-3.880394670862175E-2</v>
      </c>
      <c r="S103" s="64">
        <f t="shared" si="19"/>
        <v>6.5069423671501925E-2</v>
      </c>
      <c r="T103" s="64">
        <f t="shared" ref="T103:T108" si="20">AC103/AA103-1</f>
        <v>2.3740526514370641E-2</v>
      </c>
      <c r="V103" t="s">
        <v>313</v>
      </c>
      <c r="W103" s="63">
        <v>1550.79</v>
      </c>
      <c r="X103" s="63">
        <v>1828.03</v>
      </c>
      <c r="Y103" s="63">
        <v>2084.71</v>
      </c>
      <c r="Z103" t="s">
        <v>317</v>
      </c>
      <c r="AA103" s="59">
        <f t="shared" ref="AA103:AA108" si="21">$M$121*1000/W103</f>
        <v>4.9257406501449612</v>
      </c>
      <c r="AB103" s="59">
        <f t="shared" ref="AB103:AB108" si="22">(1000*$M$122)/X103</f>
        <v>4.7346024724562445</v>
      </c>
      <c r="AC103" s="59">
        <f t="shared" ref="AC103:AC108" si="23">1000*$M$123/Y103</f>
        <v>5.0426803266526408</v>
      </c>
      <c r="AE103" s="8" t="s">
        <v>313</v>
      </c>
      <c r="AF103" s="64">
        <f t="shared" ref="AF103:AF108" si="24">AP103/AO103-1</f>
        <v>-2.1759777613831077E-2</v>
      </c>
      <c r="AG103" s="64">
        <f t="shared" ref="AG103:AG108" si="25">AQ103/AP103-1</f>
        <v>8.7376468259149576E-2</v>
      </c>
      <c r="AH103" s="64">
        <f t="shared" ref="AH103:AH108" si="26">AQ103/AO103-1</f>
        <v>6.3715398127317302E-2</v>
      </c>
      <c r="AJ103" t="s">
        <v>313</v>
      </c>
      <c r="AK103" s="63">
        <v>1550.79</v>
      </c>
      <c r="AL103" s="63">
        <v>1828.03</v>
      </c>
      <c r="AM103" s="63">
        <v>2084.71</v>
      </c>
      <c r="AN103" t="s">
        <v>317</v>
      </c>
      <c r="AO103" s="59">
        <f t="shared" ref="AO103:AO108" si="27">$T$121*1000/AK103</f>
        <v>3.5395639626180513</v>
      </c>
      <c r="AP103" s="59">
        <f t="shared" ref="AP103:AP108" si="28">(1000*$T$122)/AL103</f>
        <v>3.4625438379415518</v>
      </c>
      <c r="AQ103" s="59">
        <f t="shared" ref="AQ103:AQ108" si="29">1000*$T$123/AM103</f>
        <v>3.7650886896933655</v>
      </c>
    </row>
    <row r="104" spans="2:43" x14ac:dyDescent="0.3">
      <c r="B104" s="8" t="s">
        <v>237</v>
      </c>
      <c r="C104" s="21">
        <f>SUMIF(Data!$E$3:$E$52,"&gt;0")/1000</f>
        <v>225.4555081052562</v>
      </c>
      <c r="D104" s="21">
        <f>SUMIF(Data!$E$128:$E$207,"&gt;0")/1000</f>
        <v>2472.306998010697</v>
      </c>
      <c r="E104" s="35">
        <f>SUM(CSP!D3:D41)/1000</f>
        <v>9320.5</v>
      </c>
      <c r="F104" s="31"/>
      <c r="G104" s="31"/>
      <c r="H104" s="31"/>
      <c r="K104" s="8" t="s">
        <v>128</v>
      </c>
      <c r="L104" s="21">
        <f>SUMIF(Data!$O$3:$O$52,"&gt;0",Data!$E$3:$E$52)/1000</f>
        <v>122.80246392891007</v>
      </c>
      <c r="M104" s="21">
        <f>SUMIF(Data!$O$128:$O$207,"&gt;0",Data!$E$128:$E$207)/1000</f>
        <v>856.5864933080212</v>
      </c>
      <c r="N104" s="35">
        <f>SUMIF(CSP!N3:N41,"&gt;0",CSP!D3:D41)/1000</f>
        <v>4740.5</v>
      </c>
      <c r="Q104" s="8" t="s">
        <v>314</v>
      </c>
      <c r="R104" s="64">
        <f t="shared" si="19"/>
        <v>-2.3067936033117409E-2</v>
      </c>
      <c r="S104" s="64">
        <f t="shared" si="19"/>
        <v>7.3637030667798697E-2</v>
      </c>
      <c r="T104" s="64">
        <f t="shared" si="20"/>
        <v>4.8870440321567843E-2</v>
      </c>
      <c r="V104" t="s">
        <v>314</v>
      </c>
      <c r="W104" s="63">
        <v>1607.21</v>
      </c>
      <c r="X104" s="63">
        <v>1864.02</v>
      </c>
      <c r="Y104" s="63">
        <v>2108.79</v>
      </c>
      <c r="Z104" t="s">
        <v>318</v>
      </c>
      <c r="AA104" s="59">
        <f t="shared" si="21"/>
        <v>4.752825917483281</v>
      </c>
      <c r="AB104" s="59">
        <f t="shared" si="22"/>
        <v>4.6431880332422342</v>
      </c>
      <c r="AC104" s="59">
        <f t="shared" si="23"/>
        <v>4.9850986128424486</v>
      </c>
      <c r="AE104" s="8" t="s">
        <v>314</v>
      </c>
      <c r="AF104" s="64">
        <f t="shared" si="24"/>
        <v>-5.7447320568242422E-3</v>
      </c>
      <c r="AG104" s="64">
        <f t="shared" si="25"/>
        <v>9.6123517071189157E-2</v>
      </c>
      <c r="AH104" s="64">
        <f t="shared" si="26"/>
        <v>8.9826581164431207E-2</v>
      </c>
      <c r="AJ104" t="s">
        <v>314</v>
      </c>
      <c r="AK104" s="63">
        <v>1607.21</v>
      </c>
      <c r="AL104" s="63">
        <v>1864.02</v>
      </c>
      <c r="AM104" s="63">
        <v>2108.79</v>
      </c>
      <c r="AN104" t="s">
        <v>318</v>
      </c>
      <c r="AO104" s="59">
        <f t="shared" si="27"/>
        <v>3.4153100077702647</v>
      </c>
      <c r="AP104" s="59">
        <f t="shared" si="28"/>
        <v>3.3956899668846341</v>
      </c>
      <c r="AQ104" s="59">
        <f t="shared" si="29"/>
        <v>3.7220956293849348</v>
      </c>
    </row>
    <row r="105" spans="2:43" x14ac:dyDescent="0.3">
      <c r="B105" s="8" t="s">
        <v>126</v>
      </c>
      <c r="C105" s="20">
        <f>SUMIF(Data!$K$3:$K$52,"&lt;&gt;""")</f>
        <v>7.5237412770000009</v>
      </c>
      <c r="D105" s="20">
        <f>SUMIF(Data!$K$128:$K$207,"&lt;&gt;""")</f>
        <v>88.539725072197399</v>
      </c>
      <c r="E105" s="20">
        <f>SUM(CSP!J3:J41)</f>
        <v>383.09306699999996</v>
      </c>
      <c r="F105" s="33"/>
      <c r="G105" s="33"/>
      <c r="H105" s="33"/>
      <c r="K105" s="8" t="s">
        <v>127</v>
      </c>
      <c r="L105" s="20">
        <f>SUMIF(Data!$P$3:$P$52,"&lt;&gt;""")</f>
        <v>3.0905684430000004</v>
      </c>
      <c r="M105" s="20">
        <f>SUMIF(Data!$P$128:$P$207,"&gt;0")</f>
        <v>31.957202753349016</v>
      </c>
      <c r="N105" s="27">
        <f>SUM(CSP!O3:O41)</f>
        <v>138.50129040000002</v>
      </c>
      <c r="Q105" s="8" t="s">
        <v>3</v>
      </c>
      <c r="R105" s="64">
        <f t="shared" si="19"/>
        <v>-6.6007409338894263E-2</v>
      </c>
      <c r="S105" s="64">
        <f t="shared" si="19"/>
        <v>3.2590631787217772E-2</v>
      </c>
      <c r="T105" s="64">
        <f t="shared" si="20"/>
        <v>-3.5568000724668591E-2</v>
      </c>
      <c r="V105" t="s">
        <v>3</v>
      </c>
      <c r="W105" s="63">
        <v>1813.32</v>
      </c>
      <c r="X105" s="63">
        <v>2199.75</v>
      </c>
      <c r="Y105" s="63">
        <v>2587.5300000000002</v>
      </c>
      <c r="Z105" t="s">
        <v>319</v>
      </c>
      <c r="AA105" s="59">
        <f t="shared" si="21"/>
        <v>4.2125986272904417</v>
      </c>
      <c r="AB105" s="59">
        <f t="shared" si="22"/>
        <v>3.9345359053184175</v>
      </c>
      <c r="AC105" s="59">
        <f t="shared" si="23"/>
        <v>4.0627649162622372</v>
      </c>
      <c r="AE105" s="8" t="s">
        <v>3</v>
      </c>
      <c r="AF105" s="64">
        <f t="shared" si="24"/>
        <v>-4.9445618855050388E-2</v>
      </c>
      <c r="AG105" s="64">
        <f t="shared" si="25"/>
        <v>5.4217433526264402E-2</v>
      </c>
      <c r="AH105" s="64">
        <f t="shared" si="26"/>
        <v>2.0910001177754101E-3</v>
      </c>
      <c r="AJ105" t="s">
        <v>3</v>
      </c>
      <c r="AK105" s="63">
        <v>1813.32</v>
      </c>
      <c r="AL105" s="63">
        <v>2199.75</v>
      </c>
      <c r="AM105" s="63">
        <v>2587.5300000000002</v>
      </c>
      <c r="AN105" t="s">
        <v>319</v>
      </c>
      <c r="AO105" s="59">
        <f t="shared" si="27"/>
        <v>3.0271107127194581</v>
      </c>
      <c r="AP105" s="59">
        <f t="shared" si="28"/>
        <v>2.8774333501862919</v>
      </c>
      <c r="AQ105" s="59">
        <f t="shared" si="29"/>
        <v>3.0334404015762737</v>
      </c>
    </row>
    <row r="106" spans="2:43" x14ac:dyDescent="0.3">
      <c r="B106" s="8" t="s">
        <v>123</v>
      </c>
      <c r="C106" s="20">
        <f>Data!M171</f>
        <v>8.2629663379131877</v>
      </c>
      <c r="D106" s="20">
        <f>Data!M275</f>
        <v>7.9227856594471149</v>
      </c>
      <c r="E106" s="20">
        <f>CSP!L50</f>
        <v>9.9722962173681413</v>
      </c>
      <c r="F106" s="34"/>
      <c r="G106" s="34"/>
      <c r="H106" s="34"/>
      <c r="K106" s="8" t="s">
        <v>124</v>
      </c>
      <c r="L106" s="20">
        <f>Data!R171</f>
        <v>5.937498353521975</v>
      </c>
      <c r="M106" s="20">
        <f>Data!R275</f>
        <v>7.2132899580301046</v>
      </c>
      <c r="N106" s="20">
        <f>CSP!Q50</f>
        <v>7.6635742811501597</v>
      </c>
      <c r="Q106" s="8" t="s">
        <v>35</v>
      </c>
      <c r="R106" s="64">
        <f t="shared" si="19"/>
        <v>-7.067308415656981E-2</v>
      </c>
      <c r="S106" s="64">
        <f t="shared" si="19"/>
        <v>6.8561786472684183E-2</v>
      </c>
      <c r="T106" s="64">
        <f t="shared" si="20"/>
        <v>-6.9567705891943055E-3</v>
      </c>
      <c r="V106" t="s">
        <v>35</v>
      </c>
      <c r="W106" s="63">
        <v>1733.42</v>
      </c>
      <c r="X106" s="63">
        <v>2113.38</v>
      </c>
      <c r="Y106" s="63">
        <v>2402.25</v>
      </c>
      <c r="Z106" t="s">
        <v>320</v>
      </c>
      <c r="AA106" s="59">
        <f t="shared" si="21"/>
        <v>4.4067735129618351</v>
      </c>
      <c r="AB106" s="59">
        <f t="shared" si="22"/>
        <v>4.0953332376213405</v>
      </c>
      <c r="AC106" s="59">
        <f t="shared" si="23"/>
        <v>4.3761166005936216</v>
      </c>
      <c r="AE106" s="8" t="s">
        <v>35</v>
      </c>
      <c r="AF106" s="64">
        <f t="shared" si="24"/>
        <v>-5.4194026586850241E-2</v>
      </c>
      <c r="AG106" s="64">
        <f t="shared" si="25"/>
        <v>9.0941975862905755E-2</v>
      </c>
      <c r="AH106" s="64">
        <f t="shared" si="26"/>
        <v>3.1819437418280527E-2</v>
      </c>
      <c r="AJ106" t="s">
        <v>35</v>
      </c>
      <c r="AK106" s="63">
        <v>1733.42</v>
      </c>
      <c r="AL106" s="63">
        <v>2113.38</v>
      </c>
      <c r="AM106" s="63">
        <v>2402.25</v>
      </c>
      <c r="AN106" t="s">
        <v>320</v>
      </c>
      <c r="AO106" s="59">
        <f t="shared" si="27"/>
        <v>3.1666418972830859</v>
      </c>
      <c r="AP106" s="59">
        <f t="shared" si="28"/>
        <v>2.9950288221106924</v>
      </c>
      <c r="AQ106" s="59">
        <f t="shared" si="29"/>
        <v>3.2674026609597902</v>
      </c>
    </row>
    <row r="107" spans="2:43" x14ac:dyDescent="0.3">
      <c r="F107" s="33"/>
      <c r="G107" s="33"/>
      <c r="H107" s="33"/>
      <c r="Q107" s="8" t="s">
        <v>148</v>
      </c>
      <c r="R107" s="64">
        <f t="shared" si="19"/>
        <v>-4.2683528488721145E-2</v>
      </c>
      <c r="S107" s="64">
        <f t="shared" si="19"/>
        <v>9.7594123422249934E-2</v>
      </c>
      <c r="T107" s="64">
        <f t="shared" si="20"/>
        <v>5.0744933386103419E-2</v>
      </c>
      <c r="V107" t="s">
        <v>148</v>
      </c>
      <c r="W107" s="63">
        <v>1380.22</v>
      </c>
      <c r="X107" s="63">
        <v>1633.56</v>
      </c>
      <c r="Y107" s="63">
        <v>1807.73</v>
      </c>
      <c r="Z107" t="s">
        <v>321</v>
      </c>
      <c r="AA107" s="59">
        <f t="shared" si="21"/>
        <v>5.5344722890831202</v>
      </c>
      <c r="AB107" s="59">
        <f t="shared" si="22"/>
        <v>5.2982414834620029</v>
      </c>
      <c r="AC107" s="59">
        <f t="shared" si="23"/>
        <v>5.8153187167198785</v>
      </c>
      <c r="AE107" s="8" t="s">
        <v>148</v>
      </c>
      <c r="AF107" s="64">
        <f t="shared" si="24"/>
        <v>-2.5708153109479714E-2</v>
      </c>
      <c r="AG107" s="64">
        <f t="shared" si="25"/>
        <v>0.12058237236279212</v>
      </c>
      <c r="AH107" s="64">
        <f t="shared" si="26"/>
        <v>9.1774269162305355E-2</v>
      </c>
      <c r="AJ107" t="s">
        <v>148</v>
      </c>
      <c r="AK107" s="63">
        <v>1380.22</v>
      </c>
      <c r="AL107" s="63">
        <v>1633.56</v>
      </c>
      <c r="AM107" s="63">
        <v>1807.73</v>
      </c>
      <c r="AN107" t="s">
        <v>321</v>
      </c>
      <c r="AO107" s="59">
        <f t="shared" si="27"/>
        <v>3.9769894637003138</v>
      </c>
      <c r="AP107" s="59">
        <f t="shared" si="28"/>
        <v>3.8747484096527187</v>
      </c>
      <c r="AQ107" s="59">
        <f t="shared" si="29"/>
        <v>4.3419747651975991</v>
      </c>
    </row>
    <row r="108" spans="2:43" ht="15" thickBot="1" x14ac:dyDescent="0.35">
      <c r="B108" t="s">
        <v>250</v>
      </c>
      <c r="C108" s="36" t="s">
        <v>129</v>
      </c>
      <c r="D108" s="8"/>
      <c r="E108" s="8" t="s">
        <v>121</v>
      </c>
      <c r="F108" s="21"/>
      <c r="G108" s="31"/>
      <c r="H108" s="31"/>
      <c r="Q108" s="8" t="s">
        <v>171</v>
      </c>
      <c r="R108" s="64">
        <f t="shared" si="19"/>
        <v>1.0272294904183799E-2</v>
      </c>
      <c r="S108" s="64">
        <f t="shared" si="19"/>
        <v>5.2078310484134471E-2</v>
      </c>
      <c r="T108" s="64">
        <f t="shared" si="20"/>
        <v>6.2885569151723164E-2</v>
      </c>
      <c r="V108" t="s">
        <v>171</v>
      </c>
      <c r="W108" s="63">
        <v>1267.8599999999999</v>
      </c>
      <c r="X108" s="63">
        <v>1421.92</v>
      </c>
      <c r="Y108" s="63">
        <v>1641.6</v>
      </c>
      <c r="Z108" t="s">
        <v>322</v>
      </c>
      <c r="AA108" s="59">
        <f t="shared" si="21"/>
        <v>6.0249470310904236</v>
      </c>
      <c r="AB108" s="59">
        <f t="shared" si="22"/>
        <v>6.0868370637758717</v>
      </c>
      <c r="AC108" s="59">
        <f t="shared" si="23"/>
        <v>6.403829254249529</v>
      </c>
      <c r="AE108" s="8" t="s">
        <v>171</v>
      </c>
      <c r="AF108" s="64">
        <f t="shared" si="24"/>
        <v>2.8186696203654771E-2</v>
      </c>
      <c r="AG108" s="64">
        <f t="shared" si="25"/>
        <v>7.411326638472282E-2</v>
      </c>
      <c r="AH108" s="64">
        <f t="shared" si="26"/>
        <v>0.10438897071262421</v>
      </c>
      <c r="AJ108" t="s">
        <v>171</v>
      </c>
      <c r="AK108" s="63">
        <v>1267.8599999999999</v>
      </c>
      <c r="AL108" s="63">
        <v>1421.92</v>
      </c>
      <c r="AM108" s="63">
        <v>1641.6</v>
      </c>
      <c r="AN108" t="s">
        <v>322</v>
      </c>
      <c r="AO108" s="59">
        <f t="shared" si="27"/>
        <v>4.3294373176758061</v>
      </c>
      <c r="AP108" s="59">
        <f t="shared" si="28"/>
        <v>4.4514698520818996</v>
      </c>
      <c r="AQ108" s="59">
        <f t="shared" si="29"/>
        <v>4.7813828230328079</v>
      </c>
    </row>
    <row r="109" spans="2:43" ht="15" thickBot="1" x14ac:dyDescent="0.35">
      <c r="B109" s="8" t="s">
        <v>222</v>
      </c>
      <c r="C109" t="s">
        <v>55</v>
      </c>
      <c r="D109" s="8" t="s">
        <v>61</v>
      </c>
      <c r="E109" s="8" t="s">
        <v>55</v>
      </c>
      <c r="F109" s="8" t="s">
        <v>61</v>
      </c>
      <c r="G109" s="30"/>
      <c r="H109" s="30"/>
      <c r="K109" s="438" t="s">
        <v>223</v>
      </c>
      <c r="L109" s="440" t="s">
        <v>224</v>
      </c>
      <c r="M109" s="441"/>
      <c r="N109" s="440" t="s">
        <v>13</v>
      </c>
      <c r="O109" s="441"/>
      <c r="W109" s="62"/>
    </row>
    <row r="110" spans="2:43" ht="15" thickBot="1" x14ac:dyDescent="0.35">
      <c r="B110" s="8" t="s">
        <v>130</v>
      </c>
      <c r="C110" s="37">
        <f>SUM(Data!E39:E52)/1000</f>
        <v>145.85507745772509</v>
      </c>
      <c r="D110" s="37">
        <f>COUNT(Data!E39:E52)</f>
        <v>14</v>
      </c>
      <c r="E110" s="21">
        <f>SUM(Data!E191:E203)/1000</f>
        <v>1222.7433201210852</v>
      </c>
      <c r="F110" s="21">
        <f>COUNT(Data!E191:E203)</f>
        <v>13</v>
      </c>
      <c r="G110" s="31"/>
      <c r="H110" s="31"/>
      <c r="K110" s="439"/>
      <c r="L110" s="38" t="s">
        <v>225</v>
      </c>
      <c r="M110" s="38" t="s">
        <v>122</v>
      </c>
      <c r="N110" s="40" t="s">
        <v>225</v>
      </c>
      <c r="O110" s="40" t="s">
        <v>122</v>
      </c>
      <c r="X110" s="63"/>
    </row>
    <row r="111" spans="2:43" ht="93" thickBot="1" x14ac:dyDescent="0.35">
      <c r="B111" s="8" t="s">
        <v>131</v>
      </c>
      <c r="C111" s="37">
        <f>SUM(Data!E3:E36)/1000</f>
        <v>68.783295702083194</v>
      </c>
      <c r="D111" s="37">
        <f>COUNT(Data!E3:E36)</f>
        <v>34</v>
      </c>
      <c r="E111" s="21">
        <f>SUM(Data!E128:E190)/1000</f>
        <v>810.07921533731906</v>
      </c>
      <c r="F111" s="21">
        <f>COUNT(Data!E128:E190)</f>
        <v>19</v>
      </c>
      <c r="K111" s="39" t="s">
        <v>226</v>
      </c>
      <c r="L111" s="41">
        <f>SUM(L103:M103)</f>
        <v>69</v>
      </c>
      <c r="M111" s="41">
        <f>N103</f>
        <v>23</v>
      </c>
      <c r="N111" s="41">
        <f>SUM(C103:D103)</f>
        <v>98</v>
      </c>
      <c r="O111" s="41">
        <f>E103</f>
        <v>32</v>
      </c>
      <c r="X111" s="63"/>
    </row>
    <row r="112" spans="2:43" ht="93" thickBot="1" x14ac:dyDescent="0.35">
      <c r="B112" s="8" t="s">
        <v>132</v>
      </c>
      <c r="C112" s="37">
        <f>SUM(Data!E37:E38)/1000</f>
        <v>10.81713494544791</v>
      </c>
      <c r="D112" s="37">
        <f>COUNT(Data!E37:E38)</f>
        <v>2</v>
      </c>
      <c r="E112" s="21">
        <v>0</v>
      </c>
      <c r="F112" s="21">
        <v>0</v>
      </c>
      <c r="G112" s="31"/>
      <c r="H112" s="31"/>
      <c r="K112" s="39" t="s">
        <v>238</v>
      </c>
      <c r="L112" s="41">
        <f>ROUND(SUM(L104:M104),0)</f>
        <v>979</v>
      </c>
      <c r="M112" s="41">
        <f>N104</f>
        <v>4740.5</v>
      </c>
      <c r="N112" s="41">
        <f>ROUND(SUM(C104:D104),0)</f>
        <v>2698</v>
      </c>
      <c r="O112" s="41">
        <f>E104</f>
        <v>9320.5</v>
      </c>
    </row>
    <row r="113" spans="1:24" ht="55.8" thickBot="1" x14ac:dyDescent="0.35">
      <c r="B113" s="8" t="s">
        <v>213</v>
      </c>
      <c r="C113" s="37">
        <v>0</v>
      </c>
      <c r="D113" s="37">
        <v>0</v>
      </c>
      <c r="E113" s="21">
        <f>SUM(Data!E204:E207)/1000</f>
        <v>439.48446255229237</v>
      </c>
      <c r="F113" s="21">
        <f>COUNT(Data!E204:E207)</f>
        <v>4</v>
      </c>
      <c r="G113" s="31"/>
      <c r="H113" s="31"/>
      <c r="K113" s="39" t="s">
        <v>227</v>
      </c>
      <c r="L113" s="41">
        <f>SUM(L105:M105)</f>
        <v>35.047771196349018</v>
      </c>
      <c r="M113" s="41">
        <f>N105</f>
        <v>138.50129040000002</v>
      </c>
      <c r="N113" s="41">
        <f>SUM(C105:D105)</f>
        <v>96.063466349197398</v>
      </c>
      <c r="O113" s="41">
        <f>E105</f>
        <v>383.09306699999996</v>
      </c>
      <c r="X113" s="59"/>
    </row>
    <row r="114" spans="1:24" ht="79.8" thickBot="1" x14ac:dyDescent="0.35">
      <c r="K114" s="43" t="s">
        <v>228</v>
      </c>
      <c r="L114" s="44">
        <f>(L106*L104+M106*M104)/SUM(L104:M104)</f>
        <v>7.0533225096167422</v>
      </c>
      <c r="M114" s="44">
        <f>N106</f>
        <v>7.6635742811501597</v>
      </c>
      <c r="N114" s="44">
        <f>(C106*C104+D106*D104)/SUM(C104:D104)</f>
        <v>7.9512149995158889</v>
      </c>
      <c r="O114" s="44">
        <f>E106</f>
        <v>9.9722962173681413</v>
      </c>
    </row>
    <row r="115" spans="1:24" ht="15" thickBot="1" x14ac:dyDescent="0.35">
      <c r="B115" t="s">
        <v>249</v>
      </c>
      <c r="C115" s="36" t="s">
        <v>129</v>
      </c>
      <c r="D115" s="8"/>
      <c r="E115" s="8" t="s">
        <v>121</v>
      </c>
      <c r="F115" s="21"/>
      <c r="G115" s="31"/>
      <c r="H115" s="31"/>
      <c r="K115" s="45" t="s">
        <v>239</v>
      </c>
      <c r="L115" s="46">
        <f>L114*2.471</f>
        <v>17.428759921262969</v>
      </c>
      <c r="M115" s="46">
        <f>M114*2.471</f>
        <v>18.936692048722044</v>
      </c>
      <c r="N115" s="46">
        <f>N114*2.471</f>
        <v>19.647452263803761</v>
      </c>
      <c r="O115" s="47">
        <f>O114*2.471</f>
        <v>24.641543953116678</v>
      </c>
    </row>
    <row r="116" spans="1:24" x14ac:dyDescent="0.3">
      <c r="B116" s="8" t="s">
        <v>222</v>
      </c>
      <c r="C116" t="s">
        <v>55</v>
      </c>
      <c r="D116" s="8" t="s">
        <v>61</v>
      </c>
      <c r="E116" s="8" t="s">
        <v>55</v>
      </c>
      <c r="F116" s="8" t="s">
        <v>61</v>
      </c>
      <c r="G116" s="30"/>
      <c r="H116" s="30"/>
    </row>
    <row r="117" spans="1:24" x14ac:dyDescent="0.3">
      <c r="B117" s="8" t="s">
        <v>130</v>
      </c>
      <c r="C117" s="37">
        <f>SUMIF(Data!O39:O52,"&gt;0",Data!E39:E52)/1000</f>
        <v>59.719342839953498</v>
      </c>
      <c r="D117" s="37">
        <f>COUNTIF(Data!O39:O52,"&gt;0")</f>
        <v>6</v>
      </c>
      <c r="E117" s="21">
        <f>SUMIF(Data!O191:O203,"&gt;0",Data!E191:E203)/1000</f>
        <v>474.71269822170552</v>
      </c>
      <c r="F117" s="21">
        <f>COUNT(Data!O191:O203)</f>
        <v>7</v>
      </c>
      <c r="G117" s="31"/>
      <c r="H117" s="31"/>
      <c r="K117" s="22"/>
    </row>
    <row r="118" spans="1:24" x14ac:dyDescent="0.3">
      <c r="B118" s="8" t="s">
        <v>131</v>
      </c>
      <c r="C118" s="37">
        <f>SUMIF(Data!O3:O36,"&gt;0",Data!E3:E36)/1000</f>
        <v>57.459573169658398</v>
      </c>
      <c r="D118" s="37">
        <f>COUNTIF(Data!O3:O36,"&gt;0")</f>
        <v>31</v>
      </c>
      <c r="E118" s="21">
        <f>SUMIF(Data!O128:O190,"&gt;0",Data!E128:E190)/1000</f>
        <v>333.87379508631574</v>
      </c>
      <c r="F118" s="21">
        <f>COUNT(Data!O128:O190)</f>
        <v>26</v>
      </c>
      <c r="J118" s="48"/>
      <c r="K118" s="48" t="s">
        <v>13</v>
      </c>
      <c r="L118" s="48"/>
      <c r="M118" s="48"/>
      <c r="Q118" s="48"/>
      <c r="R118" s="48" t="s">
        <v>249</v>
      </c>
      <c r="S118" s="48"/>
      <c r="T118" s="48"/>
    </row>
    <row r="119" spans="1:24" x14ac:dyDescent="0.3">
      <c r="B119" s="8" t="s">
        <v>132</v>
      </c>
      <c r="C119" s="37">
        <f>SUMIF(Data!O37:O38,"&gt;0",Data!E37:E38)/1000</f>
        <v>5.6235479192981845</v>
      </c>
      <c r="D119" s="37">
        <f>COUNTIF(Data!O37:O38,"&gt;0")</f>
        <v>1</v>
      </c>
      <c r="E119" s="21">
        <v>0</v>
      </c>
      <c r="F119" s="21">
        <v>0</v>
      </c>
      <c r="G119" s="31"/>
      <c r="H119" s="31"/>
      <c r="J119" s="48"/>
      <c r="K119" s="48" t="s">
        <v>247</v>
      </c>
      <c r="L119" s="48" t="s">
        <v>55</v>
      </c>
      <c r="M119" s="48" t="s">
        <v>240</v>
      </c>
      <c r="N119" s="66" t="s">
        <v>54</v>
      </c>
      <c r="Q119" s="48"/>
      <c r="R119" s="48" t="s">
        <v>247</v>
      </c>
      <c r="S119" s="48" t="s">
        <v>55</v>
      </c>
      <c r="T119" s="48" t="s">
        <v>240</v>
      </c>
      <c r="U119" s="66" t="s">
        <v>54</v>
      </c>
    </row>
    <row r="120" spans="1:24" x14ac:dyDescent="0.3">
      <c r="B120" s="8" t="s">
        <v>213</v>
      </c>
      <c r="C120" s="37">
        <v>0</v>
      </c>
      <c r="D120" s="37">
        <v>0</v>
      </c>
      <c r="E120" s="21">
        <f>SUMIF(Data!O204:O207,"&gt;0",Data!E204:E207)/1000</f>
        <v>48</v>
      </c>
      <c r="F120" s="21">
        <f>COUNT(Data!O204:O207)</f>
        <v>1</v>
      </c>
      <c r="G120" s="31"/>
      <c r="H120" s="31"/>
      <c r="J120" s="51" t="s">
        <v>241</v>
      </c>
      <c r="K120" s="48"/>
      <c r="L120" s="48"/>
      <c r="M120" s="48"/>
      <c r="N120" s="48"/>
      <c r="Q120" s="51" t="s">
        <v>241</v>
      </c>
      <c r="R120" s="48"/>
      <c r="S120" s="48"/>
      <c r="T120" s="48"/>
      <c r="U120" s="48"/>
      <c r="W120" t="s">
        <v>341</v>
      </c>
    </row>
    <row r="121" spans="1:24" x14ac:dyDescent="0.3">
      <c r="J121" s="8" t="s">
        <v>138</v>
      </c>
      <c r="K121" s="21">
        <f>D110</f>
        <v>14</v>
      </c>
      <c r="L121" s="21">
        <f>C110</f>
        <v>145.85507745772509</v>
      </c>
      <c r="M121" s="20">
        <f>Data!$M$158</f>
        <v>7.6387893428383045</v>
      </c>
      <c r="N121" s="20">
        <f>Data!$N$158</f>
        <v>35.945734345687107</v>
      </c>
      <c r="Q121" s="8" t="s">
        <v>138</v>
      </c>
      <c r="R121" s="21">
        <f>D117</f>
        <v>6</v>
      </c>
      <c r="S121" s="21">
        <f>C117</f>
        <v>59.719342839953498</v>
      </c>
      <c r="T121" s="20">
        <f>Data!R158</f>
        <v>5.4891203975884473</v>
      </c>
      <c r="U121" s="20">
        <f>Data!S158</f>
        <v>49.000305208219842</v>
      </c>
      <c r="W121" s="1">
        <f>T121*2.471</f>
        <v>13.563616502441054</v>
      </c>
    </row>
    <row r="122" spans="1:24" x14ac:dyDescent="0.3">
      <c r="B122" s="8" t="s">
        <v>221</v>
      </c>
      <c r="C122" s="8" t="s">
        <v>55</v>
      </c>
      <c r="D122" s="8" t="s">
        <v>61</v>
      </c>
      <c r="E122" s="8" t="s">
        <v>240</v>
      </c>
      <c r="J122" s="8" t="s">
        <v>242</v>
      </c>
      <c r="K122" s="21">
        <f>D111</f>
        <v>34</v>
      </c>
      <c r="L122" s="21">
        <f>C111</f>
        <v>68.783295702083194</v>
      </c>
      <c r="M122" s="20">
        <f>Data!$M$148</f>
        <v>8.6549953577241894</v>
      </c>
      <c r="N122" s="20">
        <f>Data!$N$148</f>
        <v>30.326687368528695</v>
      </c>
      <c r="Q122" s="8" t="s">
        <v>242</v>
      </c>
      <c r="R122" s="21">
        <f>D118</f>
        <v>31</v>
      </c>
      <c r="S122" s="21">
        <f>C118</f>
        <v>57.459573169658398</v>
      </c>
      <c r="T122" s="20">
        <f>Data!R148</f>
        <v>6.3296340120722956</v>
      </c>
      <c r="U122" s="20">
        <f>Data!S148</f>
        <v>41.340805776963421</v>
      </c>
      <c r="W122" s="1">
        <f>T122*2.471</f>
        <v>15.640525643830642</v>
      </c>
    </row>
    <row r="123" spans="1:24" x14ac:dyDescent="0.3">
      <c r="B123" s="8" t="s">
        <v>112</v>
      </c>
      <c r="C123" s="21">
        <f>SUM(CSP!D3:D19)/1000</f>
        <v>2109</v>
      </c>
      <c r="D123" s="21">
        <f>COUNT(CSP!D3:D19)</f>
        <v>16</v>
      </c>
      <c r="E123" s="20">
        <f>CSP!L56</f>
        <v>9.5007246376811594</v>
      </c>
      <c r="J123" s="8" t="s">
        <v>243</v>
      </c>
      <c r="K123" s="21">
        <f>D112</f>
        <v>2</v>
      </c>
      <c r="L123" s="21">
        <f>C112</f>
        <v>10.81713494544791</v>
      </c>
      <c r="M123" s="20">
        <f>Data!$M$153</f>
        <v>10.512526103776027</v>
      </c>
      <c r="N123" s="20">
        <f>Data!$N$153</f>
        <v>25.646375158344341</v>
      </c>
      <c r="Q123" s="8" t="s">
        <v>243</v>
      </c>
      <c r="R123" s="21">
        <f>D119</f>
        <v>1</v>
      </c>
      <c r="S123" s="21">
        <f>C119</f>
        <v>5.6235479192981845</v>
      </c>
      <c r="T123" s="20">
        <f>Data!R153</f>
        <v>7.8491180422906561</v>
      </c>
      <c r="U123" s="20">
        <f>Data!S153</f>
        <v>33.723618018882398</v>
      </c>
      <c r="W123" s="1">
        <f>T123*2.471</f>
        <v>19.395170682500211</v>
      </c>
    </row>
    <row r="124" spans="1:24" x14ac:dyDescent="0.3">
      <c r="B124" s="8" t="s">
        <v>99</v>
      </c>
      <c r="C124" s="21">
        <f>SUM(CSP!D26:D41)/1000</f>
        <v>5956.5</v>
      </c>
      <c r="D124" s="21">
        <f>COUNT(CSP!D26:D41)</f>
        <v>16</v>
      </c>
      <c r="E124" s="20">
        <f>CSP!L68</f>
        <v>10.264270613107822</v>
      </c>
      <c r="J124" s="48" t="s">
        <v>246</v>
      </c>
      <c r="K124" s="49">
        <f>SUM(K121:K123)</f>
        <v>50</v>
      </c>
      <c r="L124" s="49">
        <f>SUM(L121:L123)</f>
        <v>225.4555081052562</v>
      </c>
      <c r="M124" s="50">
        <f>Data!$M$171</f>
        <v>8.2629663379131877</v>
      </c>
      <c r="N124" s="50">
        <f>Data!$N$171</f>
        <v>32.600228565985361</v>
      </c>
      <c r="Q124" s="48" t="s">
        <v>246</v>
      </c>
      <c r="R124" s="49">
        <f>SUM(R121:R123)</f>
        <v>38</v>
      </c>
      <c r="S124" s="49">
        <f>SUM(S121:S123)</f>
        <v>122.80246392891009</v>
      </c>
      <c r="T124" s="50">
        <f>Data!R171</f>
        <v>5.937498353521975</v>
      </c>
      <c r="U124" s="50">
        <f>Data!S171</f>
        <v>45.093199934800154</v>
      </c>
      <c r="W124" s="1">
        <f>T124*2.471</f>
        <v>14.6715584315528</v>
      </c>
    </row>
    <row r="125" spans="1:24" x14ac:dyDescent="0.3">
      <c r="B125" s="8" t="s">
        <v>140</v>
      </c>
      <c r="C125" s="21">
        <f>SUM(CSP!D23:D25)/1000</f>
        <v>750</v>
      </c>
      <c r="D125" s="21">
        <f>COUNT(CSP!D23:D25)</f>
        <v>3</v>
      </c>
      <c r="E125" s="20">
        <f>CSP!L62</f>
        <v>10</v>
      </c>
      <c r="J125" s="8" t="s">
        <v>244</v>
      </c>
      <c r="K125" s="8"/>
      <c r="L125" s="8"/>
      <c r="M125" s="8"/>
      <c r="N125" s="8"/>
      <c r="Q125" s="8" t="s">
        <v>244</v>
      </c>
      <c r="R125" s="8"/>
      <c r="S125" s="8"/>
      <c r="T125" s="8"/>
      <c r="U125" s="8"/>
    </row>
    <row r="126" spans="1:24" x14ac:dyDescent="0.3">
      <c r="J126" s="8" t="s">
        <v>138</v>
      </c>
      <c r="K126" s="21">
        <f>F110</f>
        <v>13</v>
      </c>
      <c r="L126" s="21">
        <f>E110</f>
        <v>1222.7433201210852</v>
      </c>
      <c r="M126" s="20">
        <f>Data!M262</f>
        <v>7.5378576095002652</v>
      </c>
      <c r="N126" s="20">
        <f>Data!N262</f>
        <v>33.778347972811758</v>
      </c>
      <c r="Q126" s="8" t="s">
        <v>138</v>
      </c>
      <c r="R126" s="21">
        <f>F117</f>
        <v>7</v>
      </c>
      <c r="S126" s="21">
        <f>E117</f>
        <v>474.71269822170552</v>
      </c>
      <c r="T126" s="20">
        <f>Data!R262</f>
        <v>5.7852150537634408</v>
      </c>
      <c r="U126" s="20">
        <f>Data!S262</f>
        <v>43.310969558504176</v>
      </c>
    </row>
    <row r="127" spans="1:24" x14ac:dyDescent="0.3">
      <c r="A127" s="8"/>
      <c r="B127" s="8"/>
      <c r="C127" s="8" t="s">
        <v>290</v>
      </c>
      <c r="D127" s="8"/>
      <c r="E127" s="8"/>
      <c r="F127" s="8"/>
      <c r="G127" s="8"/>
      <c r="H127" s="8"/>
      <c r="J127" s="8" t="s">
        <v>242</v>
      </c>
      <c r="K127" s="21">
        <f>F111</f>
        <v>19</v>
      </c>
      <c r="L127" s="21">
        <f>E111</f>
        <v>810.07921533731906</v>
      </c>
      <c r="M127" s="20">
        <f>Data!M252</f>
        <v>8.3193810602977738</v>
      </c>
      <c r="N127" s="20">
        <f>Data!N252</f>
        <v>30.58570998730783</v>
      </c>
      <c r="Q127" s="8" t="s">
        <v>242</v>
      </c>
      <c r="R127" s="21">
        <f>F118</f>
        <v>26</v>
      </c>
      <c r="S127" s="21">
        <f>E118</f>
        <v>333.87379508631574</v>
      </c>
      <c r="T127" s="20">
        <f>Data!R252</f>
        <v>8.9562942807542516</v>
      </c>
      <c r="U127" s="20">
        <f>Data!S252</f>
        <v>28.091943423429804</v>
      </c>
    </row>
    <row r="128" spans="1:24" x14ac:dyDescent="0.3">
      <c r="A128" s="8"/>
      <c r="B128" s="8"/>
      <c r="C128" s="8" t="s">
        <v>291</v>
      </c>
      <c r="D128" s="8"/>
      <c r="E128" s="8" t="s">
        <v>293</v>
      </c>
      <c r="F128" s="8"/>
      <c r="G128" s="8" t="s">
        <v>292</v>
      </c>
      <c r="H128" s="8"/>
      <c r="J128" s="8" t="s">
        <v>243</v>
      </c>
      <c r="K128" s="21">
        <f>F112</f>
        <v>0</v>
      </c>
      <c r="L128" s="21">
        <f>E112</f>
        <v>0</v>
      </c>
      <c r="M128" s="20" t="s">
        <v>28</v>
      </c>
      <c r="N128" s="20" t="s">
        <v>28</v>
      </c>
      <c r="Q128" s="8" t="s">
        <v>243</v>
      </c>
      <c r="R128" s="21">
        <f>F119</f>
        <v>0</v>
      </c>
      <c r="S128" s="21">
        <f>E119</f>
        <v>0</v>
      </c>
      <c r="T128" s="20" t="s">
        <v>28</v>
      </c>
      <c r="U128" s="20" t="s">
        <v>28</v>
      </c>
    </row>
    <row r="129" spans="1:21" x14ac:dyDescent="0.3">
      <c r="A129" s="8" t="s">
        <v>295</v>
      </c>
      <c r="B129" s="8"/>
      <c r="C129" s="8" t="s">
        <v>55</v>
      </c>
      <c r="D129" s="8" t="s">
        <v>214</v>
      </c>
      <c r="E129" s="8" t="s">
        <v>55</v>
      </c>
      <c r="F129" s="8" t="s">
        <v>214</v>
      </c>
      <c r="G129" s="8" t="s">
        <v>55</v>
      </c>
      <c r="H129" s="8" t="s">
        <v>214</v>
      </c>
      <c r="J129" s="8" t="s">
        <v>245</v>
      </c>
      <c r="K129" s="21">
        <f>F113</f>
        <v>4</v>
      </c>
      <c r="L129" s="21">
        <f>E113</f>
        <v>439.48446255229237</v>
      </c>
      <c r="M129" s="20">
        <f>Data!M267</f>
        <v>8.5241748070531482</v>
      </c>
      <c r="N129" s="20">
        <f>Data!N267</f>
        <v>31.53916540702274</v>
      </c>
      <c r="Q129" s="8" t="s">
        <v>245</v>
      </c>
      <c r="R129" s="21">
        <f>F120</f>
        <v>1</v>
      </c>
      <c r="S129" s="21">
        <f>E120</f>
        <v>48</v>
      </c>
      <c r="T129" s="20" t="s">
        <v>28</v>
      </c>
      <c r="U129" s="20" t="s">
        <v>28</v>
      </c>
    </row>
    <row r="130" spans="1:21" x14ac:dyDescent="0.3">
      <c r="A130" s="8"/>
      <c r="B130" s="8" t="s">
        <v>130</v>
      </c>
      <c r="C130" s="20">
        <f>SUMIFS(Data!$E$3:$E$52,Data!$Y$3:$Y$52,"=fixed",Data!$AA$3:$AA$52,"=R")/1000</f>
        <v>0</v>
      </c>
      <c r="D130" s="20" t="e">
        <f>SUMIFS(Data!$L$3:$L$52,Data!$Y$3:$Y$52,"=fixed",Data!$AA$3:$AA$52,"=R")/C130</f>
        <v>#DIV/0!</v>
      </c>
      <c r="E130" s="20">
        <f>SUMIFS(Data!$E$3:$E$52,Data!$Y$3:$Y$52,"=fixed",Data!$AA$3:$AA$52,"=P")/1000</f>
        <v>0</v>
      </c>
      <c r="F130" s="20" t="e">
        <f>SUMIFS(Data!$L$3:$L$52,Data!$Y$3:$Y$52,"=fixed",Data!$AA$3:$AA$52,"=P")/E130</f>
        <v>#DIV/0!</v>
      </c>
      <c r="G130" s="20">
        <f>SUMIFS(Data!$E$3:$E$52,Data!$Y$3:$Y$52,"=fixed",Data!$AA$3:$AA$52,"=I")/1000</f>
        <v>3.7461939205014407</v>
      </c>
      <c r="H130" s="20">
        <f>SUMIFS(Data!$L$3:$L$52,Data!$Y$3:$Y$52,"=fixed",Data!$AA$3:$AA$52,"=I")/G130</f>
        <v>1.696005256062546</v>
      </c>
      <c r="J130" s="48" t="s">
        <v>246</v>
      </c>
      <c r="K130" s="49">
        <f>SUM(K126:K129)</f>
        <v>36</v>
      </c>
      <c r="L130" s="49">
        <f>SUM(L126:L129)</f>
        <v>2472.3069980106966</v>
      </c>
      <c r="M130" s="50">
        <f>Data!M275</f>
        <v>7.9227856594471149</v>
      </c>
      <c r="N130" s="50">
        <f>Data!N275</f>
        <v>32.165377347585284</v>
      </c>
      <c r="Q130" s="48" t="s">
        <v>246</v>
      </c>
      <c r="R130" s="49">
        <f>SUM(R126:R129)</f>
        <v>34</v>
      </c>
      <c r="S130" s="49">
        <f>SUM(S126:S129)</f>
        <v>856.58649330802132</v>
      </c>
      <c r="T130" s="50">
        <f>Data!R275</f>
        <v>7.2132899580301046</v>
      </c>
      <c r="U130" s="50">
        <f>Data!S275</f>
        <v>36.430786378438981</v>
      </c>
    </row>
    <row r="131" spans="1:21" x14ac:dyDescent="0.3">
      <c r="A131" s="8"/>
      <c r="B131" s="8" t="s">
        <v>242</v>
      </c>
      <c r="C131" s="20">
        <f>SUMIFS(Data!$E$3:$E$52,Data!$Y$3:$Y$52,"=1 axis",Data!$AA$3:$AA$52,"=R")/1000</f>
        <v>15.855901219663346</v>
      </c>
      <c r="D131" s="20">
        <f>SUMIFS(Data!$L$3:$L$52,Data!$Y$3:$Y$52,"=1 axis",Data!$AA$3:$AA$52,"=R")/C131</f>
        <v>2.7796788501408054</v>
      </c>
      <c r="E131" s="20">
        <f>SUMIFS(Data!$E$3:$E$52,Data!$Y$3:$Y$52,"=1 axis",Data!$AA$3:$AA$52,"=P")/1000</f>
        <v>43.57366909199272</v>
      </c>
      <c r="F131" s="20">
        <f>SUMIFS(Data!$L$3:$L$52,Data!$Y$3:$Y$52,"=1 axis",Data!$AA$3:$AA$52,"=P")/E131</f>
        <v>3.6204752331247718</v>
      </c>
      <c r="G131" s="20">
        <f>SUMIFS(Data!$E$3:$E$52,Data!$Y$3:$Y$52,"=1 axis",Data!$AA$3:$AA$52,"=I")/1000</f>
        <v>42.541371322905121</v>
      </c>
      <c r="H131" s="20">
        <f>SUMIFS(Data!$L$3:$L$52,Data!$Y$3:$Y$52,"=1 axis",Data!$AA$3:$AA$52,"=I")/G131</f>
        <v>3.5392204911136402</v>
      </c>
    </row>
    <row r="132" spans="1:21" x14ac:dyDescent="0.3">
      <c r="A132" s="8"/>
      <c r="B132" s="8" t="s">
        <v>243</v>
      </c>
      <c r="C132" s="27" t="s">
        <v>315</v>
      </c>
      <c r="D132" s="27" t="s">
        <v>315</v>
      </c>
      <c r="E132" s="20">
        <f>SUMIFS(Data!$E$3:$E$52,Data!$Y$3:$Y$52,"=2 axis (CPV)",Data!$AA$3:$AA$52,"=P")/1000</f>
        <v>0</v>
      </c>
      <c r="F132" s="20" t="e">
        <f>SUMIFS(Data!$L$3:$L$52,Data!$Y$3:$Y$52,"=2 axis (CPV)",Data!$AA$3:$AA$52,"=P")/E132</f>
        <v>#DIV/0!</v>
      </c>
      <c r="G132" s="27" t="s">
        <v>315</v>
      </c>
      <c r="H132" s="27" t="s">
        <v>315</v>
      </c>
    </row>
    <row r="133" spans="1:21" x14ac:dyDescent="0.3">
      <c r="A133" s="8" t="s">
        <v>296</v>
      </c>
      <c r="B133" s="8"/>
      <c r="C133" s="8"/>
      <c r="D133" s="8"/>
      <c r="E133" s="8"/>
      <c r="F133" s="8"/>
      <c r="G133" s="8"/>
      <c r="H133" s="8"/>
      <c r="J133" t="s">
        <v>60</v>
      </c>
      <c r="K133" s="18">
        <f>SUMIF(Data!$AE$3:$AE$207,"=completed",Data!$E$3:$E$207)/1000</f>
        <v>638.72757108832946</v>
      </c>
    </row>
    <row r="134" spans="1:21" x14ac:dyDescent="0.3">
      <c r="A134" s="8"/>
      <c r="B134" s="8" t="s">
        <v>130</v>
      </c>
      <c r="C134" s="20">
        <f>SUMIFS(Data!$E$128:$E$207,Data!$Y$128:$Y$207,"=fixed",Data!$AA$128:$AA$207,"=R")/1000</f>
        <v>30</v>
      </c>
      <c r="D134" s="20">
        <f>SUMIFS(Data!$L$128:$L$207,Data!$Y$128:$Y$207,"=fixed",Data!$AA$128:$AA$207,"=R")/1000</f>
        <v>0.101175</v>
      </c>
      <c r="E134" s="20">
        <f>SUMIFS(Data!$E$128:$E$207,Data!$Y$128:$Y$207,"=fixed",Data!$AA$128:$AA$207,"=P")/1000</f>
        <v>200.66315715045394</v>
      </c>
      <c r="F134" s="20">
        <f>SUMIFS(Data!$L$128:$L$207,Data!$Y$128:$Y$207,"=fixed",Data!$AA$128:$AA$207,"=P")/E134</f>
        <v>4.0457262385805306</v>
      </c>
      <c r="G134" s="20">
        <f>SUMIFS(Data!$E$128:$E$207,Data!$Y$128:$Y$207,"=fixed",Data!$AA$128:$AA$207,"=I")/1000</f>
        <v>32</v>
      </c>
      <c r="H134" s="20">
        <f>SUMIFS(Data!$L$128:$L$207,Data!$Y$128:$Y$207,"=fixed",Data!$AA$128:$AA$207,"=I")/1000</f>
        <v>8.0939999999999998E-2</v>
      </c>
      <c r="J134" t="s">
        <v>342</v>
      </c>
      <c r="K134" s="18">
        <f>SUMIF(Data!$AE$3:$AE$207,"=construction",Data!$E$3:$E$207)/1000</f>
        <v>1130.9383068012585</v>
      </c>
      <c r="Q134" s="48"/>
      <c r="R134" s="68" t="s">
        <v>344</v>
      </c>
      <c r="S134" s="48"/>
      <c r="T134" s="48"/>
      <c r="U134" s="8"/>
    </row>
    <row r="135" spans="1:21" x14ac:dyDescent="0.3">
      <c r="A135" s="8"/>
      <c r="B135" s="8" t="s">
        <v>242</v>
      </c>
      <c r="C135" s="20">
        <f>SUMIFS(Data!$E$128:$E$207,Data!$Y$128:$Y$207,"=1 axis",Data!$AA$128:$AA$207,"=R")/1000</f>
        <v>55</v>
      </c>
      <c r="D135" s="20">
        <f>SUMIFS(Data!$L$128:$L$207,Data!$Y$128:$Y$207,"=1 axis",Data!$AA$128:$AA$207,"=R")/1000</f>
        <v>0.15135779999999999</v>
      </c>
      <c r="E135" s="20">
        <f>SUMIFS(Data!$E$128:$E$207,Data!$Y$128:$Y$207,"=1 axis",Data!$AA$128:$AA$207,"=P")/1000</f>
        <v>552.9926982217055</v>
      </c>
      <c r="F135" s="20">
        <f>SUMIFS(Data!$L$128:$L$207,Data!$Y$128:$Y$207,"=1 axis",Data!$AA$128:$AA$207,"=P")/E135</f>
        <v>3.831161798000108</v>
      </c>
      <c r="G135" s="20">
        <f>SUMIFS(Data!$E$128:$E$207,Data!$Y$128:$Y$207,"=1 axis",Data!$AA$128:$AA$207,"=I")/1000</f>
        <v>0</v>
      </c>
      <c r="H135" s="20">
        <f>SUMIFS(Data!$L$128:$L$207,Data!$Y$128:$Y$207,"=1 axis",Data!$AA$128:$AA$207,"=I")/1000</f>
        <v>0</v>
      </c>
      <c r="Q135" s="48"/>
      <c r="R135" s="68" t="s">
        <v>246</v>
      </c>
      <c r="S135" s="8" t="s">
        <v>346</v>
      </c>
      <c r="T135" s="8" t="s">
        <v>345</v>
      </c>
      <c r="U135" s="8" t="s">
        <v>347</v>
      </c>
    </row>
    <row r="136" spans="1:21" x14ac:dyDescent="0.3">
      <c r="A136" t="s">
        <v>122</v>
      </c>
      <c r="Q136" s="51" t="s">
        <v>241</v>
      </c>
      <c r="R136" s="48"/>
      <c r="S136" s="8"/>
      <c r="T136" s="48"/>
      <c r="U136" s="8"/>
    </row>
    <row r="137" spans="1:21" x14ac:dyDescent="0.3">
      <c r="B137" t="s">
        <v>294</v>
      </c>
      <c r="Q137" s="8" t="s">
        <v>138</v>
      </c>
      <c r="R137" s="20">
        <f>N121</f>
        <v>35.945734345687107</v>
      </c>
      <c r="S137" s="8"/>
      <c r="T137" s="20">
        <f>U121</f>
        <v>49.000305208219842</v>
      </c>
      <c r="U137" s="8"/>
    </row>
    <row r="138" spans="1:21" x14ac:dyDescent="0.3">
      <c r="B138" t="s">
        <v>99</v>
      </c>
      <c r="Q138" s="8" t="s">
        <v>242</v>
      </c>
      <c r="R138" s="20">
        <f>N122</f>
        <v>30.326687368528695</v>
      </c>
      <c r="S138" s="8"/>
      <c r="T138" s="20">
        <f>U122</f>
        <v>41.340805776963421</v>
      </c>
      <c r="U138" s="8"/>
    </row>
    <row r="139" spans="1:21" x14ac:dyDescent="0.3">
      <c r="B139" t="s">
        <v>140</v>
      </c>
      <c r="Q139" s="8" t="s">
        <v>244</v>
      </c>
      <c r="R139" s="20"/>
      <c r="S139" s="8"/>
      <c r="T139" s="20"/>
      <c r="U139" s="8"/>
    </row>
    <row r="140" spans="1:21" x14ac:dyDescent="0.3">
      <c r="Q140" s="8" t="s">
        <v>138</v>
      </c>
      <c r="R140" s="20">
        <f>N126</f>
        <v>33.778347972811758</v>
      </c>
      <c r="S140" s="8"/>
      <c r="T140" s="20">
        <f>U126</f>
        <v>43.310969558504176</v>
      </c>
      <c r="U140" s="8"/>
    </row>
    <row r="141" spans="1:21" x14ac:dyDescent="0.3">
      <c r="H141">
        <v>10</v>
      </c>
      <c r="I141">
        <v>5</v>
      </c>
      <c r="K141">
        <f t="shared" ref="K141:K148" si="30">H141*(I141-$F$151)^2</f>
        <v>1.1982248520710035</v>
      </c>
      <c r="Q141" s="8" t="s">
        <v>242</v>
      </c>
      <c r="R141" s="20">
        <f>N127</f>
        <v>30.58570998730783</v>
      </c>
      <c r="S141" s="8"/>
      <c r="T141" s="20">
        <f>U127</f>
        <v>28.091943423429804</v>
      </c>
      <c r="U141" s="8"/>
    </row>
    <row r="142" spans="1:21" x14ac:dyDescent="0.3">
      <c r="H142">
        <v>12</v>
      </c>
      <c r="I142">
        <v>6</v>
      </c>
      <c r="K142">
        <f t="shared" si="30"/>
        <v>21.745562130177504</v>
      </c>
    </row>
    <row r="143" spans="1:21" x14ac:dyDescent="0.3">
      <c r="H143">
        <v>13</v>
      </c>
      <c r="I143">
        <v>7</v>
      </c>
      <c r="K143">
        <f t="shared" si="30"/>
        <v>71.557692307692292</v>
      </c>
    </row>
    <row r="144" spans="1:21" x14ac:dyDescent="0.3">
      <c r="H144">
        <v>15</v>
      </c>
      <c r="K144">
        <f t="shared" si="30"/>
        <v>324.87426035502961</v>
      </c>
    </row>
    <row r="145" spans="6:11" x14ac:dyDescent="0.3">
      <c r="H145">
        <v>17</v>
      </c>
      <c r="I145">
        <v>5</v>
      </c>
      <c r="K145">
        <f t="shared" si="30"/>
        <v>2.0369822485207059</v>
      </c>
    </row>
    <row r="146" spans="6:11" x14ac:dyDescent="0.3">
      <c r="H146">
        <v>11</v>
      </c>
      <c r="I146">
        <v>6</v>
      </c>
      <c r="K146">
        <f t="shared" si="30"/>
        <v>19.933431952662712</v>
      </c>
    </row>
    <row r="147" spans="6:11" x14ac:dyDescent="0.3">
      <c r="H147">
        <v>11</v>
      </c>
      <c r="K147">
        <f t="shared" si="30"/>
        <v>238.24112426035506</v>
      </c>
    </row>
    <row r="148" spans="6:11" x14ac:dyDescent="0.3">
      <c r="H148">
        <v>15</v>
      </c>
      <c r="I148">
        <v>8</v>
      </c>
      <c r="K148">
        <f t="shared" si="30"/>
        <v>167.95118343195264</v>
      </c>
    </row>
    <row r="149" spans="6:11" x14ac:dyDescent="0.3">
      <c r="H149">
        <f>SUM(H141:H148)</f>
        <v>104</v>
      </c>
    </row>
    <row r="151" spans="6:11" x14ac:dyDescent="0.3">
      <c r="F151">
        <f>SUMPRODUCT(H141:H148,I141:I148)/SUM(H141:H148)</f>
        <v>4.6538461538461542</v>
      </c>
    </row>
    <row r="152" spans="6:11" x14ac:dyDescent="0.3">
      <c r="F152">
        <f>wtavg(H141:H148,I141:I148)</f>
        <v>6.2051282051282053</v>
      </c>
    </row>
    <row r="153" spans="6:11" x14ac:dyDescent="0.3">
      <c r="F153">
        <f>wtstd(H141:H148,I141:I148)</f>
        <v>0.99598140605622276</v>
      </c>
    </row>
    <row r="154" spans="6:11" x14ac:dyDescent="0.3">
      <c r="F154">
        <f>SQRT(SUM(K141:K148)/(7*H149/8))</f>
        <v>3.0518206807503647</v>
      </c>
    </row>
  </sheetData>
  <customSheetViews>
    <customSheetView guid="{A817C2B6-B412-4BD4-89EB-C78C16183A0C}" scale="70" topLeftCell="AL34">
      <selection activeCell="BO69" sqref="BO69"/>
      <pageMargins left="0.7" right="0.7" top="0.75" bottom="0.75" header="0.3" footer="0.3"/>
      <pageSetup orientation="portrait" r:id="rId1"/>
    </customSheetView>
  </customSheetViews>
  <mergeCells count="11">
    <mergeCell ref="K109:K110"/>
    <mergeCell ref="L109:M109"/>
    <mergeCell ref="N109:O109"/>
    <mergeCell ref="R88:S88"/>
    <mergeCell ref="T88:T89"/>
    <mergeCell ref="AE88:AE89"/>
    <mergeCell ref="U88:V88"/>
    <mergeCell ref="W88:W89"/>
    <mergeCell ref="Z88:AA88"/>
    <mergeCell ref="AB88:AB89"/>
    <mergeCell ref="AC88:AD88"/>
  </mergeCells>
  <pageMargins left="0.7" right="0.7" top="0.75" bottom="0.75" header="0.3" footer="0.3"/>
  <pageSetup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50"/>
  <sheetViews>
    <sheetView zoomScale="85" zoomScaleNormal="85" workbookViewId="0">
      <selection activeCell="B57" sqref="B57"/>
    </sheetView>
  </sheetViews>
  <sheetFormatPr defaultColWidth="9.109375" defaultRowHeight="13.2" x14ac:dyDescent="0.25"/>
  <cols>
    <col min="1" max="1" width="26.33203125" style="55" customWidth="1"/>
    <col min="2" max="2" width="3.44140625" style="55" customWidth="1"/>
    <col min="3" max="5" width="10.88671875" style="55" customWidth="1"/>
    <col min="6" max="8" width="11.6640625" style="55" customWidth="1"/>
    <col min="9" max="11" width="10.5546875" style="55" customWidth="1"/>
    <col min="12" max="14" width="10.33203125" style="55" customWidth="1"/>
    <col min="15" max="16384" width="9.109375" style="55"/>
  </cols>
  <sheetData>
    <row r="1" spans="1:29" ht="12.75" x14ac:dyDescent="0.2">
      <c r="C1" s="55" t="str">
        <f>C48</f>
        <v>&lt;1</v>
      </c>
      <c r="F1" s="55" t="str">
        <f>D48</f>
        <v>2 - 2.5</v>
      </c>
      <c r="I1" s="55" t="str">
        <f>E48</f>
        <v>2.5 - 3</v>
      </c>
      <c r="L1" s="56" t="str">
        <f>F48</f>
        <v>3 - 3.5</v>
      </c>
      <c r="M1" s="56"/>
      <c r="N1" s="56"/>
      <c r="O1" s="56" t="str">
        <f>G48</f>
        <v>3.5 - 4</v>
      </c>
      <c r="P1" s="56"/>
      <c r="Q1" s="56"/>
      <c r="R1" s="56" t="str">
        <f>H48</f>
        <v>4 - 4.5</v>
      </c>
      <c r="S1" s="56"/>
      <c r="T1" s="56"/>
      <c r="U1" s="56" t="str">
        <f>I48</f>
        <v>&gt;4.5</v>
      </c>
      <c r="V1" s="56"/>
      <c r="W1" s="56"/>
      <c r="X1" s="56">
        <f>J49</f>
        <v>2006</v>
      </c>
      <c r="Y1" s="56"/>
      <c r="Z1" s="56"/>
      <c r="AA1" s="56">
        <f>K49</f>
        <v>2007</v>
      </c>
    </row>
    <row r="2" spans="1:29" ht="12.75" x14ac:dyDescent="0.2">
      <c r="C2" s="55">
        <v>1</v>
      </c>
      <c r="D2" s="55">
        <v>2</v>
      </c>
      <c r="E2" s="55">
        <v>3</v>
      </c>
      <c r="F2" s="55">
        <v>4</v>
      </c>
      <c r="G2" s="55">
        <v>5</v>
      </c>
      <c r="H2" s="55">
        <v>6</v>
      </c>
      <c r="I2" s="55">
        <v>7</v>
      </c>
      <c r="J2" s="55">
        <v>8</v>
      </c>
      <c r="K2" s="55">
        <v>9</v>
      </c>
      <c r="L2" s="55">
        <v>10</v>
      </c>
      <c r="M2" s="55">
        <v>11</v>
      </c>
      <c r="N2" s="55">
        <v>12</v>
      </c>
      <c r="O2" s="55">
        <v>13</v>
      </c>
      <c r="P2" s="55">
        <v>14</v>
      </c>
      <c r="Q2" s="55">
        <v>15</v>
      </c>
      <c r="R2" s="55">
        <v>16</v>
      </c>
      <c r="S2" s="55">
        <v>17</v>
      </c>
      <c r="T2" s="55">
        <v>18</v>
      </c>
      <c r="U2" s="55">
        <v>19</v>
      </c>
      <c r="V2" s="55">
        <v>20</v>
      </c>
      <c r="W2" s="55">
        <v>21</v>
      </c>
      <c r="X2" s="55">
        <v>22</v>
      </c>
      <c r="Y2" s="55">
        <v>23</v>
      </c>
      <c r="Z2" s="55">
        <v>24</v>
      </c>
      <c r="AA2" s="55">
        <v>25</v>
      </c>
      <c r="AB2" s="55">
        <v>26</v>
      </c>
      <c r="AC2" s="55">
        <v>27</v>
      </c>
    </row>
    <row r="3" spans="1:29" x14ac:dyDescent="0.25">
      <c r="A3" s="55" t="s">
        <v>283</v>
      </c>
      <c r="C3" s="55">
        <f>M16</f>
        <v>0</v>
      </c>
      <c r="D3" s="55">
        <v>0</v>
      </c>
      <c r="E3" s="55">
        <v>0</v>
      </c>
      <c r="F3" s="55">
        <f>M17</f>
        <v>0</v>
      </c>
      <c r="G3" s="55">
        <v>0</v>
      </c>
      <c r="H3" s="55">
        <v>0</v>
      </c>
      <c r="I3" s="55">
        <f>M18</f>
        <v>0</v>
      </c>
      <c r="J3" s="55">
        <v>0</v>
      </c>
      <c r="K3" s="55">
        <v>0</v>
      </c>
      <c r="L3" s="55">
        <f>M19</f>
        <v>1.064259636506091</v>
      </c>
      <c r="M3" s="55">
        <v>0</v>
      </c>
      <c r="N3" s="55">
        <v>0</v>
      </c>
      <c r="O3" s="55">
        <f>M20</f>
        <v>0.4895594327928019</v>
      </c>
      <c r="P3" s="55">
        <v>0</v>
      </c>
      <c r="Q3" s="55">
        <v>0</v>
      </c>
      <c r="R3" s="55">
        <f>M21</f>
        <v>1.6389598402193801</v>
      </c>
      <c r="S3" s="55">
        <v>0</v>
      </c>
      <c r="T3" s="55">
        <v>0</v>
      </c>
      <c r="U3" s="55">
        <f>M22</f>
        <v>52.902825775827182</v>
      </c>
      <c r="V3" s="55">
        <v>0</v>
      </c>
      <c r="W3" s="55">
        <v>0</v>
      </c>
      <c r="X3" s="55">
        <v>0.15859800000000002</v>
      </c>
      <c r="Y3" s="55">
        <v>0</v>
      </c>
      <c r="Z3" s="55">
        <v>0</v>
      </c>
      <c r="AA3" s="55">
        <v>0.21445699999999998</v>
      </c>
      <c r="AB3" s="55">
        <v>0</v>
      </c>
    </row>
    <row r="4" spans="1:29" x14ac:dyDescent="0.25">
      <c r="A4" s="55" t="s">
        <v>284</v>
      </c>
      <c r="C4" s="55">
        <f>N16</f>
        <v>0</v>
      </c>
      <c r="D4" s="55">
        <v>0</v>
      </c>
      <c r="E4" s="55">
        <v>0</v>
      </c>
      <c r="F4" s="55">
        <f>N17</f>
        <v>0</v>
      </c>
      <c r="G4" s="55">
        <v>0</v>
      </c>
      <c r="H4" s="55">
        <v>0</v>
      </c>
      <c r="I4" s="55">
        <f>N18</f>
        <v>0</v>
      </c>
      <c r="J4" s="55">
        <v>0</v>
      </c>
      <c r="K4" s="55">
        <v>0</v>
      </c>
      <c r="L4" s="55">
        <f>N19</f>
        <v>0</v>
      </c>
      <c r="M4" s="55">
        <v>0</v>
      </c>
      <c r="N4" s="55">
        <v>0</v>
      </c>
      <c r="O4" s="55">
        <f>N20</f>
        <v>0</v>
      </c>
      <c r="P4" s="55">
        <v>0</v>
      </c>
      <c r="Q4" s="55">
        <v>0</v>
      </c>
      <c r="R4" s="55">
        <f>N21</f>
        <v>0</v>
      </c>
      <c r="S4" s="55">
        <v>0</v>
      </c>
      <c r="T4" s="55">
        <v>0</v>
      </c>
      <c r="U4" s="55">
        <f>N22</f>
        <v>0</v>
      </c>
      <c r="V4" s="55">
        <v>0</v>
      </c>
      <c r="W4" s="55">
        <v>0</v>
      </c>
      <c r="X4" s="55">
        <v>1.417E-2</v>
      </c>
      <c r="Y4" s="55">
        <v>0</v>
      </c>
      <c r="Z4" s="55">
        <v>0</v>
      </c>
      <c r="AA4" s="55">
        <v>2.3466000000000001E-2</v>
      </c>
      <c r="AB4" s="55">
        <v>0</v>
      </c>
    </row>
    <row r="5" spans="1:29" x14ac:dyDescent="0.25">
      <c r="A5" s="55" t="s">
        <v>285</v>
      </c>
      <c r="C5" s="55">
        <f>O16</f>
        <v>0</v>
      </c>
      <c r="D5" s="55">
        <v>0</v>
      </c>
      <c r="E5" s="55">
        <v>0</v>
      </c>
      <c r="F5" s="55">
        <f>O17</f>
        <v>0</v>
      </c>
      <c r="G5" s="55">
        <v>0</v>
      </c>
      <c r="H5" s="55">
        <v>0</v>
      </c>
      <c r="I5" s="55">
        <f>O18</f>
        <v>0</v>
      </c>
      <c r="J5" s="55">
        <v>0</v>
      </c>
      <c r="K5" s="55">
        <v>0</v>
      </c>
      <c r="L5" s="55">
        <f>O19</f>
        <v>0</v>
      </c>
      <c r="M5" s="55">
        <v>0</v>
      </c>
      <c r="N5" s="55">
        <v>0</v>
      </c>
      <c r="O5" s="55">
        <f>O20</f>
        <v>0</v>
      </c>
      <c r="P5" s="55">
        <v>0</v>
      </c>
      <c r="Q5" s="55">
        <v>0</v>
      </c>
      <c r="R5" s="55">
        <f>O21</f>
        <v>0</v>
      </c>
      <c r="S5" s="55">
        <v>0</v>
      </c>
      <c r="T5" s="55">
        <v>0</v>
      </c>
      <c r="U5" s="55">
        <f>O22</f>
        <v>1.919214877832651</v>
      </c>
      <c r="V5" s="55">
        <v>0</v>
      </c>
      <c r="W5" s="55">
        <v>0</v>
      </c>
      <c r="X5" s="55">
        <v>1.417E-2</v>
      </c>
      <c r="Y5" s="55">
        <v>0</v>
      </c>
      <c r="Z5" s="55">
        <v>0</v>
      </c>
      <c r="AA5" s="55">
        <v>2.3466000000000001E-2</v>
      </c>
      <c r="AB5" s="55">
        <v>0</v>
      </c>
    </row>
    <row r="6" spans="1:29" x14ac:dyDescent="0.25">
      <c r="A6" s="55" t="s">
        <v>286</v>
      </c>
      <c r="C6" s="55">
        <v>0</v>
      </c>
      <c r="D6" s="55">
        <f>P16</f>
        <v>0</v>
      </c>
      <c r="E6" s="55">
        <v>0</v>
      </c>
      <c r="F6" s="55">
        <v>0</v>
      </c>
      <c r="G6" s="55">
        <f>P17</f>
        <v>0</v>
      </c>
      <c r="H6" s="55">
        <v>0</v>
      </c>
      <c r="I6" s="55">
        <v>0</v>
      </c>
      <c r="J6" s="55">
        <f>P18</f>
        <v>0</v>
      </c>
      <c r="K6" s="55">
        <v>0</v>
      </c>
      <c r="L6" s="55">
        <v>0</v>
      </c>
      <c r="M6" s="55">
        <f>P19</f>
        <v>1</v>
      </c>
      <c r="N6" s="55">
        <v>0</v>
      </c>
      <c r="O6" s="55">
        <v>0</v>
      </c>
      <c r="P6" s="55">
        <f>P20</f>
        <v>2</v>
      </c>
      <c r="Q6" s="55">
        <v>0</v>
      </c>
      <c r="R6" s="55">
        <v>0</v>
      </c>
      <c r="S6" s="55">
        <f>P21</f>
        <v>4</v>
      </c>
      <c r="T6" s="55">
        <v>0</v>
      </c>
      <c r="U6" s="55">
        <v>0</v>
      </c>
      <c r="V6" s="55">
        <f>P22</f>
        <v>47</v>
      </c>
      <c r="W6" s="55">
        <v>0</v>
      </c>
      <c r="X6" s="55">
        <v>0</v>
      </c>
      <c r="Y6" s="55">
        <v>6.0639999999999999E-2</v>
      </c>
      <c r="Z6" s="55">
        <v>0</v>
      </c>
      <c r="AA6" s="55">
        <v>0</v>
      </c>
      <c r="AB6" s="55">
        <v>8.3382999999999999E-2</v>
      </c>
    </row>
    <row r="7" spans="1:29" x14ac:dyDescent="0.25">
      <c r="A7" s="55" t="s">
        <v>287</v>
      </c>
      <c r="C7" s="55">
        <v>0</v>
      </c>
      <c r="D7" s="55">
        <f>Q16</f>
        <v>0</v>
      </c>
      <c r="E7" s="55">
        <v>0</v>
      </c>
      <c r="F7" s="55">
        <v>0</v>
      </c>
      <c r="G7" s="55">
        <f>Q17</f>
        <v>0</v>
      </c>
      <c r="H7" s="55">
        <v>0</v>
      </c>
      <c r="I7" s="55">
        <v>0</v>
      </c>
      <c r="J7" s="55">
        <f>Q18</f>
        <v>0</v>
      </c>
      <c r="K7" s="55">
        <v>0</v>
      </c>
      <c r="L7" s="55">
        <v>0</v>
      </c>
      <c r="M7" s="55">
        <f>Q19</f>
        <v>0</v>
      </c>
      <c r="N7" s="55">
        <v>0</v>
      </c>
      <c r="O7" s="55">
        <v>0</v>
      </c>
      <c r="P7" s="55">
        <f>Q20</f>
        <v>0</v>
      </c>
      <c r="Q7" s="55">
        <v>0</v>
      </c>
      <c r="R7" s="55">
        <v>0</v>
      </c>
      <c r="S7" s="55">
        <f>Q21</f>
        <v>0</v>
      </c>
      <c r="T7" s="55">
        <v>0</v>
      </c>
      <c r="U7" s="55">
        <v>0</v>
      </c>
      <c r="V7" s="55">
        <f>Q22</f>
        <v>54</v>
      </c>
      <c r="W7" s="55">
        <v>0</v>
      </c>
      <c r="X7" s="55">
        <v>0</v>
      </c>
      <c r="Y7" s="55">
        <v>6.9718000000000002E-2</v>
      </c>
      <c r="Z7" s="55">
        <v>0</v>
      </c>
      <c r="AA7" s="55">
        <v>0</v>
      </c>
      <c r="AB7" s="55">
        <v>0.149977</v>
      </c>
    </row>
    <row r="8" spans="1:29" x14ac:dyDescent="0.25">
      <c r="A8" s="55" t="s">
        <v>288</v>
      </c>
      <c r="C8" s="55">
        <v>0</v>
      </c>
      <c r="D8" s="55">
        <f>R16</f>
        <v>0</v>
      </c>
      <c r="E8" s="55">
        <v>0</v>
      </c>
      <c r="F8" s="55">
        <v>0</v>
      </c>
      <c r="G8" s="55">
        <f>R17</f>
        <v>0</v>
      </c>
      <c r="H8" s="55">
        <v>0</v>
      </c>
      <c r="I8" s="55">
        <v>0</v>
      </c>
      <c r="J8" s="55">
        <f>R18</f>
        <v>0</v>
      </c>
      <c r="K8" s="55">
        <v>0</v>
      </c>
      <c r="L8" s="55">
        <v>0</v>
      </c>
      <c r="M8" s="55">
        <f>R19</f>
        <v>0</v>
      </c>
      <c r="N8" s="55">
        <v>0</v>
      </c>
      <c r="O8" s="55">
        <v>0</v>
      </c>
      <c r="P8" s="55">
        <f>R20</f>
        <v>9.5357663430945756</v>
      </c>
      <c r="Q8" s="55">
        <v>0</v>
      </c>
      <c r="R8" s="55">
        <v>0</v>
      </c>
      <c r="S8" s="55">
        <f>R21</f>
        <v>0</v>
      </c>
      <c r="T8" s="55">
        <v>0</v>
      </c>
      <c r="U8" s="55">
        <v>0</v>
      </c>
      <c r="V8" s="55">
        <f>R22</f>
        <v>84.61289814078026</v>
      </c>
      <c r="W8" s="55">
        <v>0</v>
      </c>
      <c r="X8" s="55">
        <v>0</v>
      </c>
      <c r="Y8" s="55">
        <v>6.9718000000000002E-2</v>
      </c>
      <c r="Z8" s="55">
        <v>0</v>
      </c>
      <c r="AA8" s="55">
        <v>0</v>
      </c>
      <c r="AB8" s="55">
        <v>0.149977</v>
      </c>
    </row>
    <row r="9" spans="1:29" x14ac:dyDescent="0.25">
      <c r="A9" s="56"/>
      <c r="B9" s="56"/>
    </row>
    <row r="10" spans="1:29" x14ac:dyDescent="0.25">
      <c r="A10" s="56"/>
      <c r="B10" s="56"/>
    </row>
    <row r="11" spans="1:29" x14ac:dyDescent="0.25">
      <c r="A11" s="56"/>
      <c r="B11" s="56"/>
      <c r="F11" s="57"/>
      <c r="G11" s="57"/>
      <c r="H11" s="57"/>
    </row>
    <row r="12" spans="1:29" x14ac:dyDescent="0.25">
      <c r="A12" s="56"/>
      <c r="B12" s="56"/>
      <c r="J12" s="55" t="s">
        <v>608</v>
      </c>
    </row>
    <row r="13" spans="1:29" x14ac:dyDescent="0.25">
      <c r="A13" s="56"/>
      <c r="B13" s="56"/>
      <c r="J13" s="55" t="s">
        <v>607</v>
      </c>
      <c r="P13" s="58" t="s">
        <v>606</v>
      </c>
    </row>
    <row r="14" spans="1:29" x14ac:dyDescent="0.25">
      <c r="A14" s="56"/>
      <c r="B14" s="56"/>
      <c r="J14" s="55">
        <v>4</v>
      </c>
      <c r="M14" s="55" t="str">
        <f>Statistics!C1</f>
        <v>Fixed total area</v>
      </c>
      <c r="N14" s="55" t="s">
        <v>242</v>
      </c>
      <c r="O14" s="55" t="str">
        <f>Statistics!I1</f>
        <v>2 Axis</v>
      </c>
      <c r="P14" s="55">
        <f>Statistics!H1</f>
        <v>0</v>
      </c>
      <c r="Q14" s="55">
        <f>Statistics!G1</f>
        <v>0</v>
      </c>
      <c r="R14" s="55">
        <f>Statistics!K1</f>
        <v>0</v>
      </c>
    </row>
    <row r="15" spans="1:29" x14ac:dyDescent="0.25">
      <c r="M15" s="55" t="str">
        <f>Statistics!C2</f>
        <v>MW</v>
      </c>
      <c r="N15" s="55" t="str">
        <f>Statistics!F2</f>
        <v>MW</v>
      </c>
      <c r="O15" s="55" t="str">
        <f>Statistics!I2</f>
        <v>MW</v>
      </c>
      <c r="P15" s="55" t="str">
        <f>Statistics!D2</f>
        <v>Number of installations</v>
      </c>
      <c r="Q15" s="55" t="str">
        <f>Statistics!G2</f>
        <v>Number of installations</v>
      </c>
      <c r="R15" s="55" t="str">
        <f>Statistics!J2</f>
        <v>Number of installations</v>
      </c>
    </row>
    <row r="16" spans="1:29" x14ac:dyDescent="0.25">
      <c r="L16" s="55" t="str">
        <f>Statistics!A3</f>
        <v>&lt;1</v>
      </c>
      <c r="M16" s="55">
        <f>Statistics!C3/$J$14</f>
        <v>0</v>
      </c>
      <c r="N16" s="55">
        <f>Statistics!F3/$J$14</f>
        <v>0</v>
      </c>
      <c r="O16" s="55">
        <f>Statistics!I3/2.4</f>
        <v>0</v>
      </c>
      <c r="P16" s="55">
        <f>Statistics!D3*1</f>
        <v>0</v>
      </c>
      <c r="Q16" s="55">
        <f>Statistics!G3*1</f>
        <v>0</v>
      </c>
      <c r="R16" s="55">
        <f>Statistics!L3*1</f>
        <v>0</v>
      </c>
    </row>
    <row r="17" spans="10:18" x14ac:dyDescent="0.25">
      <c r="L17" s="55">
        <f>Statistics!A4</f>
        <v>1.5</v>
      </c>
      <c r="M17" s="55">
        <f>Statistics!C4/$J$14</f>
        <v>0</v>
      </c>
      <c r="N17" s="55">
        <f>Statistics!F4/$J$14</f>
        <v>0</v>
      </c>
      <c r="O17" s="55">
        <f>Statistics!I4/2.4</f>
        <v>0</v>
      </c>
      <c r="P17" s="55">
        <f>Statistics!D4*1</f>
        <v>0</v>
      </c>
      <c r="Q17" s="55">
        <f>Statistics!G4*1</f>
        <v>0</v>
      </c>
      <c r="R17" s="55">
        <f>Statistics!L4*1</f>
        <v>0</v>
      </c>
    </row>
    <row r="18" spans="10:18" x14ac:dyDescent="0.25">
      <c r="L18" s="55">
        <f>Statistics!A5</f>
        <v>2</v>
      </c>
      <c r="M18" s="55">
        <f>Statistics!C5/$J$14</f>
        <v>0</v>
      </c>
      <c r="N18" s="55">
        <f>Statistics!F5/$J$14</f>
        <v>0</v>
      </c>
      <c r="O18" s="55">
        <f>Statistics!I5/2.4</f>
        <v>0</v>
      </c>
      <c r="P18" s="55">
        <f>Statistics!D5*1</f>
        <v>0</v>
      </c>
      <c r="Q18" s="55">
        <f>Statistics!G5*1</f>
        <v>0</v>
      </c>
      <c r="R18" s="55">
        <f>Statistics!L5*1</f>
        <v>0</v>
      </c>
    </row>
    <row r="19" spans="10:18" x14ac:dyDescent="0.25">
      <c r="L19" s="55">
        <f>Statistics!A8</f>
        <v>3.5</v>
      </c>
      <c r="M19" s="55">
        <f>Statistics!C8/$J$14</f>
        <v>1.064259636506091</v>
      </c>
      <c r="N19" s="55">
        <f>Statistics!F8/$J$14</f>
        <v>0</v>
      </c>
      <c r="O19" s="55">
        <f>Statistics!I8/2.4</f>
        <v>0</v>
      </c>
      <c r="P19" s="55">
        <f>Statistics!D8*1</f>
        <v>1</v>
      </c>
      <c r="Q19" s="55">
        <f>Statistics!G8*1</f>
        <v>0</v>
      </c>
      <c r="R19" s="55">
        <f>Statistics!L8*1</f>
        <v>0</v>
      </c>
    </row>
    <row r="20" spans="10:18" x14ac:dyDescent="0.25">
      <c r="L20" s="55">
        <f>Statistics!A9</f>
        <v>4</v>
      </c>
      <c r="M20" s="55">
        <f>Statistics!C9/$J$14</f>
        <v>0.4895594327928019</v>
      </c>
      <c r="N20" s="55">
        <f>Statistics!F9/$J$14</f>
        <v>0</v>
      </c>
      <c r="O20" s="55">
        <f>Statistics!I9/2.4</f>
        <v>0</v>
      </c>
      <c r="P20" s="55">
        <f>Statistics!D9*1</f>
        <v>2</v>
      </c>
      <c r="Q20" s="55">
        <f>Statistics!G9*1</f>
        <v>0</v>
      </c>
      <c r="R20" s="55">
        <f>Statistics!L9*1</f>
        <v>9.5357663430945756</v>
      </c>
    </row>
    <row r="21" spans="10:18" x14ac:dyDescent="0.25">
      <c r="L21" s="55">
        <f>Statistics!A10</f>
        <v>4.5</v>
      </c>
      <c r="M21" s="55">
        <f>Statistics!C10/$J$14</f>
        <v>1.6389598402193801</v>
      </c>
      <c r="N21" s="55">
        <f>Statistics!F10/$J$14</f>
        <v>0</v>
      </c>
      <c r="O21" s="55">
        <f>Statistics!I10/2.4</f>
        <v>0</v>
      </c>
      <c r="P21" s="55">
        <f>Statistics!D10*1</f>
        <v>4</v>
      </c>
      <c r="Q21" s="55">
        <f>Statistics!G10*1</f>
        <v>0</v>
      </c>
      <c r="R21" s="55">
        <f>Statistics!L10*1</f>
        <v>0</v>
      </c>
    </row>
    <row r="22" spans="10:18" x14ac:dyDescent="0.25">
      <c r="L22" s="55" t="str">
        <f>Statistics!A11</f>
        <v>&gt;4.5</v>
      </c>
      <c r="M22" s="55">
        <f>Statistics!C11/$J$14</f>
        <v>52.902825775827182</v>
      </c>
      <c r="N22" s="55">
        <f>Statistics!F11/$J$14</f>
        <v>0</v>
      </c>
      <c r="O22" s="55">
        <f>Statistics!I11/2.4</f>
        <v>1.919214877832651</v>
      </c>
      <c r="P22" s="55">
        <f>Statistics!D11*1</f>
        <v>47</v>
      </c>
      <c r="Q22" s="55">
        <f>Statistics!G11*1</f>
        <v>54</v>
      </c>
      <c r="R22" s="55">
        <f>Statistics!L11*1</f>
        <v>84.61289814078026</v>
      </c>
    </row>
    <row r="29" spans="10:18" x14ac:dyDescent="0.25">
      <c r="M29" s="55" t="str">
        <f>Statistics!F1</f>
        <v>1 axis total area</v>
      </c>
      <c r="O29" s="55">
        <f>Statistics!J1</f>
        <v>0</v>
      </c>
      <c r="P29" s="55" t="e">
        <f>Statistics!#REF!</f>
        <v>#REF!</v>
      </c>
      <c r="Q29" s="55" t="str">
        <f>Statistics!L1</f>
        <v>TBD</v>
      </c>
    </row>
    <row r="30" spans="10:18" x14ac:dyDescent="0.25">
      <c r="J30" s="55">
        <f>Statistics!A2</f>
        <v>0</v>
      </c>
      <c r="K30" s="55" t="str">
        <f>Statistics!B2</f>
        <v>Hect/MW</v>
      </c>
      <c r="M30" s="55" t="e">
        <f>Statistics!#REF!</f>
        <v>#REF!</v>
      </c>
      <c r="O30" s="55" t="str">
        <f>Statistics!K2</f>
        <v>% of capacity</v>
      </c>
      <c r="P30" s="55" t="str">
        <f>Statistics!H2</f>
        <v>% of capacity</v>
      </c>
      <c r="Q30" s="55" t="str">
        <f>Statistics!E2</f>
        <v>% of capacity</v>
      </c>
    </row>
    <row r="31" spans="10:18" x14ac:dyDescent="0.25">
      <c r="K31" s="55">
        <f>Statistics!B3</f>
        <v>1</v>
      </c>
      <c r="M31" s="55" t="e">
        <f>Statistics!#REF!</f>
        <v>#REF!</v>
      </c>
      <c r="O31" s="55" t="e">
        <f>Statistics!H3</f>
        <v>#DIV/0!</v>
      </c>
      <c r="P31" s="55">
        <f>Statistics!E3</f>
        <v>0</v>
      </c>
      <c r="Q31" s="55">
        <f>Statistics!K3</f>
        <v>0</v>
      </c>
    </row>
    <row r="32" spans="10:18" x14ac:dyDescent="0.25">
      <c r="K32" s="55">
        <f>Statistics!B4</f>
        <v>1.5</v>
      </c>
      <c r="M32" s="55" t="e">
        <f>Statistics!#REF!</f>
        <v>#REF!</v>
      </c>
      <c r="O32" s="55" t="e">
        <f>Statistics!H4</f>
        <v>#DIV/0!</v>
      </c>
      <c r="P32" s="55">
        <f>Statistics!E4</f>
        <v>0</v>
      </c>
      <c r="Q32" s="55">
        <f>Statistics!K4</f>
        <v>0</v>
      </c>
    </row>
    <row r="33" spans="3:17" x14ac:dyDescent="0.25">
      <c r="K33" s="55">
        <f>Statistics!B5</f>
        <v>2</v>
      </c>
      <c r="M33" s="55" t="e">
        <f>Statistics!#REF!</f>
        <v>#REF!</v>
      </c>
      <c r="O33" s="55" t="e">
        <f>Statistics!H5</f>
        <v>#DIV/0!</v>
      </c>
      <c r="P33" s="55">
        <f>Statistics!E5</f>
        <v>0</v>
      </c>
      <c r="Q33" s="55">
        <f>Statistics!K5</f>
        <v>0</v>
      </c>
    </row>
    <row r="34" spans="3:17" x14ac:dyDescent="0.25">
      <c r="K34" s="55">
        <f>Statistics!B8</f>
        <v>3.5</v>
      </c>
      <c r="M34" s="55" t="e">
        <f>Statistics!#REF!</f>
        <v>#REF!</v>
      </c>
      <c r="O34" s="55" t="e">
        <f>Statistics!H8</f>
        <v>#DIV/0!</v>
      </c>
      <c r="P34" s="55">
        <f>Statistics!E8</f>
        <v>1.8972246443830932E-2</v>
      </c>
      <c r="Q34" s="55">
        <f>Statistics!K8</f>
        <v>0</v>
      </c>
    </row>
    <row r="35" spans="3:17" x14ac:dyDescent="0.25">
      <c r="K35" s="55">
        <f>Statistics!B9</f>
        <v>4</v>
      </c>
      <c r="M35" s="55" t="e">
        <f>Statistics!#REF!</f>
        <v>#REF!</v>
      </c>
      <c r="O35" s="55" t="e">
        <f>Statistics!H9</f>
        <v>#DIV/0!</v>
      </c>
      <c r="P35" s="55">
        <f>Statistics!E9</f>
        <v>8.7272333641622291E-3</v>
      </c>
      <c r="Q35" s="55">
        <f>Statistics!K9</f>
        <v>0</v>
      </c>
    </row>
    <row r="36" spans="3:17" x14ac:dyDescent="0.25">
      <c r="K36" s="55">
        <f>Statistics!B11</f>
        <v>4.5</v>
      </c>
      <c r="M36" s="55" t="e">
        <f>Statistics!#REF!</f>
        <v>#REF!</v>
      </c>
      <c r="O36" s="55" t="e">
        <f>Statistics!H11</f>
        <v>#DIV/0!</v>
      </c>
      <c r="P36" s="55">
        <f>Statistics!E11</f>
        <v>0.94308326066850723</v>
      </c>
      <c r="Q36" s="55">
        <f>Statistics!K11</f>
        <v>1</v>
      </c>
    </row>
    <row r="48" spans="3:17" x14ac:dyDescent="0.25">
      <c r="C48" s="55" t="str">
        <f>C49</f>
        <v>&lt;1</v>
      </c>
      <c r="D48" s="55" t="s">
        <v>300</v>
      </c>
      <c r="E48" s="55" t="s">
        <v>301</v>
      </c>
      <c r="F48" s="55" t="s">
        <v>302</v>
      </c>
      <c r="G48" s="55" t="s">
        <v>303</v>
      </c>
      <c r="H48" s="55" t="s">
        <v>304</v>
      </c>
      <c r="I48" s="55" t="s">
        <v>305</v>
      </c>
    </row>
    <row r="49" spans="2:11" x14ac:dyDescent="0.25">
      <c r="C49" s="55" t="str">
        <f>Statistics!A3</f>
        <v>&lt;1</v>
      </c>
      <c r="D49" s="55">
        <f>Statistics!A4</f>
        <v>1.5</v>
      </c>
      <c r="E49" s="55">
        <f>Statistics!A5</f>
        <v>2</v>
      </c>
      <c r="F49" s="55">
        <f>Statistics!A8</f>
        <v>3.5</v>
      </c>
      <c r="G49" s="55">
        <f>Statistics!A9</f>
        <v>4</v>
      </c>
      <c r="H49" s="55">
        <f>Statistics!A10</f>
        <v>4.5</v>
      </c>
      <c r="I49" s="55" t="str">
        <f>Statistics!A11</f>
        <v>&gt;4.5</v>
      </c>
      <c r="J49" s="55">
        <v>2006</v>
      </c>
      <c r="K49" s="55">
        <v>2007</v>
      </c>
    </row>
    <row r="50" spans="2:11" x14ac:dyDescent="0.25">
      <c r="B50" s="55" t="s">
        <v>282</v>
      </c>
      <c r="C50" s="55">
        <v>10</v>
      </c>
      <c r="D50" s="55">
        <v>10</v>
      </c>
      <c r="E50" s="55">
        <v>10</v>
      </c>
      <c r="F50" s="55">
        <v>10</v>
      </c>
      <c r="G50" s="55">
        <v>10</v>
      </c>
      <c r="H50" s="55">
        <v>10</v>
      </c>
      <c r="I50" s="55">
        <v>10</v>
      </c>
      <c r="J50" s="55">
        <v>10</v>
      </c>
      <c r="K50" s="55">
        <v>10</v>
      </c>
    </row>
  </sheetData>
  <customSheetViews>
    <customSheetView guid="{A817C2B6-B412-4BD4-89EB-C78C16183A0C}" scale="85">
      <selection activeCell="B57" sqref="B5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50"/>
  <sheetViews>
    <sheetView topLeftCell="A64" workbookViewId="0">
      <selection activeCell="I24" sqref="I24"/>
    </sheetView>
  </sheetViews>
  <sheetFormatPr defaultColWidth="9.109375" defaultRowHeight="13.2" x14ac:dyDescent="0.25"/>
  <cols>
    <col min="1" max="1" width="26.33203125" style="55" customWidth="1"/>
    <col min="2" max="2" width="3.44140625" style="55" customWidth="1"/>
    <col min="3" max="5" width="10.88671875" style="55" customWidth="1"/>
    <col min="6" max="8" width="11.6640625" style="55" customWidth="1"/>
    <col min="9" max="11" width="10.5546875" style="55" customWidth="1"/>
    <col min="12" max="14" width="10.33203125" style="55" customWidth="1"/>
    <col min="15" max="16384" width="9.109375" style="55"/>
  </cols>
  <sheetData>
    <row r="1" spans="1:29" ht="12.75" x14ac:dyDescent="0.2">
      <c r="C1" s="55" t="str">
        <f>C49</f>
        <v>&lt;1</v>
      </c>
      <c r="F1" s="55">
        <f>D49</f>
        <v>1.5</v>
      </c>
      <c r="I1" s="55" t="str">
        <f>E49</f>
        <v>&lt; 2</v>
      </c>
      <c r="L1" s="56">
        <f>F49</f>
        <v>2.5</v>
      </c>
      <c r="M1" s="56"/>
      <c r="N1" s="56"/>
      <c r="O1" s="56">
        <f>G49</f>
        <v>3</v>
      </c>
      <c r="P1" s="56"/>
      <c r="Q1" s="56"/>
      <c r="R1" s="56">
        <f>H49</f>
        <v>3.5</v>
      </c>
      <c r="S1" s="56"/>
      <c r="T1" s="56"/>
      <c r="U1" s="56">
        <f>I49</f>
        <v>2005</v>
      </c>
      <c r="V1" s="56"/>
      <c r="W1" s="56"/>
      <c r="X1" s="56">
        <f>J49</f>
        <v>2006</v>
      </c>
      <c r="Y1" s="56"/>
      <c r="Z1" s="56"/>
      <c r="AA1" s="56">
        <f>K49</f>
        <v>2007</v>
      </c>
    </row>
    <row r="2" spans="1:29" ht="12.75" x14ac:dyDescent="0.2">
      <c r="C2" s="55">
        <v>1</v>
      </c>
      <c r="D2" s="55">
        <v>2</v>
      </c>
      <c r="E2" s="55">
        <v>3</v>
      </c>
      <c r="F2" s="55">
        <v>4</v>
      </c>
      <c r="G2" s="55">
        <v>5</v>
      </c>
      <c r="H2" s="55">
        <v>6</v>
      </c>
      <c r="I2" s="55">
        <v>7</v>
      </c>
      <c r="J2" s="55">
        <v>8</v>
      </c>
      <c r="K2" s="55">
        <v>9</v>
      </c>
      <c r="L2" s="55">
        <v>10</v>
      </c>
      <c r="M2" s="55">
        <v>11</v>
      </c>
      <c r="N2" s="55">
        <v>12</v>
      </c>
      <c r="O2" s="55">
        <v>13</v>
      </c>
      <c r="P2" s="55">
        <v>14</v>
      </c>
      <c r="Q2" s="55">
        <v>15</v>
      </c>
      <c r="R2" s="55">
        <v>16</v>
      </c>
      <c r="S2" s="55">
        <v>17</v>
      </c>
      <c r="T2" s="55">
        <v>18</v>
      </c>
      <c r="U2" s="55">
        <v>19</v>
      </c>
      <c r="V2" s="55">
        <v>20</v>
      </c>
      <c r="W2" s="55">
        <v>21</v>
      </c>
      <c r="X2" s="55">
        <v>22</v>
      </c>
      <c r="Y2" s="55">
        <v>23</v>
      </c>
      <c r="Z2" s="55">
        <v>24</v>
      </c>
      <c r="AA2" s="55">
        <v>25</v>
      </c>
      <c r="AB2" s="55">
        <v>26</v>
      </c>
      <c r="AC2" s="55">
        <v>27</v>
      </c>
    </row>
    <row r="3" spans="1:29" x14ac:dyDescent="0.25">
      <c r="A3" s="55" t="s">
        <v>283</v>
      </c>
      <c r="C3" s="55">
        <f>M16</f>
        <v>0</v>
      </c>
      <c r="D3" s="55">
        <v>0</v>
      </c>
      <c r="E3" s="55">
        <v>0</v>
      </c>
      <c r="F3" s="55">
        <f>M17</f>
        <v>0</v>
      </c>
      <c r="G3" s="55">
        <v>0</v>
      </c>
      <c r="H3" s="55">
        <v>0</v>
      </c>
      <c r="I3" s="55">
        <f>M18</f>
        <v>0</v>
      </c>
      <c r="J3" s="55">
        <v>0</v>
      </c>
      <c r="K3" s="55">
        <v>0</v>
      </c>
      <c r="L3" s="55">
        <f>M19</f>
        <v>0</v>
      </c>
      <c r="M3" s="55">
        <v>0</v>
      </c>
      <c r="N3" s="55">
        <v>0</v>
      </c>
      <c r="O3" s="55">
        <f>M20</f>
        <v>0</v>
      </c>
      <c r="P3" s="55">
        <v>0</v>
      </c>
      <c r="Q3" s="55">
        <v>0</v>
      </c>
      <c r="R3" s="55">
        <f>M21</f>
        <v>0</v>
      </c>
      <c r="S3" s="55">
        <v>0</v>
      </c>
      <c r="T3" s="55">
        <v>0</v>
      </c>
      <c r="U3" s="55">
        <v>7.9618999999999995E-2</v>
      </c>
      <c r="V3" s="55">
        <v>0</v>
      </c>
      <c r="W3" s="55">
        <v>0</v>
      </c>
      <c r="X3" s="55">
        <v>0.15859800000000002</v>
      </c>
      <c r="Y3" s="55">
        <v>0</v>
      </c>
      <c r="Z3" s="55">
        <v>0</v>
      </c>
      <c r="AA3" s="55">
        <v>0.21445699999999998</v>
      </c>
      <c r="AB3" s="55">
        <v>0</v>
      </c>
    </row>
    <row r="4" spans="1:29" x14ac:dyDescent="0.25">
      <c r="A4" s="55" t="s">
        <v>284</v>
      </c>
      <c r="C4" s="55">
        <f>N16</f>
        <v>0</v>
      </c>
      <c r="D4" s="55">
        <v>0</v>
      </c>
      <c r="E4" s="55">
        <v>0</v>
      </c>
      <c r="F4" s="55">
        <f>N17</f>
        <v>0</v>
      </c>
      <c r="G4" s="55">
        <v>0</v>
      </c>
      <c r="H4" s="55">
        <v>0</v>
      </c>
      <c r="I4" s="55">
        <f>N18</f>
        <v>0</v>
      </c>
      <c r="J4" s="55">
        <v>0</v>
      </c>
      <c r="K4" s="55">
        <v>0</v>
      </c>
      <c r="L4" s="55">
        <f>N19</f>
        <v>0</v>
      </c>
      <c r="M4" s="55">
        <v>0</v>
      </c>
      <c r="N4" s="55">
        <v>0</v>
      </c>
      <c r="O4" s="55">
        <f>N20</f>
        <v>0</v>
      </c>
      <c r="P4" s="55">
        <v>0</v>
      </c>
      <c r="Q4" s="55">
        <v>0</v>
      </c>
      <c r="R4" s="55">
        <f>N21</f>
        <v>0</v>
      </c>
      <c r="S4" s="55">
        <v>0</v>
      </c>
      <c r="T4" s="55">
        <v>0</v>
      </c>
      <c r="U4" s="55">
        <v>1.1337E-2</v>
      </c>
      <c r="V4" s="55">
        <v>0</v>
      </c>
      <c r="W4" s="55">
        <v>0</v>
      </c>
      <c r="X4" s="55">
        <v>1.417E-2</v>
      </c>
      <c r="Y4" s="55">
        <v>0</v>
      </c>
      <c r="Z4" s="55">
        <v>0</v>
      </c>
      <c r="AA4" s="55">
        <v>2.3466000000000001E-2</v>
      </c>
      <c r="AB4" s="55">
        <v>0</v>
      </c>
    </row>
    <row r="5" spans="1:29" x14ac:dyDescent="0.25">
      <c r="A5" s="55" t="s">
        <v>285</v>
      </c>
      <c r="C5" s="55">
        <f>O16</f>
        <v>0</v>
      </c>
      <c r="D5" s="55">
        <v>0</v>
      </c>
      <c r="E5" s="55">
        <v>0</v>
      </c>
      <c r="F5" s="55">
        <f>O17</f>
        <v>0</v>
      </c>
      <c r="G5" s="55">
        <v>0</v>
      </c>
      <c r="H5" s="55">
        <v>0</v>
      </c>
      <c r="I5" s="55">
        <f>O18</f>
        <v>0</v>
      </c>
      <c r="J5" s="55">
        <v>0</v>
      </c>
      <c r="K5" s="55">
        <v>0</v>
      </c>
      <c r="L5" s="55">
        <f>O19</f>
        <v>0</v>
      </c>
      <c r="M5" s="55">
        <v>0</v>
      </c>
      <c r="N5" s="55">
        <v>0</v>
      </c>
      <c r="O5" s="55">
        <f>O20</f>
        <v>0</v>
      </c>
      <c r="P5" s="55">
        <v>0</v>
      </c>
      <c r="Q5" s="55">
        <v>0</v>
      </c>
      <c r="R5" s="55">
        <f>O21</f>
        <v>0</v>
      </c>
      <c r="S5" s="55">
        <v>0</v>
      </c>
      <c r="T5" s="55">
        <v>0</v>
      </c>
      <c r="U5" s="55">
        <v>1.1337E-2</v>
      </c>
      <c r="V5" s="55">
        <v>0</v>
      </c>
      <c r="W5" s="55">
        <v>0</v>
      </c>
      <c r="X5" s="55">
        <v>1.417E-2</v>
      </c>
      <c r="Y5" s="55">
        <v>0</v>
      </c>
      <c r="Z5" s="55">
        <v>0</v>
      </c>
      <c r="AA5" s="55">
        <v>2.3466000000000001E-2</v>
      </c>
      <c r="AB5" s="55">
        <v>0</v>
      </c>
    </row>
    <row r="6" spans="1:29" x14ac:dyDescent="0.25">
      <c r="A6" s="55" t="s">
        <v>286</v>
      </c>
      <c r="C6" s="55">
        <v>0</v>
      </c>
      <c r="D6" s="55">
        <f>P16</f>
        <v>0</v>
      </c>
      <c r="E6" s="55">
        <v>0</v>
      </c>
      <c r="F6" s="55">
        <v>0</v>
      </c>
      <c r="G6" s="55">
        <f>P17</f>
        <v>0</v>
      </c>
      <c r="H6" s="55">
        <v>0</v>
      </c>
      <c r="I6" s="55">
        <v>0</v>
      </c>
      <c r="J6" s="55">
        <f>P18</f>
        <v>0</v>
      </c>
      <c r="K6" s="55">
        <v>0</v>
      </c>
      <c r="L6" s="55">
        <v>0</v>
      </c>
      <c r="M6" s="55">
        <f>P19</f>
        <v>0</v>
      </c>
      <c r="N6" s="55">
        <v>0</v>
      </c>
      <c r="O6" s="55">
        <v>0</v>
      </c>
      <c r="P6" s="55">
        <f>P20</f>
        <v>0</v>
      </c>
      <c r="Q6" s="55">
        <v>0</v>
      </c>
      <c r="R6" s="55">
        <v>0</v>
      </c>
      <c r="S6" s="55">
        <f>P21</f>
        <v>0</v>
      </c>
      <c r="T6" s="55">
        <v>0</v>
      </c>
      <c r="U6" s="55">
        <v>0</v>
      </c>
      <c r="V6" s="55">
        <v>6.0426000000000001E-2</v>
      </c>
      <c r="W6" s="55">
        <v>0</v>
      </c>
      <c r="X6" s="55">
        <v>0</v>
      </c>
      <c r="Y6" s="55">
        <v>6.0639999999999999E-2</v>
      </c>
      <c r="Z6" s="55">
        <v>0</v>
      </c>
      <c r="AA6" s="55">
        <v>0</v>
      </c>
      <c r="AB6" s="55">
        <v>8.3382999999999999E-2</v>
      </c>
    </row>
    <row r="7" spans="1:29" x14ac:dyDescent="0.25">
      <c r="A7" s="55" t="s">
        <v>287</v>
      </c>
      <c r="C7" s="55">
        <v>0</v>
      </c>
      <c r="D7" s="55">
        <f>Q16</f>
        <v>0</v>
      </c>
      <c r="E7" s="55">
        <v>0</v>
      </c>
      <c r="F7" s="55">
        <v>0</v>
      </c>
      <c r="G7" s="55">
        <f>Q17</f>
        <v>0</v>
      </c>
      <c r="H7" s="55">
        <v>0</v>
      </c>
      <c r="I7" s="55">
        <v>0</v>
      </c>
      <c r="J7" s="55">
        <f>Q18</f>
        <v>0</v>
      </c>
      <c r="K7" s="55">
        <v>0</v>
      </c>
      <c r="L7" s="55">
        <v>0</v>
      </c>
      <c r="M7" s="55">
        <f>Q19</f>
        <v>0</v>
      </c>
      <c r="N7" s="55">
        <v>0</v>
      </c>
      <c r="O7" s="55">
        <v>0</v>
      </c>
      <c r="P7" s="55">
        <f>Q20</f>
        <v>0</v>
      </c>
      <c r="Q7" s="55">
        <v>0</v>
      </c>
      <c r="R7" s="55">
        <v>0</v>
      </c>
      <c r="S7" s="55">
        <f>Q21</f>
        <v>0</v>
      </c>
      <c r="T7" s="55">
        <v>0</v>
      </c>
      <c r="U7" s="55">
        <v>0</v>
      </c>
      <c r="V7" s="55">
        <v>3.2000000000000001E-2</v>
      </c>
      <c r="W7" s="55">
        <v>0</v>
      </c>
      <c r="X7" s="55">
        <v>0</v>
      </c>
      <c r="Y7" s="55">
        <v>6.9718000000000002E-2</v>
      </c>
      <c r="Z7" s="55">
        <v>0</v>
      </c>
      <c r="AA7" s="55">
        <v>0</v>
      </c>
      <c r="AB7" s="55">
        <v>0.149977</v>
      </c>
    </row>
    <row r="8" spans="1:29" x14ac:dyDescent="0.25">
      <c r="A8" s="55" t="s">
        <v>288</v>
      </c>
      <c r="C8" s="55">
        <v>0</v>
      </c>
      <c r="D8" s="55">
        <f>R16</f>
        <v>0</v>
      </c>
      <c r="E8" s="55">
        <v>0</v>
      </c>
      <c r="F8" s="55">
        <v>0</v>
      </c>
      <c r="G8" s="55">
        <f>R17</f>
        <v>0</v>
      </c>
      <c r="H8" s="55">
        <v>0</v>
      </c>
      <c r="I8" s="55">
        <v>0</v>
      </c>
      <c r="J8" s="55">
        <f>R18</f>
        <v>0</v>
      </c>
      <c r="K8" s="55">
        <v>0</v>
      </c>
      <c r="L8" s="55">
        <v>0</v>
      </c>
      <c r="M8" s="55">
        <f>R19</f>
        <v>0</v>
      </c>
      <c r="N8" s="55">
        <v>0</v>
      </c>
      <c r="O8" s="55">
        <v>0</v>
      </c>
      <c r="P8" s="55">
        <f>R20</f>
        <v>0</v>
      </c>
      <c r="Q8" s="55">
        <v>0</v>
      </c>
      <c r="R8" s="55">
        <v>0</v>
      </c>
      <c r="S8" s="55">
        <f>R21</f>
        <v>0</v>
      </c>
      <c r="T8" s="55">
        <v>0</v>
      </c>
      <c r="U8" s="55">
        <v>0</v>
      </c>
      <c r="V8" s="55">
        <v>3.2000000000000001E-2</v>
      </c>
      <c r="W8" s="55">
        <v>0</v>
      </c>
      <c r="X8" s="55">
        <v>0</v>
      </c>
      <c r="Y8" s="55">
        <v>6.9718000000000002E-2</v>
      </c>
      <c r="Z8" s="55">
        <v>0</v>
      </c>
      <c r="AA8" s="55">
        <v>0</v>
      </c>
      <c r="AB8" s="55">
        <v>0.149977</v>
      </c>
    </row>
    <row r="9" spans="1:29" x14ac:dyDescent="0.25">
      <c r="A9" s="56"/>
      <c r="B9" s="56"/>
    </row>
    <row r="10" spans="1:29" x14ac:dyDescent="0.25">
      <c r="A10" s="56"/>
      <c r="B10" s="56"/>
    </row>
    <row r="11" spans="1:29" x14ac:dyDescent="0.25">
      <c r="A11" s="56"/>
      <c r="B11" s="56"/>
      <c r="F11" s="57"/>
      <c r="G11" s="57"/>
      <c r="H11" s="57"/>
    </row>
    <row r="12" spans="1:29" x14ac:dyDescent="0.25">
      <c r="A12" s="56"/>
      <c r="B12" s="56"/>
    </row>
    <row r="13" spans="1:29" x14ac:dyDescent="0.25">
      <c r="A13" s="56"/>
      <c r="B13" s="56"/>
      <c r="P13" s="58" t="s">
        <v>289</v>
      </c>
    </row>
    <row r="14" spans="1:29" x14ac:dyDescent="0.25">
      <c r="A14" s="56"/>
      <c r="B14" s="56"/>
      <c r="M14" s="55" t="str">
        <f>Statistics!C1</f>
        <v>Fixed total area</v>
      </c>
      <c r="N14" s="55" t="s">
        <v>242</v>
      </c>
      <c r="O14" s="55" t="str">
        <f>Statistics!I1</f>
        <v>2 Axis</v>
      </c>
      <c r="P14" s="55">
        <f>Statistics!H1</f>
        <v>0</v>
      </c>
      <c r="Q14" s="55">
        <f>Statistics!G1</f>
        <v>0</v>
      </c>
      <c r="R14" s="55">
        <f>Statistics!K1</f>
        <v>0</v>
      </c>
    </row>
    <row r="15" spans="1:29" x14ac:dyDescent="0.25">
      <c r="I15" s="55" t="s">
        <v>608</v>
      </c>
      <c r="M15" s="55" t="str">
        <f>Statistics!C2</f>
        <v>MW</v>
      </c>
      <c r="N15" s="55" t="str">
        <f>Statistics!F2</f>
        <v>MW</v>
      </c>
      <c r="O15" s="55" t="str">
        <f>Statistics!I2</f>
        <v>MW</v>
      </c>
      <c r="P15" s="55" t="str">
        <f>Statistics!D2</f>
        <v>Number of installations</v>
      </c>
      <c r="Q15" s="55" t="str">
        <f>Statistics!G2</f>
        <v>Number of installations</v>
      </c>
      <c r="R15" s="55" t="str">
        <f>Statistics!J2</f>
        <v>Number of installations</v>
      </c>
    </row>
    <row r="16" spans="1:29" x14ac:dyDescent="0.25">
      <c r="I16" s="55" t="s">
        <v>607</v>
      </c>
      <c r="L16" s="55" t="str">
        <f>Statistics!A15</f>
        <v>&lt;1</v>
      </c>
      <c r="M16" s="55">
        <f>Statistics!C15/$I$17</f>
        <v>0</v>
      </c>
      <c r="N16" s="55">
        <f>Statistics!F15/$I$17</f>
        <v>0</v>
      </c>
      <c r="O16" s="55">
        <f>Statistics!I15/$I$17</f>
        <v>0</v>
      </c>
      <c r="P16" s="55">
        <f>Statistics!D15*1</f>
        <v>0</v>
      </c>
      <c r="Q16" s="55">
        <f>Statistics!G15*1</f>
        <v>0</v>
      </c>
      <c r="R16" s="55">
        <f>Statistics!J15*1</f>
        <v>0</v>
      </c>
    </row>
    <row r="17" spans="9:18" x14ac:dyDescent="0.25">
      <c r="I17" s="55">
        <v>4</v>
      </c>
      <c r="L17" s="55">
        <f>Statistics!A16</f>
        <v>1.5</v>
      </c>
      <c r="M17" s="55">
        <f>Statistics!C16/$I$17</f>
        <v>0</v>
      </c>
      <c r="N17" s="55">
        <f>Statistics!F16/$I$17</f>
        <v>0</v>
      </c>
      <c r="O17" s="55">
        <f>Statistics!I16/$I$17</f>
        <v>0</v>
      </c>
      <c r="P17" s="55">
        <f>Statistics!D16*1</f>
        <v>0</v>
      </c>
      <c r="Q17" s="55">
        <f>Statistics!G16*1</f>
        <v>0</v>
      </c>
      <c r="R17" s="55">
        <f>Statistics!J16*1</f>
        <v>0</v>
      </c>
    </row>
    <row r="18" spans="9:18" x14ac:dyDescent="0.25">
      <c r="L18" s="55" t="str">
        <f>Statistics!A17</f>
        <v>&lt; 2</v>
      </c>
      <c r="M18" s="55">
        <f>Statistics!C17/$I$17</f>
        <v>0</v>
      </c>
      <c r="N18" s="55">
        <f>Statistics!F17/$I$17</f>
        <v>0</v>
      </c>
      <c r="O18" s="55">
        <f>Statistics!I17/$I$17</f>
        <v>0</v>
      </c>
      <c r="P18" s="55">
        <f>Statistics!D17*1</f>
        <v>0</v>
      </c>
      <c r="Q18" s="55">
        <f>Statistics!G17*1</f>
        <v>0</v>
      </c>
      <c r="R18" s="55">
        <f>Statistics!J17*1</f>
        <v>0</v>
      </c>
    </row>
    <row r="19" spans="9:18" x14ac:dyDescent="0.25">
      <c r="L19" s="55">
        <f>Statistics!A18</f>
        <v>2.5</v>
      </c>
      <c r="M19" s="55">
        <f>Statistics!C18/$I$17</f>
        <v>0</v>
      </c>
      <c r="N19" s="55">
        <f>Statistics!F18/$I$17</f>
        <v>0</v>
      </c>
      <c r="O19" s="55">
        <f>Statistics!I18/$I$17</f>
        <v>0</v>
      </c>
      <c r="P19" s="55">
        <f>Statistics!D18*1</f>
        <v>0</v>
      </c>
      <c r="Q19" s="55">
        <f>Statistics!G18*1</f>
        <v>0</v>
      </c>
      <c r="R19" s="55">
        <f>Statistics!J18*1</f>
        <v>0</v>
      </c>
    </row>
    <row r="20" spans="9:18" x14ac:dyDescent="0.25">
      <c r="L20" s="55">
        <f>Statistics!A19</f>
        <v>3</v>
      </c>
      <c r="M20" s="55">
        <f>Statistics!C19/$I$17</f>
        <v>0</v>
      </c>
      <c r="N20" s="55">
        <f>Statistics!F19/$I$17</f>
        <v>0</v>
      </c>
      <c r="O20" s="55">
        <f>Statistics!I19/$I$17</f>
        <v>0</v>
      </c>
      <c r="P20" s="55">
        <f>Statistics!D19*1</f>
        <v>0</v>
      </c>
      <c r="Q20" s="55">
        <f>Statistics!G19*1</f>
        <v>0</v>
      </c>
      <c r="R20" s="55">
        <f>Statistics!J19*1</f>
        <v>0</v>
      </c>
    </row>
    <row r="21" spans="9:18" x14ac:dyDescent="0.25">
      <c r="L21" s="55">
        <f>Statistics!A20</f>
        <v>3.5</v>
      </c>
      <c r="M21" s="55">
        <f>Statistics!C20/$I$17</f>
        <v>0</v>
      </c>
      <c r="N21" s="55">
        <f>Statistics!F20/$I$17</f>
        <v>0</v>
      </c>
      <c r="O21" s="55">
        <f>Statistics!I20/$I$17</f>
        <v>0</v>
      </c>
      <c r="P21" s="55">
        <f>Statistics!D20*1</f>
        <v>0</v>
      </c>
      <c r="Q21" s="55">
        <f>Statistics!G20*1</f>
        <v>0</v>
      </c>
      <c r="R21" s="55">
        <f>Statistics!J20*1</f>
        <v>0</v>
      </c>
    </row>
    <row r="22" spans="9:18" x14ac:dyDescent="0.25">
      <c r="L22" s="55">
        <f>Statistics!A21</f>
        <v>4</v>
      </c>
      <c r="M22" s="55">
        <f>Statistics!C21/$I$17</f>
        <v>0</v>
      </c>
      <c r="N22" s="55">
        <f>Statistics!F21/$I$17</f>
        <v>0</v>
      </c>
      <c r="O22" s="55">
        <f>Statistics!I21/$I$17</f>
        <v>0</v>
      </c>
      <c r="P22" s="55">
        <f>Statistics!D21*1</f>
        <v>0</v>
      </c>
      <c r="Q22" s="55">
        <f>Statistics!G21*1</f>
        <v>0</v>
      </c>
      <c r="R22" s="55">
        <f>Statistics!J21*1</f>
        <v>0</v>
      </c>
    </row>
    <row r="23" spans="9:18" x14ac:dyDescent="0.25">
      <c r="L23" s="55">
        <f>Statistics!A22</f>
        <v>4.5</v>
      </c>
      <c r="M23" s="55">
        <f>Statistics!C22/$I$17</f>
        <v>8.5140770920487281</v>
      </c>
      <c r="N23" s="55">
        <f>Statistics!F22/$I$17</f>
        <v>0</v>
      </c>
      <c r="O23" s="55">
        <f>Statistics!I22/$I$17</f>
        <v>0</v>
      </c>
      <c r="P23" s="55">
        <f>Statistics!D22*1</f>
        <v>1</v>
      </c>
      <c r="Q23" s="55">
        <f>Statistics!G22*1</f>
        <v>0</v>
      </c>
      <c r="R23" s="55">
        <f>Statistics!J22*1</f>
        <v>0</v>
      </c>
    </row>
    <row r="48" spans="3:8" x14ac:dyDescent="0.25">
      <c r="C48" s="55" t="s">
        <v>306</v>
      </c>
      <c r="D48" s="60" t="s">
        <v>307</v>
      </c>
      <c r="E48" s="61" t="s">
        <v>308</v>
      </c>
      <c r="F48" s="61" t="s">
        <v>309</v>
      </c>
      <c r="G48" s="61" t="s">
        <v>310</v>
      </c>
      <c r="H48" s="55" t="s">
        <v>311</v>
      </c>
    </row>
    <row r="49" spans="2:11" x14ac:dyDescent="0.25">
      <c r="C49" s="55" t="str">
        <f>L16</f>
        <v>&lt;1</v>
      </c>
      <c r="D49" s="55">
        <f>L17</f>
        <v>1.5</v>
      </c>
      <c r="E49" s="55" t="str">
        <f>L18</f>
        <v>&lt; 2</v>
      </c>
      <c r="F49" s="55">
        <f>L19</f>
        <v>2.5</v>
      </c>
      <c r="G49" s="55">
        <f>L20</f>
        <v>3</v>
      </c>
      <c r="H49" s="55">
        <f>L21</f>
        <v>3.5</v>
      </c>
      <c r="I49" s="55">
        <v>2005</v>
      </c>
      <c r="J49" s="55">
        <v>2006</v>
      </c>
      <c r="K49" s="55">
        <v>2007</v>
      </c>
    </row>
    <row r="50" spans="2:11" x14ac:dyDescent="0.25">
      <c r="B50" s="55" t="s">
        <v>282</v>
      </c>
      <c r="C50" s="55">
        <v>10</v>
      </c>
      <c r="D50" s="55">
        <v>10</v>
      </c>
      <c r="E50" s="55">
        <v>10</v>
      </c>
      <c r="F50" s="55">
        <v>10</v>
      </c>
      <c r="G50" s="55">
        <v>10</v>
      </c>
      <c r="H50" s="55">
        <v>10</v>
      </c>
      <c r="I50" s="55">
        <v>10</v>
      </c>
      <c r="J50" s="55">
        <v>10</v>
      </c>
      <c r="K50" s="55">
        <v>10</v>
      </c>
    </row>
  </sheetData>
  <customSheetViews>
    <customSheetView guid="{A817C2B6-B412-4BD4-89EB-C78C16183A0C}">
      <selection activeCell="I24" sqref="I24"/>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Data</vt:lpstr>
      <vt:lpstr>knownMWAC</vt:lpstr>
      <vt:lpstr>By Efficiency</vt:lpstr>
      <vt:lpstr>By Date</vt:lpstr>
      <vt:lpstr>CSP</vt:lpstr>
      <vt:lpstr>Appendix</vt:lpstr>
      <vt:lpstr>Statistics</vt:lpstr>
      <vt:lpstr>Stacked Bar Chart smallPV</vt:lpstr>
      <vt:lpstr>Stacked Bar Chart BigPV</vt:lpstr>
      <vt:lpstr>Weighted Avg and SD</vt:lpstr>
      <vt:lpstr>DC to AC conversion</vt:lpstr>
      <vt:lpstr>unfinished PV</vt:lpstr>
      <vt:lpstr>BoxPlots</vt:lpstr>
      <vt:lpstr>BoxPlots (2)</vt:lpstr>
      <vt:lpstr>Tables for Paper</vt:lpstr>
      <vt:lpstr>SmallLargeComb</vt:lpstr>
      <vt:lpstr>Tracking and Tilt Analysis</vt:lpstr>
      <vt:lpstr>Misc</vt:lpstr>
      <vt:lpstr>Statistics!_ftn1</vt:lpstr>
      <vt:lpstr>Statistics!_ftnref1</vt:lpstr>
      <vt:lpstr>'unfinished PV'!Print_Area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Ong, Sean</dc:creator>
  <cp:lastModifiedBy>Sean Ong</cp:lastModifiedBy>
  <dcterms:created xsi:type="dcterms:W3CDTF">2006-09-16T00:00:00Z</dcterms:created>
  <dcterms:modified xsi:type="dcterms:W3CDTF">2013-06-25T19:05:01Z</dcterms:modified>
</cp:coreProperties>
</file>